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xml"/>
  <Override PartName="/xl/charts/chart32.xml" ContentType="application/vnd.openxmlformats-officedocument.drawingml.chart+xml"/>
  <Override PartName="/xl/drawings/drawing14.xml" ContentType="application/vnd.openxmlformats-officedocument.drawing+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6.xml" ContentType="application/vnd.openxmlformats-officedocument.drawing+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charts/chart37.xml" ContentType="application/vnd.openxmlformats-officedocument.drawingml.chart+xml"/>
  <Override PartName="/xl/drawings/drawing19.xml" ContentType="application/vnd.openxmlformats-officedocument.drawing+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xml"/>
  <Override PartName="/xl/charts/chart40.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part.local\ipart\FolderRedirection\DeniseR\Desktop\"/>
    </mc:Choice>
  </mc:AlternateContent>
  <bookViews>
    <workbookView xWindow="0" yWindow="0" windowWidth="25575" windowHeight="11640"/>
  </bookViews>
  <sheets>
    <sheet name="Read me" sheetId="42" r:id="rId1"/>
    <sheet name="Contents, list of sources" sheetId="21" r:id="rId2"/>
    <sheet name="Change in average single fare" sheetId="53" r:id="rId3"/>
    <sheet name="Change in operating costs" sheetId="62" r:id="rId4"/>
    <sheet name="Mode of travel" sheetId="34" r:id="rId5"/>
    <sheet name="Taxpayer spending" sheetId="23" r:id="rId6"/>
    <sheet name="Determined fares" sheetId="59" r:id="rId7"/>
    <sheet name="Subscription worked example" sheetId="65" r:id="rId8"/>
    <sheet name="Historical fare comparison" sheetId="60" r:id="rId9"/>
    <sheet name="Demand by time of day" sheetId="61" r:id="rId10"/>
    <sheet name="Peak and off peak journeys" sheetId="70" r:id="rId11"/>
    <sheet name="Cost by mode" sheetId="66" r:id="rId12"/>
    <sheet name="Ferry patronage by day" sheetId="69" r:id="rId13"/>
    <sheet name="Relativities between fares" sheetId="64" r:id="rId14"/>
    <sheet name="Distance travelled distribution" sheetId="68" r:id="rId15"/>
    <sheet name="Fare change index" sheetId="50" r:id="rId16"/>
    <sheet name="Patronage since 2011-12" sheetId="33" r:id="rId17"/>
    <sheet name="External benefits" sheetId="26" r:id="rId18"/>
    <sheet name="Revenue growth" sheetId="36" r:id="rId19"/>
    <sheet name="Rail - capacity and crowding" sheetId="35" r:id="rId20"/>
    <sheet name="Rail - Punctuality" sheetId="38" r:id="rId21"/>
    <sheet name="Bus2009 average fare" sheetId="54" r:id="rId22"/>
    <sheet name="IPART inputs" sheetId="45" r:id="rId23"/>
    <sheet name="CPI calculations" sheetId="43" r:id="rId24"/>
    <sheet name="TfNSW cost revenue data" sheetId="31" r:id="rId25"/>
    <sheet name="LGA Dwellings" sheetId="39" r:id="rId26"/>
    <sheet name="Household travel survey - Mode" sheetId="41" r:id="rId27"/>
    <sheet name="Journey distribution (all)" sheetId="71" r:id="rId28"/>
    <sheet name="Journey distribution (ex Gold)" sheetId="56" r:id="rId29"/>
  </sheets>
  <definedNames>
    <definedName name="_xlnm._FilterDatabase" localSheetId="15" hidden="1">#REF!</definedName>
    <definedName name="_xlnm._FilterDatabase" localSheetId="8" hidden="1">#REF!</definedName>
    <definedName name="_xlnm._FilterDatabase" localSheetId="22" hidden="1">#REF!</definedName>
    <definedName name="_xlnm._FilterDatabase" localSheetId="4" hidden="1">#REF!</definedName>
    <definedName name="_xlnm._FilterDatabase" localSheetId="10" hidden="1">#REF!</definedName>
    <definedName name="_xlnm._FilterDatabase" localSheetId="20" hidden="1">#REF!</definedName>
    <definedName name="_xlnm._FilterDatabase" localSheetId="13" hidden="1">#REF!</definedName>
    <definedName name="_xlnm._FilterDatabase" localSheetId="7" hidden="1">#REF!</definedName>
    <definedName name="_xlnm._FilterDatabase" localSheetId="24" hidden="1">#REF!</definedName>
    <definedName name="_xlnm._FilterDatabase" hidden="1">#REF!</definedName>
    <definedName name="SAPBEXdnldView" hidden="1">"00O2TIGT5WDSNCZ4LBG8JKS0F"</definedName>
    <definedName name="SAPBEXsysID" hidden="1">"DWH"</definedName>
  </definedNames>
  <calcPr calcId="152511"/>
</workbook>
</file>

<file path=xl/calcChain.xml><?xml version="1.0" encoding="utf-8"?>
<calcChain xmlns="http://schemas.openxmlformats.org/spreadsheetml/2006/main">
  <c r="M6" i="60" l="1"/>
  <c r="Q6" i="60"/>
  <c r="S6" i="60"/>
  <c r="M7" i="60"/>
  <c r="M8" i="60"/>
  <c r="Q8" i="60"/>
  <c r="S8" i="60"/>
  <c r="M9" i="60"/>
  <c r="M10" i="60"/>
  <c r="Q10" i="60"/>
  <c r="S10" i="60"/>
  <c r="M11" i="60"/>
  <c r="Q11" i="60"/>
  <c r="R11" i="60"/>
  <c r="S11" i="60"/>
  <c r="K7" i="60"/>
  <c r="K8" i="60"/>
  <c r="K9" i="60"/>
  <c r="K10" i="60"/>
  <c r="K11" i="60"/>
  <c r="K6" i="60"/>
  <c r="M12" i="60"/>
  <c r="Q12" i="60"/>
  <c r="S12" i="60"/>
  <c r="K12" i="60"/>
  <c r="M6" i="64"/>
  <c r="Q6" i="64"/>
  <c r="S6" i="64"/>
  <c r="K6" i="64"/>
  <c r="M6" i="65"/>
  <c r="Q6" i="65"/>
  <c r="S6" i="65"/>
  <c r="K6" i="65"/>
  <c r="K6" i="53"/>
  <c r="M6" i="68" l="1"/>
  <c r="Q6" i="68"/>
  <c r="M7" i="68"/>
  <c r="Q7" i="68"/>
  <c r="K7" i="68"/>
  <c r="K6" i="68"/>
  <c r="X5" i="65"/>
  <c r="S5" i="65"/>
  <c r="R5" i="65"/>
  <c r="Q5" i="65"/>
  <c r="M5" i="65"/>
  <c r="K5" i="65"/>
  <c r="S5" i="64"/>
  <c r="R5" i="64"/>
  <c r="Q5" i="64"/>
  <c r="M5" i="64"/>
  <c r="K5" i="64"/>
  <c r="M6" i="70"/>
  <c r="Q6" i="70"/>
  <c r="K6" i="70"/>
  <c r="M7" i="34"/>
  <c r="S7" i="34"/>
  <c r="X7" i="34"/>
  <c r="K7" i="34"/>
  <c r="C38" i="34"/>
  <c r="C39" i="34"/>
  <c r="M9" i="53"/>
  <c r="Q9" i="53"/>
  <c r="K9" i="53"/>
  <c r="S91" i="53"/>
  <c r="N18" i="34" l="1"/>
  <c r="N17" i="34"/>
  <c r="D17" i="34" s="1"/>
  <c r="B77" i="53"/>
  <c r="C50" i="53"/>
  <c r="D70" i="34" l="1"/>
  <c r="C40" i="34"/>
  <c r="C41" i="34"/>
  <c r="C42" i="34" s="1"/>
  <c r="F18" i="68"/>
  <c r="I18" i="68"/>
  <c r="E18" i="68" s="1"/>
  <c r="D18" i="68"/>
  <c r="J18" i="68"/>
  <c r="G18" i="68"/>
  <c r="F19" i="68"/>
  <c r="I19" i="68"/>
  <c r="D19" i="68"/>
  <c r="J19" i="68"/>
  <c r="G19" i="68"/>
  <c r="F20" i="68"/>
  <c r="I20" i="68"/>
  <c r="D20" i="68"/>
  <c r="J20" i="68"/>
  <c r="G20" i="68"/>
  <c r="F21" i="68"/>
  <c r="I21" i="68"/>
  <c r="E21" i="68" s="1"/>
  <c r="D21" i="68"/>
  <c r="J21" i="68"/>
  <c r="G21" i="68"/>
  <c r="F22" i="68"/>
  <c r="I22" i="68"/>
  <c r="E22" i="68" s="1"/>
  <c r="D22" i="68"/>
  <c r="J22" i="68"/>
  <c r="G22" i="68"/>
  <c r="F23" i="68"/>
  <c r="I23" i="68"/>
  <c r="D23" i="68"/>
  <c r="J23" i="68"/>
  <c r="G23" i="68"/>
  <c r="F24" i="68"/>
  <c r="I24" i="68"/>
  <c r="D24" i="68"/>
  <c r="J24" i="68"/>
  <c r="G24" i="68"/>
  <c r="E23" i="68" l="1"/>
  <c r="E19" i="68"/>
  <c r="E25" i="68" s="1"/>
  <c r="E34" i="68" s="1"/>
  <c r="E20" i="68"/>
  <c r="E24" i="68"/>
  <c r="G25" i="68"/>
  <c r="G31" i="68" s="1"/>
  <c r="G36" i="68"/>
  <c r="F25" i="68"/>
  <c r="F34" i="68" s="1"/>
  <c r="D25" i="68"/>
  <c r="D31" i="68" s="1"/>
  <c r="I25" i="68"/>
  <c r="J25" i="68"/>
  <c r="G34" i="68" l="1"/>
  <c r="D30" i="68"/>
  <c r="G33" i="68"/>
  <c r="D36" i="68"/>
  <c r="G35" i="68"/>
  <c r="F36" i="68"/>
  <c r="D33" i="68"/>
  <c r="G32" i="68"/>
  <c r="I33" i="68" s="1"/>
  <c r="G30" i="68"/>
  <c r="D34" i="68"/>
  <c r="F35" i="68"/>
  <c r="F33" i="68"/>
  <c r="E35" i="68"/>
  <c r="E31" i="68"/>
  <c r="E32" i="68"/>
  <c r="E36" i="68"/>
  <c r="D32" i="68"/>
  <c r="F30" i="68"/>
  <c r="D35" i="68"/>
  <c r="F31" i="68"/>
  <c r="E33" i="68"/>
  <c r="E30" i="68"/>
  <c r="F32" i="68"/>
  <c r="G37" i="68" l="1"/>
  <c r="F37" i="68"/>
  <c r="E37" i="68"/>
  <c r="S8" i="53" l="1"/>
  <c r="Q8" i="53"/>
  <c r="M8" i="53"/>
  <c r="S49" i="53" s="1"/>
  <c r="K8" i="53"/>
  <c r="G88" i="66" l="1"/>
  <c r="G85" i="66"/>
  <c r="G87" i="66"/>
  <c r="G86" i="66"/>
  <c r="M5" i="54"/>
  <c r="K5" i="54"/>
  <c r="M6" i="66"/>
  <c r="K6" i="66"/>
  <c r="M6" i="61"/>
  <c r="K6" i="61"/>
  <c r="M5" i="61"/>
  <c r="K5" i="61"/>
  <c r="S5" i="60"/>
  <c r="R5" i="60"/>
  <c r="Q5" i="60"/>
  <c r="M5" i="60"/>
  <c r="K5" i="60"/>
  <c r="M6" i="59"/>
  <c r="Q6" i="59"/>
  <c r="S6" i="59"/>
  <c r="K6" i="59"/>
  <c r="S5" i="59"/>
  <c r="R5" i="59"/>
  <c r="Q5" i="59"/>
  <c r="M5" i="59"/>
  <c r="K5" i="59"/>
  <c r="Q6" i="53"/>
  <c r="M6" i="53"/>
  <c r="S6" i="53"/>
  <c r="M7" i="53"/>
  <c r="S100" i="53" s="1"/>
  <c r="Q7" i="53"/>
  <c r="K7" i="53"/>
  <c r="X5" i="53"/>
  <c r="S5" i="53"/>
  <c r="R5" i="53"/>
  <c r="Q5" i="53"/>
  <c r="M5" i="53"/>
  <c r="K5" i="53"/>
  <c r="S69" i="53"/>
  <c r="R7" i="62"/>
  <c r="M6" i="62"/>
  <c r="K6" i="62"/>
  <c r="G490" i="21"/>
  <c r="N36" i="62" s="1"/>
  <c r="I490" i="21"/>
  <c r="M7" i="62" s="1"/>
  <c r="M490" i="21"/>
  <c r="Q7" i="62" s="1"/>
  <c r="O490" i="21"/>
  <c r="S7" i="62" s="1"/>
  <c r="T490" i="21"/>
  <c r="X7" i="62" s="1"/>
  <c r="O29" i="62"/>
  <c r="N29" i="62"/>
  <c r="X5" i="62"/>
  <c r="R5" i="62"/>
  <c r="S5" i="62"/>
  <c r="M5" i="62"/>
  <c r="Q5" i="62"/>
  <c r="K5" i="62"/>
  <c r="K7" i="62" l="1"/>
  <c r="O36" i="62"/>
  <c r="R5" i="70"/>
  <c r="Q5" i="70"/>
  <c r="M5" i="70"/>
  <c r="K5" i="70"/>
  <c r="K6" i="69" l="1"/>
  <c r="S5" i="69"/>
  <c r="R5" i="69"/>
  <c r="Q5" i="69"/>
  <c r="M5" i="69"/>
  <c r="K5" i="69"/>
  <c r="L23" i="69"/>
  <c r="L22" i="69"/>
  <c r="L21" i="69"/>
  <c r="L20" i="69"/>
  <c r="K23" i="69"/>
  <c r="K22" i="69"/>
  <c r="K21" i="69"/>
  <c r="K20" i="69"/>
  <c r="Q5" i="68" l="1"/>
  <c r="M5" i="68"/>
  <c r="K5" i="68"/>
  <c r="K7" i="66" l="1"/>
  <c r="M7" i="66"/>
  <c r="Q7" i="66"/>
  <c r="R7" i="66"/>
  <c r="S7" i="66"/>
  <c r="X7" i="66"/>
  <c r="K8" i="66"/>
  <c r="M8" i="66"/>
  <c r="Q8" i="66"/>
  <c r="X8" i="66"/>
  <c r="K9" i="66"/>
  <c r="M9" i="66"/>
  <c r="S9" i="66"/>
  <c r="X9" i="66"/>
  <c r="E85" i="66"/>
  <c r="F85" i="66"/>
  <c r="E86" i="66"/>
  <c r="F86" i="66"/>
  <c r="E87" i="66"/>
  <c r="F87" i="66"/>
  <c r="E88" i="66"/>
  <c r="F88" i="66"/>
  <c r="B106" i="66"/>
  <c r="D85" i="66" l="1"/>
  <c r="D87" i="66"/>
  <c r="D86" i="66"/>
  <c r="D88" i="66"/>
  <c r="D53" i="66"/>
  <c r="D52" i="66"/>
  <c r="D51" i="66"/>
  <c r="D50" i="66"/>
  <c r="C53" i="66"/>
  <c r="C50" i="66"/>
  <c r="C52" i="66"/>
  <c r="C51" i="66"/>
  <c r="D95" i="53" l="1"/>
  <c r="F95" i="53"/>
  <c r="G93" i="53" s="1"/>
  <c r="G92" i="53" l="1"/>
  <c r="G91" i="53"/>
  <c r="G94" i="53"/>
  <c r="G95" i="53" l="1"/>
  <c r="X5" i="66"/>
  <c r="S5" i="66"/>
  <c r="R5" i="66"/>
  <c r="Q5" i="66"/>
  <c r="M5" i="66"/>
  <c r="K5" i="66"/>
  <c r="D32" i="59" l="1"/>
  <c r="E32" i="59" s="1"/>
  <c r="C32" i="59"/>
  <c r="J58" i="50"/>
  <c r="J57" i="50"/>
  <c r="J56" i="50"/>
  <c r="F20" i="65"/>
  <c r="F19" i="65"/>
  <c r="C20" i="65"/>
  <c r="C19" i="65"/>
  <c r="G19" i="65" s="1"/>
  <c r="C27" i="65"/>
  <c r="D20" i="65" s="1"/>
  <c r="C28" i="65"/>
  <c r="C29" i="65"/>
  <c r="C30" i="65"/>
  <c r="C26" i="65"/>
  <c r="D19" i="65" s="1"/>
  <c r="D27" i="64"/>
  <c r="D28" i="64" s="1"/>
  <c r="D29" i="64"/>
  <c r="D30" i="64" s="1"/>
  <c r="D31" i="64"/>
  <c r="D32" i="64" s="1"/>
  <c r="D21" i="64"/>
  <c r="D22" i="64" s="1"/>
  <c r="D23" i="64" s="1"/>
  <c r="D24" i="64" s="1"/>
  <c r="D25" i="64" s="1"/>
  <c r="D26" i="64" s="1"/>
  <c r="C25" i="64"/>
  <c r="C26" i="64" s="1"/>
  <c r="C27" i="64" s="1"/>
  <c r="C28" i="64" s="1"/>
  <c r="C29" i="64" s="1"/>
  <c r="C30" i="64" s="1"/>
  <c r="C31" i="64" s="1"/>
  <c r="C32" i="64" s="1"/>
  <c r="C23" i="64"/>
  <c r="C24" i="64" s="1"/>
  <c r="C21" i="64"/>
  <c r="C22" i="64" s="1"/>
  <c r="F32" i="59" l="1"/>
  <c r="G20" i="65"/>
  <c r="E19" i="65"/>
  <c r="E20" i="65"/>
  <c r="H37" i="62"/>
  <c r="H35" i="62" l="1"/>
  <c r="C92" i="53" l="1"/>
  <c r="C93" i="53"/>
  <c r="C94" i="53"/>
  <c r="C91" i="53"/>
  <c r="B19" i="54"/>
  <c r="D19" i="54" s="1"/>
  <c r="C19" i="54"/>
  <c r="C20" i="54"/>
  <c r="C21" i="54"/>
  <c r="C22" i="54"/>
  <c r="C23" i="54"/>
  <c r="C24" i="54"/>
  <c r="E20" i="54"/>
  <c r="E21" i="54"/>
  <c r="E22" i="54"/>
  <c r="E23" i="54"/>
  <c r="E19" i="54"/>
  <c r="D35" i="62"/>
  <c r="E35" i="62"/>
  <c r="F35" i="62"/>
  <c r="G35" i="62"/>
  <c r="G41" i="62" s="1"/>
  <c r="C35" i="62"/>
  <c r="D37" i="62"/>
  <c r="E37" i="62"/>
  <c r="F37" i="62"/>
  <c r="G37" i="62"/>
  <c r="H43" i="62" s="1"/>
  <c r="C37" i="62"/>
  <c r="D26" i="33"/>
  <c r="E26" i="33"/>
  <c r="F26" i="33"/>
  <c r="G26" i="33"/>
  <c r="H26" i="33"/>
  <c r="I26" i="33"/>
  <c r="J26" i="33"/>
  <c r="D27" i="33"/>
  <c r="E27" i="33"/>
  <c r="F27" i="33"/>
  <c r="G27" i="33"/>
  <c r="H27" i="33"/>
  <c r="I27" i="33"/>
  <c r="J27" i="33"/>
  <c r="D28" i="33"/>
  <c r="E28" i="33"/>
  <c r="F28" i="33"/>
  <c r="G28" i="33"/>
  <c r="H28" i="33"/>
  <c r="I28" i="33"/>
  <c r="J28" i="33"/>
  <c r="D29" i="33"/>
  <c r="E29" i="33"/>
  <c r="F29" i="33"/>
  <c r="G29" i="33"/>
  <c r="H29" i="33"/>
  <c r="I29" i="33"/>
  <c r="J29" i="33"/>
  <c r="C27" i="33"/>
  <c r="C28" i="33"/>
  <c r="C29" i="33"/>
  <c r="C26" i="33"/>
  <c r="D36" i="62"/>
  <c r="D42" i="62" s="1"/>
  <c r="D48" i="62" s="1"/>
  <c r="D18" i="62" s="1"/>
  <c r="F36" i="62"/>
  <c r="F42" i="62" s="1"/>
  <c r="H36" i="62"/>
  <c r="H42" i="62"/>
  <c r="C18" i="62"/>
  <c r="C19" i="62"/>
  <c r="C20" i="62"/>
  <c r="C67" i="53" l="1"/>
  <c r="F41" i="62"/>
  <c r="G42" i="62"/>
  <c r="E42" i="62"/>
  <c r="E48" i="62" s="1"/>
  <c r="F43" i="62"/>
  <c r="G43" i="62"/>
  <c r="H41" i="62"/>
  <c r="E41" i="62"/>
  <c r="E43" i="62"/>
  <c r="D43" i="62"/>
  <c r="D49" i="62" s="1"/>
  <c r="D20" i="62" s="1"/>
  <c r="D41" i="62"/>
  <c r="D47" i="62" s="1"/>
  <c r="E47" i="62" s="1"/>
  <c r="D19" i="62" l="1"/>
  <c r="E49" i="62"/>
  <c r="F49" i="62" s="1"/>
  <c r="G49" i="62" s="1"/>
  <c r="H49" i="62" s="1"/>
  <c r="H20" i="62" s="1"/>
  <c r="I20" i="62" s="1"/>
  <c r="E18" i="62"/>
  <c r="F48" i="62"/>
  <c r="F47" i="62"/>
  <c r="E19" i="62"/>
  <c r="E20" i="62" l="1"/>
  <c r="G20" i="62"/>
  <c r="F20" i="62"/>
  <c r="F19" i="62"/>
  <c r="G47" i="62"/>
  <c r="F18" i="62"/>
  <c r="G48" i="62"/>
  <c r="H48" i="62" l="1"/>
  <c r="H18" i="62" s="1"/>
  <c r="I18" i="62" s="1"/>
  <c r="G18" i="62"/>
  <c r="G19" i="62"/>
  <c r="H47" i="62"/>
  <c r="H19" i="62" s="1"/>
  <c r="I19" i="62" s="1"/>
  <c r="C131" i="53" l="1"/>
  <c r="C132" i="53"/>
  <c r="C133" i="53"/>
  <c r="C134" i="53"/>
  <c r="C135" i="53"/>
  <c r="C136" i="53"/>
  <c r="C137" i="53"/>
  <c r="C130" i="53"/>
  <c r="L103" i="53"/>
  <c r="M103" i="53"/>
  <c r="O147" i="53" s="1"/>
  <c r="L104" i="53"/>
  <c r="M104" i="53"/>
  <c r="O155" i="53" s="1"/>
  <c r="L105" i="53"/>
  <c r="M105" i="53"/>
  <c r="O171" i="53" s="1"/>
  <c r="L106" i="53"/>
  <c r="M106" i="53"/>
  <c r="O195" i="53" s="1"/>
  <c r="M102" i="53"/>
  <c r="O131" i="53" s="1"/>
  <c r="L102" i="53"/>
  <c r="J132" i="53" s="1"/>
  <c r="H103" i="53"/>
  <c r="H102" i="53"/>
  <c r="G103" i="53"/>
  <c r="G102" i="53"/>
  <c r="D103" i="53"/>
  <c r="F133" i="53" s="1"/>
  <c r="E103" i="53"/>
  <c r="D104" i="53"/>
  <c r="F141" i="53" s="1"/>
  <c r="E104" i="53"/>
  <c r="E102" i="53"/>
  <c r="D102" i="53"/>
  <c r="J214" i="53" l="1"/>
  <c r="J228" i="53"/>
  <c r="J240" i="53"/>
  <c r="J250" i="53"/>
  <c r="J262" i="53"/>
  <c r="J274" i="53"/>
  <c r="J195" i="53"/>
  <c r="J197" i="53"/>
  <c r="J199" i="53"/>
  <c r="J201" i="53"/>
  <c r="J203" i="53"/>
  <c r="J205" i="53"/>
  <c r="J207" i="53"/>
  <c r="J209" i="53"/>
  <c r="J211" i="53"/>
  <c r="J213" i="53"/>
  <c r="J215" i="53"/>
  <c r="J217" i="53"/>
  <c r="J219" i="53"/>
  <c r="J221" i="53"/>
  <c r="J223" i="53"/>
  <c r="J225" i="53"/>
  <c r="J227" i="53"/>
  <c r="J229" i="53"/>
  <c r="J231" i="53"/>
  <c r="J233" i="53"/>
  <c r="J235" i="53"/>
  <c r="J237" i="53"/>
  <c r="J239" i="53"/>
  <c r="J241" i="53"/>
  <c r="J243" i="53"/>
  <c r="J245" i="53"/>
  <c r="J247" i="53"/>
  <c r="J249" i="53"/>
  <c r="J251" i="53"/>
  <c r="J253" i="53"/>
  <c r="J255" i="53"/>
  <c r="J257" i="53"/>
  <c r="J259" i="53"/>
  <c r="J261" i="53"/>
  <c r="J263" i="53"/>
  <c r="J265" i="53"/>
  <c r="J267" i="53"/>
  <c r="J269" i="53"/>
  <c r="J271" i="53"/>
  <c r="J273" i="53"/>
  <c r="J275" i="53"/>
  <c r="J277" i="53"/>
  <c r="J279" i="53"/>
  <c r="J218" i="53"/>
  <c r="J222" i="53"/>
  <c r="J234" i="53"/>
  <c r="J246" i="53"/>
  <c r="J258" i="53"/>
  <c r="J268" i="53"/>
  <c r="J278" i="53"/>
  <c r="J212" i="53"/>
  <c r="J232" i="53"/>
  <c r="J248" i="53"/>
  <c r="J260" i="53"/>
  <c r="J272" i="53"/>
  <c r="J210" i="53"/>
  <c r="J230" i="53"/>
  <c r="J242" i="53"/>
  <c r="J256" i="53"/>
  <c r="J270" i="53"/>
  <c r="J280" i="53"/>
  <c r="J208" i="53"/>
  <c r="J224" i="53"/>
  <c r="J236" i="53"/>
  <c r="J244" i="53"/>
  <c r="J254" i="53"/>
  <c r="J264" i="53"/>
  <c r="J276" i="53"/>
  <c r="J196" i="53"/>
  <c r="J198" i="53"/>
  <c r="J200" i="53"/>
  <c r="J202" i="53"/>
  <c r="J204" i="53"/>
  <c r="J206" i="53"/>
  <c r="J216" i="53"/>
  <c r="J220" i="53"/>
  <c r="J226" i="53"/>
  <c r="J238" i="53"/>
  <c r="J252" i="53"/>
  <c r="J266" i="53"/>
  <c r="J165" i="53"/>
  <c r="J167" i="53"/>
  <c r="J169" i="53"/>
  <c r="J171" i="53"/>
  <c r="J173" i="53"/>
  <c r="J175" i="53"/>
  <c r="J177" i="53"/>
  <c r="J179" i="53"/>
  <c r="J181" i="53"/>
  <c r="J183" i="53"/>
  <c r="J185" i="53"/>
  <c r="J187" i="53"/>
  <c r="J189" i="53"/>
  <c r="J191" i="53"/>
  <c r="J193" i="53"/>
  <c r="J166" i="53"/>
  <c r="J168" i="53"/>
  <c r="J170" i="53"/>
  <c r="J172" i="53"/>
  <c r="J174" i="53"/>
  <c r="J176" i="53"/>
  <c r="J178" i="53"/>
  <c r="J180" i="53"/>
  <c r="J182" i="53"/>
  <c r="J184" i="53"/>
  <c r="J186" i="53"/>
  <c r="J188" i="53"/>
  <c r="J190" i="53"/>
  <c r="J192" i="53"/>
  <c r="J194" i="53"/>
  <c r="M143" i="53"/>
  <c r="M145" i="53"/>
  <c r="M147" i="53"/>
  <c r="M149" i="53"/>
  <c r="M151" i="53"/>
  <c r="M153" i="53"/>
  <c r="M155" i="53"/>
  <c r="M157" i="53"/>
  <c r="M159" i="53"/>
  <c r="M161" i="53"/>
  <c r="M163" i="53"/>
  <c r="M165" i="53"/>
  <c r="M167" i="53"/>
  <c r="M169" i="53"/>
  <c r="M171" i="53"/>
  <c r="M173" i="53"/>
  <c r="M175" i="53"/>
  <c r="M177" i="53"/>
  <c r="M179" i="53"/>
  <c r="M181" i="53"/>
  <c r="M183" i="53"/>
  <c r="M185" i="53"/>
  <c r="M187" i="53"/>
  <c r="M189" i="53"/>
  <c r="M191" i="53"/>
  <c r="M193" i="53"/>
  <c r="M195" i="53"/>
  <c r="M197" i="53"/>
  <c r="M199" i="53"/>
  <c r="M201" i="53"/>
  <c r="M203" i="53"/>
  <c r="M205" i="53"/>
  <c r="M207" i="53"/>
  <c r="M209" i="53"/>
  <c r="M211" i="53"/>
  <c r="M213" i="53"/>
  <c r="M215" i="53"/>
  <c r="M217" i="53"/>
  <c r="M219" i="53"/>
  <c r="M221" i="53"/>
  <c r="M223" i="53"/>
  <c r="M225" i="53"/>
  <c r="M227" i="53"/>
  <c r="M229" i="53"/>
  <c r="M231" i="53"/>
  <c r="M233" i="53"/>
  <c r="M235" i="53"/>
  <c r="M237" i="53"/>
  <c r="M239" i="53"/>
  <c r="M241" i="53"/>
  <c r="M243" i="53"/>
  <c r="M245" i="53"/>
  <c r="M247" i="53"/>
  <c r="M249" i="53"/>
  <c r="M251" i="53"/>
  <c r="M253" i="53"/>
  <c r="M255" i="53"/>
  <c r="M257" i="53"/>
  <c r="M259" i="53"/>
  <c r="M261" i="53"/>
  <c r="M263" i="53"/>
  <c r="M265" i="53"/>
  <c r="M267" i="53"/>
  <c r="M269" i="53"/>
  <c r="M271" i="53"/>
  <c r="M273" i="53"/>
  <c r="M275" i="53"/>
  <c r="M277" i="53"/>
  <c r="M279" i="53"/>
  <c r="M142" i="53"/>
  <c r="M152" i="53"/>
  <c r="M168" i="53"/>
  <c r="M184" i="53"/>
  <c r="M200" i="53"/>
  <c r="M216" i="53"/>
  <c r="M232" i="53"/>
  <c r="M242" i="53"/>
  <c r="M250" i="53"/>
  <c r="M258" i="53"/>
  <c r="M266" i="53"/>
  <c r="M274" i="53"/>
  <c r="M276" i="53"/>
  <c r="M160" i="53"/>
  <c r="M254" i="53"/>
  <c r="M146" i="53"/>
  <c r="M226" i="53"/>
  <c r="M230" i="53"/>
  <c r="M154" i="53"/>
  <c r="M170" i="53"/>
  <c r="M186" i="53"/>
  <c r="M202" i="53"/>
  <c r="M218" i="53"/>
  <c r="M234" i="53"/>
  <c r="M268" i="53"/>
  <c r="M176" i="53"/>
  <c r="M238" i="53"/>
  <c r="M262" i="53"/>
  <c r="M194" i="53"/>
  <c r="M166" i="53"/>
  <c r="M156" i="53"/>
  <c r="M172" i="53"/>
  <c r="M188" i="53"/>
  <c r="M204" i="53"/>
  <c r="M220" i="53"/>
  <c r="M236" i="53"/>
  <c r="M244" i="53"/>
  <c r="M252" i="53"/>
  <c r="M260" i="53"/>
  <c r="M192" i="53"/>
  <c r="M246" i="53"/>
  <c r="M270" i="53"/>
  <c r="M178" i="53"/>
  <c r="M198" i="53"/>
  <c r="M158" i="53"/>
  <c r="M174" i="53"/>
  <c r="M190" i="53"/>
  <c r="M206" i="53"/>
  <c r="M222" i="53"/>
  <c r="M144" i="53"/>
  <c r="M224" i="53"/>
  <c r="M278" i="53"/>
  <c r="M162" i="53"/>
  <c r="M214" i="53"/>
  <c r="M208" i="53"/>
  <c r="M210" i="53"/>
  <c r="M182" i="53"/>
  <c r="M148" i="53"/>
  <c r="M164" i="53"/>
  <c r="M180" i="53"/>
  <c r="M196" i="53"/>
  <c r="M212" i="53"/>
  <c r="M228" i="53"/>
  <c r="M240" i="53"/>
  <c r="M248" i="53"/>
  <c r="M256" i="53"/>
  <c r="M264" i="53"/>
  <c r="M272" i="53"/>
  <c r="M280" i="53"/>
  <c r="M150" i="53"/>
  <c r="J151" i="53"/>
  <c r="J153" i="53"/>
  <c r="J155" i="53"/>
  <c r="J157" i="53"/>
  <c r="J159" i="53"/>
  <c r="J161" i="53"/>
  <c r="J163" i="53"/>
  <c r="J150" i="53"/>
  <c r="J152" i="53"/>
  <c r="J154" i="53"/>
  <c r="J156" i="53"/>
  <c r="J158" i="53"/>
  <c r="J160" i="53"/>
  <c r="J162" i="53"/>
  <c r="J164" i="53"/>
  <c r="N144" i="53"/>
  <c r="N146" i="53"/>
  <c r="N148" i="53"/>
  <c r="N150" i="53"/>
  <c r="N152" i="53"/>
  <c r="N154" i="53"/>
  <c r="N156" i="53"/>
  <c r="N158" i="53"/>
  <c r="N160" i="53"/>
  <c r="N162" i="53"/>
  <c r="N164" i="53"/>
  <c r="N166" i="53"/>
  <c r="N168" i="53"/>
  <c r="N170" i="53"/>
  <c r="N172" i="53"/>
  <c r="N174" i="53"/>
  <c r="N176" i="53"/>
  <c r="N178" i="53"/>
  <c r="N180" i="53"/>
  <c r="N182" i="53"/>
  <c r="N184" i="53"/>
  <c r="N186" i="53"/>
  <c r="N188" i="53"/>
  <c r="N190" i="53"/>
  <c r="N192" i="53"/>
  <c r="N194" i="53"/>
  <c r="N196" i="53"/>
  <c r="N198" i="53"/>
  <c r="N200" i="53"/>
  <c r="N202" i="53"/>
  <c r="N204" i="53"/>
  <c r="N206" i="53"/>
  <c r="N208" i="53"/>
  <c r="N210" i="53"/>
  <c r="N212" i="53"/>
  <c r="N214" i="53"/>
  <c r="N216" i="53"/>
  <c r="N218" i="53"/>
  <c r="N220" i="53"/>
  <c r="N222" i="53"/>
  <c r="N224" i="53"/>
  <c r="N226" i="53"/>
  <c r="N228" i="53"/>
  <c r="N230" i="53"/>
  <c r="N232" i="53"/>
  <c r="N234" i="53"/>
  <c r="N236" i="53"/>
  <c r="N238" i="53"/>
  <c r="N240" i="53"/>
  <c r="N242" i="53"/>
  <c r="N244" i="53"/>
  <c r="N246" i="53"/>
  <c r="N248" i="53"/>
  <c r="N250" i="53"/>
  <c r="N252" i="53"/>
  <c r="N254" i="53"/>
  <c r="N256" i="53"/>
  <c r="N258" i="53"/>
  <c r="N260" i="53"/>
  <c r="N262" i="53"/>
  <c r="N264" i="53"/>
  <c r="N266" i="53"/>
  <c r="N268" i="53"/>
  <c r="N270" i="53"/>
  <c r="N272" i="53"/>
  <c r="N274" i="53"/>
  <c r="N276" i="53"/>
  <c r="N278" i="53"/>
  <c r="N280" i="53"/>
  <c r="L148" i="53"/>
  <c r="L162" i="53"/>
  <c r="L174" i="53"/>
  <c r="L184" i="53"/>
  <c r="L198" i="53"/>
  <c r="L212" i="53"/>
  <c r="L224" i="53"/>
  <c r="L234" i="53"/>
  <c r="L146" i="53"/>
  <c r="L158" i="53"/>
  <c r="L168" i="53"/>
  <c r="L180" i="53"/>
  <c r="L192" i="53"/>
  <c r="L204" i="53"/>
  <c r="L216" i="53"/>
  <c r="L228" i="53"/>
  <c r="L143" i="53"/>
  <c r="L145" i="53"/>
  <c r="L147" i="53"/>
  <c r="L149" i="53"/>
  <c r="L151" i="53"/>
  <c r="L153" i="53"/>
  <c r="L155" i="53"/>
  <c r="L157" i="53"/>
  <c r="L159" i="53"/>
  <c r="L161" i="53"/>
  <c r="L163" i="53"/>
  <c r="L165" i="53"/>
  <c r="L167" i="53"/>
  <c r="L169" i="53"/>
  <c r="L171" i="53"/>
  <c r="L173" i="53"/>
  <c r="L175" i="53"/>
  <c r="L177" i="53"/>
  <c r="L179" i="53"/>
  <c r="L181" i="53"/>
  <c r="L183" i="53"/>
  <c r="L185" i="53"/>
  <c r="L187" i="53"/>
  <c r="L189" i="53"/>
  <c r="L191" i="53"/>
  <c r="L193" i="53"/>
  <c r="L195" i="53"/>
  <c r="L197" i="53"/>
  <c r="L199" i="53"/>
  <c r="L201" i="53"/>
  <c r="L203" i="53"/>
  <c r="L205" i="53"/>
  <c r="L207" i="53"/>
  <c r="L209" i="53"/>
  <c r="L211" i="53"/>
  <c r="L213" i="53"/>
  <c r="L215" i="53"/>
  <c r="L217" i="53"/>
  <c r="L219" i="53"/>
  <c r="L221" i="53"/>
  <c r="L223" i="53"/>
  <c r="L225" i="53"/>
  <c r="L227" i="53"/>
  <c r="L229" i="53"/>
  <c r="L231" i="53"/>
  <c r="L233" i="53"/>
  <c r="L235" i="53"/>
  <c r="L237" i="53"/>
  <c r="L239" i="53"/>
  <c r="L241" i="53"/>
  <c r="L243" i="53"/>
  <c r="L245" i="53"/>
  <c r="L247" i="53"/>
  <c r="L249" i="53"/>
  <c r="L251" i="53"/>
  <c r="L253" i="53"/>
  <c r="L255" i="53"/>
  <c r="L257" i="53"/>
  <c r="L259" i="53"/>
  <c r="L261" i="53"/>
  <c r="L263" i="53"/>
  <c r="L265" i="53"/>
  <c r="L267" i="53"/>
  <c r="L269" i="53"/>
  <c r="L271" i="53"/>
  <c r="L273" i="53"/>
  <c r="L275" i="53"/>
  <c r="L277" i="53"/>
  <c r="L279" i="53"/>
  <c r="L152" i="53"/>
  <c r="L164" i="53"/>
  <c r="L176" i="53"/>
  <c r="L188" i="53"/>
  <c r="L200" i="53"/>
  <c r="L210" i="53"/>
  <c r="L220" i="53"/>
  <c r="L230" i="53"/>
  <c r="L156" i="53"/>
  <c r="L170" i="53"/>
  <c r="L182" i="53"/>
  <c r="L194" i="53"/>
  <c r="L206" i="53"/>
  <c r="L218" i="53"/>
  <c r="L232" i="53"/>
  <c r="N143" i="53"/>
  <c r="N145" i="53"/>
  <c r="N147" i="53"/>
  <c r="N149" i="53"/>
  <c r="N151" i="53"/>
  <c r="N153" i="53"/>
  <c r="N155" i="53"/>
  <c r="N157" i="53"/>
  <c r="N159" i="53"/>
  <c r="N161" i="53"/>
  <c r="N163" i="53"/>
  <c r="N165" i="53"/>
  <c r="N167" i="53"/>
  <c r="N169" i="53"/>
  <c r="N171" i="53"/>
  <c r="N173" i="53"/>
  <c r="N175" i="53"/>
  <c r="N177" i="53"/>
  <c r="N179" i="53"/>
  <c r="N181" i="53"/>
  <c r="N183" i="53"/>
  <c r="N185" i="53"/>
  <c r="N187" i="53"/>
  <c r="N189" i="53"/>
  <c r="N191" i="53"/>
  <c r="N193" i="53"/>
  <c r="N195" i="53"/>
  <c r="N197" i="53"/>
  <c r="N199" i="53"/>
  <c r="N201" i="53"/>
  <c r="N203" i="53"/>
  <c r="N205" i="53"/>
  <c r="N207" i="53"/>
  <c r="N209" i="53"/>
  <c r="N211" i="53"/>
  <c r="N213" i="53"/>
  <c r="N215" i="53"/>
  <c r="N217" i="53"/>
  <c r="N219" i="53"/>
  <c r="N221" i="53"/>
  <c r="N223" i="53"/>
  <c r="N225" i="53"/>
  <c r="N227" i="53"/>
  <c r="N229" i="53"/>
  <c r="N231" i="53"/>
  <c r="N233" i="53"/>
  <c r="N235" i="53"/>
  <c r="N237" i="53"/>
  <c r="N239" i="53"/>
  <c r="N241" i="53"/>
  <c r="N243" i="53"/>
  <c r="N245" i="53"/>
  <c r="N247" i="53"/>
  <c r="N249" i="53"/>
  <c r="N251" i="53"/>
  <c r="N253" i="53"/>
  <c r="N255" i="53"/>
  <c r="N257" i="53"/>
  <c r="N259" i="53"/>
  <c r="N261" i="53"/>
  <c r="N263" i="53"/>
  <c r="N265" i="53"/>
  <c r="N267" i="53"/>
  <c r="N269" i="53"/>
  <c r="N271" i="53"/>
  <c r="N273" i="53"/>
  <c r="N275" i="53"/>
  <c r="N277" i="53"/>
  <c r="N279" i="53"/>
  <c r="L144" i="53"/>
  <c r="L154" i="53"/>
  <c r="L166" i="53"/>
  <c r="L178" i="53"/>
  <c r="L190" i="53"/>
  <c r="L202" i="53"/>
  <c r="L214" i="53"/>
  <c r="L226" i="53"/>
  <c r="L142" i="53"/>
  <c r="L150" i="53"/>
  <c r="L160" i="53"/>
  <c r="L172" i="53"/>
  <c r="L186" i="53"/>
  <c r="L196" i="53"/>
  <c r="L208" i="53"/>
  <c r="L222" i="53"/>
  <c r="L236" i="53"/>
  <c r="L264" i="53"/>
  <c r="L266" i="53"/>
  <c r="L244" i="53"/>
  <c r="L252" i="53"/>
  <c r="L260" i="53"/>
  <c r="L268" i="53"/>
  <c r="L276" i="53"/>
  <c r="L240" i="53"/>
  <c r="L272" i="53"/>
  <c r="L242" i="53"/>
  <c r="L278" i="53"/>
  <c r="L256" i="53"/>
  <c r="L250" i="53"/>
  <c r="N142" i="53"/>
  <c r="L238" i="53"/>
  <c r="L246" i="53"/>
  <c r="L254" i="53"/>
  <c r="L262" i="53"/>
  <c r="L270" i="53"/>
  <c r="L248" i="53"/>
  <c r="L280" i="53"/>
  <c r="L274" i="53"/>
  <c r="L258" i="53"/>
  <c r="J140" i="53"/>
  <c r="J143" i="53"/>
  <c r="J145" i="53"/>
  <c r="J147" i="53"/>
  <c r="J149" i="53"/>
  <c r="J142" i="53"/>
  <c r="J144" i="53"/>
  <c r="J146" i="53"/>
  <c r="J148" i="53"/>
  <c r="F131" i="53"/>
  <c r="H130" i="53"/>
  <c r="F252" i="53"/>
  <c r="F170" i="53"/>
  <c r="F251" i="53"/>
  <c r="F164" i="53"/>
  <c r="F234" i="53"/>
  <c r="F147" i="53"/>
  <c r="F228" i="53"/>
  <c r="F146" i="53"/>
  <c r="F211" i="53"/>
  <c r="O193" i="53"/>
  <c r="F210" i="53"/>
  <c r="O192" i="53"/>
  <c r="F275" i="53"/>
  <c r="F188" i="53"/>
  <c r="O170" i="53"/>
  <c r="F274" i="53"/>
  <c r="F187" i="53"/>
  <c r="O169" i="53"/>
  <c r="O234" i="53"/>
  <c r="F268" i="53"/>
  <c r="F250" i="53"/>
  <c r="F227" i="53"/>
  <c r="F204" i="53"/>
  <c r="F186" i="53"/>
  <c r="F163" i="53"/>
  <c r="F140" i="53"/>
  <c r="O273" i="53"/>
  <c r="O250" i="53"/>
  <c r="O232" i="53"/>
  <c r="O209" i="53"/>
  <c r="O186" i="53"/>
  <c r="O168" i="53"/>
  <c r="O280" i="53"/>
  <c r="F267" i="53"/>
  <c r="F244" i="53"/>
  <c r="F226" i="53"/>
  <c r="F203" i="53"/>
  <c r="F180" i="53"/>
  <c r="F162" i="53"/>
  <c r="F139" i="53"/>
  <c r="O272" i="53"/>
  <c r="O249" i="53"/>
  <c r="O226" i="53"/>
  <c r="O208" i="53"/>
  <c r="O185" i="53"/>
  <c r="O146" i="53"/>
  <c r="O210" i="53"/>
  <c r="F266" i="53"/>
  <c r="F243" i="53"/>
  <c r="F220" i="53"/>
  <c r="F202" i="53"/>
  <c r="F179" i="53"/>
  <c r="F156" i="53"/>
  <c r="F138" i="53"/>
  <c r="J139" i="53"/>
  <c r="O266" i="53"/>
  <c r="O248" i="53"/>
  <c r="O225" i="53"/>
  <c r="O202" i="53"/>
  <c r="O184" i="53"/>
  <c r="O145" i="53"/>
  <c r="O216" i="53"/>
  <c r="O256" i="53"/>
  <c r="F260" i="53"/>
  <c r="F242" i="53"/>
  <c r="F219" i="53"/>
  <c r="F196" i="53"/>
  <c r="F178" i="53"/>
  <c r="F155" i="53"/>
  <c r="J138" i="53"/>
  <c r="O265" i="53"/>
  <c r="O242" i="53"/>
  <c r="O224" i="53"/>
  <c r="O201" i="53"/>
  <c r="O178" i="53"/>
  <c r="O138" i="53"/>
  <c r="O257" i="53"/>
  <c r="O233" i="53"/>
  <c r="F259" i="53"/>
  <c r="F236" i="53"/>
  <c r="F218" i="53"/>
  <c r="F195" i="53"/>
  <c r="F172" i="53"/>
  <c r="F154" i="53"/>
  <c r="J131" i="53"/>
  <c r="O264" i="53"/>
  <c r="O241" i="53"/>
  <c r="O218" i="53"/>
  <c r="O200" i="53"/>
  <c r="O177" i="53"/>
  <c r="O137" i="53"/>
  <c r="O274" i="53"/>
  <c r="F276" i="53"/>
  <c r="F258" i="53"/>
  <c r="F235" i="53"/>
  <c r="F212" i="53"/>
  <c r="F194" i="53"/>
  <c r="F171" i="53"/>
  <c r="F148" i="53"/>
  <c r="O130" i="53"/>
  <c r="O258" i="53"/>
  <c r="O240" i="53"/>
  <c r="O217" i="53"/>
  <c r="O194" i="53"/>
  <c r="O176" i="53"/>
  <c r="O136" i="53"/>
  <c r="F132" i="53"/>
  <c r="O154" i="53"/>
  <c r="F130" i="53"/>
  <c r="F273" i="53"/>
  <c r="F265" i="53"/>
  <c r="F257" i="53"/>
  <c r="F249" i="53"/>
  <c r="F241" i="53"/>
  <c r="F233" i="53"/>
  <c r="F225" i="53"/>
  <c r="F217" i="53"/>
  <c r="F209" i="53"/>
  <c r="F201" i="53"/>
  <c r="F193" i="53"/>
  <c r="F185" i="53"/>
  <c r="F177" i="53"/>
  <c r="F169" i="53"/>
  <c r="F161" i="53"/>
  <c r="F153" i="53"/>
  <c r="F145" i="53"/>
  <c r="F137" i="53"/>
  <c r="J136" i="53"/>
  <c r="O279" i="53"/>
  <c r="O271" i="53"/>
  <c r="O263" i="53"/>
  <c r="O255" i="53"/>
  <c r="O247" i="53"/>
  <c r="O239" i="53"/>
  <c r="O231" i="53"/>
  <c r="O223" i="53"/>
  <c r="O215" i="53"/>
  <c r="O207" i="53"/>
  <c r="O199" i="53"/>
  <c r="O191" i="53"/>
  <c r="O183" i="53"/>
  <c r="O175" i="53"/>
  <c r="O167" i="53"/>
  <c r="O159" i="53"/>
  <c r="O151" i="53"/>
  <c r="O143" i="53"/>
  <c r="O135" i="53"/>
  <c r="J137" i="53"/>
  <c r="O144" i="53"/>
  <c r="F280" i="53"/>
  <c r="F272" i="53"/>
  <c r="F264" i="53"/>
  <c r="F256" i="53"/>
  <c r="F248" i="53"/>
  <c r="F240" i="53"/>
  <c r="F232" i="53"/>
  <c r="F224" i="53"/>
  <c r="F216" i="53"/>
  <c r="F208" i="53"/>
  <c r="F200" i="53"/>
  <c r="F192" i="53"/>
  <c r="F184" i="53"/>
  <c r="F176" i="53"/>
  <c r="F168" i="53"/>
  <c r="F160" i="53"/>
  <c r="F152" i="53"/>
  <c r="F144" i="53"/>
  <c r="F136" i="53"/>
  <c r="J135" i="53"/>
  <c r="O278" i="53"/>
  <c r="O270" i="53"/>
  <c r="O262" i="53"/>
  <c r="O254" i="53"/>
  <c r="O246" i="53"/>
  <c r="O238" i="53"/>
  <c r="O230" i="53"/>
  <c r="O222" i="53"/>
  <c r="O214" i="53"/>
  <c r="O206" i="53"/>
  <c r="O198" i="53"/>
  <c r="O190" i="53"/>
  <c r="O182" i="53"/>
  <c r="O174" i="53"/>
  <c r="O166" i="53"/>
  <c r="O158" i="53"/>
  <c r="O150" i="53"/>
  <c r="O142" i="53"/>
  <c r="O134" i="53"/>
  <c r="O153" i="53"/>
  <c r="J130" i="53"/>
  <c r="O160" i="53"/>
  <c r="F279" i="53"/>
  <c r="F271" i="53"/>
  <c r="F263" i="53"/>
  <c r="F255" i="53"/>
  <c r="F247" i="53"/>
  <c r="F239" i="53"/>
  <c r="F231" i="53"/>
  <c r="F223" i="53"/>
  <c r="F215" i="53"/>
  <c r="F207" i="53"/>
  <c r="F199" i="53"/>
  <c r="F191" i="53"/>
  <c r="F183" i="53"/>
  <c r="F175" i="53"/>
  <c r="F167" i="53"/>
  <c r="F159" i="53"/>
  <c r="F151" i="53"/>
  <c r="F143" i="53"/>
  <c r="F135" i="53"/>
  <c r="J134" i="53"/>
  <c r="O277" i="53"/>
  <c r="O269" i="53"/>
  <c r="O261" i="53"/>
  <c r="O253" i="53"/>
  <c r="O245" i="53"/>
  <c r="O237" i="53"/>
  <c r="O229" i="53"/>
  <c r="O221" i="53"/>
  <c r="O213" i="53"/>
  <c r="O205" i="53"/>
  <c r="O197" i="53"/>
  <c r="O189" i="53"/>
  <c r="O181" i="53"/>
  <c r="O173" i="53"/>
  <c r="O165" i="53"/>
  <c r="O157" i="53"/>
  <c r="O149" i="53"/>
  <c r="O141" i="53"/>
  <c r="O133" i="53"/>
  <c r="O152" i="53"/>
  <c r="F278" i="53"/>
  <c r="F270" i="53"/>
  <c r="F262" i="53"/>
  <c r="F254" i="53"/>
  <c r="F246" i="53"/>
  <c r="F238" i="53"/>
  <c r="F230" i="53"/>
  <c r="F222" i="53"/>
  <c r="F214" i="53"/>
  <c r="F206" i="53"/>
  <c r="F198" i="53"/>
  <c r="F190" i="53"/>
  <c r="F182" i="53"/>
  <c r="F174" i="53"/>
  <c r="F166" i="53"/>
  <c r="F158" i="53"/>
  <c r="F150" i="53"/>
  <c r="F142" i="53"/>
  <c r="F134" i="53"/>
  <c r="J141" i="53"/>
  <c r="J133" i="53"/>
  <c r="O276" i="53"/>
  <c r="O268" i="53"/>
  <c r="O260" i="53"/>
  <c r="O252" i="53"/>
  <c r="O244" i="53"/>
  <c r="O236" i="53"/>
  <c r="O228" i="53"/>
  <c r="O220" i="53"/>
  <c r="O212" i="53"/>
  <c r="O204" i="53"/>
  <c r="O196" i="53"/>
  <c r="O188" i="53"/>
  <c r="O180" i="53"/>
  <c r="O172" i="53"/>
  <c r="O164" i="53"/>
  <c r="O156" i="53"/>
  <c r="O148" i="53"/>
  <c r="O140" i="53"/>
  <c r="O132" i="53"/>
  <c r="O162" i="53"/>
  <c r="O161" i="53"/>
  <c r="F277" i="53"/>
  <c r="F269" i="53"/>
  <c r="F261" i="53"/>
  <c r="F253" i="53"/>
  <c r="F245" i="53"/>
  <c r="F237" i="53"/>
  <c r="F229" i="53"/>
  <c r="F221" i="53"/>
  <c r="F213" i="53"/>
  <c r="F205" i="53"/>
  <c r="F197" i="53"/>
  <c r="F189" i="53"/>
  <c r="F181" i="53"/>
  <c r="F173" i="53"/>
  <c r="F165" i="53"/>
  <c r="F157" i="53"/>
  <c r="F149" i="53"/>
  <c r="O275" i="53"/>
  <c r="O267" i="53"/>
  <c r="O259" i="53"/>
  <c r="O251" i="53"/>
  <c r="O243" i="53"/>
  <c r="O235" i="53"/>
  <c r="O227" i="53"/>
  <c r="O219" i="53"/>
  <c r="O211" i="53"/>
  <c r="O203" i="53"/>
  <c r="O187" i="53"/>
  <c r="O179" i="53"/>
  <c r="O163" i="53"/>
  <c r="O139" i="53"/>
  <c r="J103" i="53" l="1"/>
  <c r="J104" i="53"/>
  <c r="J105" i="53"/>
  <c r="J106" i="53"/>
  <c r="J107" i="53"/>
  <c r="J108" i="53"/>
  <c r="J109" i="53"/>
  <c r="J110" i="53"/>
  <c r="J111" i="53"/>
  <c r="J112" i="53"/>
  <c r="J113" i="53"/>
  <c r="J114" i="53"/>
  <c r="J115" i="53"/>
  <c r="J116" i="53"/>
  <c r="J117" i="53"/>
  <c r="J118" i="53"/>
  <c r="J119" i="53"/>
  <c r="J120" i="53"/>
  <c r="J121" i="53" s="1"/>
  <c r="J102" i="53"/>
  <c r="I103" i="53"/>
  <c r="I104" i="53"/>
  <c r="I105" i="53"/>
  <c r="I106" i="53"/>
  <c r="I107" i="53"/>
  <c r="I108" i="53"/>
  <c r="I109" i="53"/>
  <c r="I110" i="53"/>
  <c r="I111" i="53"/>
  <c r="I112" i="53"/>
  <c r="I113" i="53"/>
  <c r="I114" i="53"/>
  <c r="I115" i="53"/>
  <c r="I116" i="53"/>
  <c r="I117" i="53"/>
  <c r="I118" i="53"/>
  <c r="I119" i="53"/>
  <c r="I120" i="53"/>
  <c r="I121" i="53"/>
  <c r="I102" i="53"/>
  <c r="C74" i="45"/>
  <c r="C73" i="45"/>
  <c r="C90" i="45"/>
  <c r="C89" i="45" s="1"/>
  <c r="F132" i="60"/>
  <c r="F133" i="60"/>
  <c r="F134" i="60"/>
  <c r="F135" i="60"/>
  <c r="F136" i="60"/>
  <c r="F109" i="60"/>
  <c r="F110" i="60"/>
  <c r="F111" i="60"/>
  <c r="F112" i="60"/>
  <c r="F113" i="60"/>
  <c r="F114" i="60"/>
  <c r="F115" i="60"/>
  <c r="F116" i="60"/>
  <c r="F117" i="60"/>
  <c r="F118" i="60"/>
  <c r="F119" i="60"/>
  <c r="F120" i="60"/>
  <c r="F121" i="60"/>
  <c r="F122" i="60"/>
  <c r="F123" i="60"/>
  <c r="F124" i="60"/>
  <c r="F125" i="60"/>
  <c r="F126" i="60"/>
  <c r="F127" i="60"/>
  <c r="F102" i="60"/>
  <c r="F103" i="60"/>
  <c r="F152" i="60" s="1"/>
  <c r="F104" i="60"/>
  <c r="F105" i="60"/>
  <c r="F101" i="60"/>
  <c r="F151" i="60" s="1"/>
  <c r="H56" i="60"/>
  <c r="H103" i="60" s="1"/>
  <c r="H54" i="60"/>
  <c r="H101" i="60" s="1"/>
  <c r="G56" i="60"/>
  <c r="G103" i="60" s="1"/>
  <c r="G152" i="60" s="1"/>
  <c r="G54" i="60"/>
  <c r="G101" i="60" s="1"/>
  <c r="G151" i="60" s="1"/>
  <c r="H62" i="60"/>
  <c r="H63" i="60" s="1"/>
  <c r="H110" i="60" s="1"/>
  <c r="H64" i="60"/>
  <c r="H111" i="60" s="1"/>
  <c r="H66" i="60"/>
  <c r="H113" i="60" s="1"/>
  <c r="H69" i="60"/>
  <c r="H70" i="60" s="1"/>
  <c r="H117" i="60" s="1"/>
  <c r="H72" i="60"/>
  <c r="H119" i="60" s="1"/>
  <c r="G64" i="60"/>
  <c r="G111" i="60" s="1"/>
  <c r="G66" i="60"/>
  <c r="G113" i="60" s="1"/>
  <c r="G69" i="60"/>
  <c r="G70" i="60" s="1"/>
  <c r="G72" i="60"/>
  <c r="G119" i="60" s="1"/>
  <c r="G62" i="60"/>
  <c r="G63" i="60" s="1"/>
  <c r="G110" i="60" s="1"/>
  <c r="H86" i="60"/>
  <c r="H133" i="60" s="1"/>
  <c r="H87" i="60"/>
  <c r="H134" i="60" s="1"/>
  <c r="H88" i="60"/>
  <c r="H89" i="60" s="1"/>
  <c r="H90" i="60" s="1"/>
  <c r="H137" i="60" s="1"/>
  <c r="H85" i="60"/>
  <c r="H132" i="60" s="1"/>
  <c r="G88" i="60"/>
  <c r="G89" i="60" s="1"/>
  <c r="G90" i="60" s="1"/>
  <c r="G86" i="60"/>
  <c r="G133" i="60" s="1"/>
  <c r="G87" i="60"/>
  <c r="G134" i="60" s="1"/>
  <c r="G85" i="60"/>
  <c r="G132" i="60" s="1"/>
  <c r="C90" i="60"/>
  <c r="C89" i="60"/>
  <c r="C88" i="60"/>
  <c r="B22" i="54" s="1"/>
  <c r="D22" i="54" s="1"/>
  <c r="C87" i="60"/>
  <c r="C86" i="60"/>
  <c r="K49" i="60"/>
  <c r="K53" i="60"/>
  <c r="K54" i="60"/>
  <c r="G61" i="60"/>
  <c r="G84" i="60" s="1"/>
  <c r="H61" i="60"/>
  <c r="H84" i="60" s="1"/>
  <c r="K61" i="60"/>
  <c r="F84" i="60"/>
  <c r="K84" i="60"/>
  <c r="K85" i="60"/>
  <c r="F90" i="60"/>
  <c r="C96" i="60"/>
  <c r="D96" i="60"/>
  <c r="E96" i="60"/>
  <c r="F96" i="60"/>
  <c r="F142" i="60" s="1"/>
  <c r="G96" i="60"/>
  <c r="G142" i="60" s="1"/>
  <c r="B97" i="60"/>
  <c r="B99" i="60"/>
  <c r="D101" i="60"/>
  <c r="D102" i="60"/>
  <c r="D103" i="60"/>
  <c r="D104" i="60"/>
  <c r="D105" i="60"/>
  <c r="B107" i="60"/>
  <c r="B109" i="60"/>
  <c r="E109" i="60"/>
  <c r="B110" i="60"/>
  <c r="E110" i="60"/>
  <c r="E111" i="60"/>
  <c r="E112" i="60"/>
  <c r="E113" i="60"/>
  <c r="E114" i="60"/>
  <c r="E115" i="60"/>
  <c r="E116" i="60"/>
  <c r="E117" i="60"/>
  <c r="E118" i="60"/>
  <c r="E119" i="60"/>
  <c r="E120" i="60"/>
  <c r="E121" i="60"/>
  <c r="E122" i="60"/>
  <c r="E123" i="60"/>
  <c r="E124" i="60"/>
  <c r="E125" i="60"/>
  <c r="E126" i="60"/>
  <c r="E127" i="60"/>
  <c r="B130" i="60"/>
  <c r="C132" i="60"/>
  <c r="E132" i="60"/>
  <c r="E133" i="60"/>
  <c r="E134" i="60"/>
  <c r="E135" i="60"/>
  <c r="E136" i="60"/>
  <c r="E137" i="60"/>
  <c r="I154" i="60"/>
  <c r="F137" i="60" l="1"/>
  <c r="E24" i="54"/>
  <c r="C136" i="60"/>
  <c r="B23" i="54"/>
  <c r="D23" i="54" s="1"/>
  <c r="C137" i="60"/>
  <c r="B24" i="54"/>
  <c r="D24" i="54" s="1"/>
  <c r="C135" i="60"/>
  <c r="C133" i="60"/>
  <c r="B20" i="54"/>
  <c r="D20" i="54" s="1"/>
  <c r="C134" i="60"/>
  <c r="B21" i="54"/>
  <c r="D21" i="54" s="1"/>
  <c r="E64" i="54" s="1"/>
  <c r="D130" i="53"/>
  <c r="D138" i="53"/>
  <c r="D146" i="53"/>
  <c r="D154" i="53"/>
  <c r="D162" i="53"/>
  <c r="D170" i="53"/>
  <c r="D178" i="53"/>
  <c r="D186" i="53"/>
  <c r="D194" i="53"/>
  <c r="D202" i="53"/>
  <c r="D210" i="53"/>
  <c r="D218" i="53"/>
  <c r="D226" i="53"/>
  <c r="D234" i="53"/>
  <c r="D242" i="53"/>
  <c r="D250" i="53"/>
  <c r="D258" i="53"/>
  <c r="D266" i="53"/>
  <c r="D274" i="53"/>
  <c r="D177" i="53"/>
  <c r="D209" i="53"/>
  <c r="D241" i="53"/>
  <c r="D131" i="53"/>
  <c r="D139" i="53"/>
  <c r="D147" i="53"/>
  <c r="D155" i="53"/>
  <c r="D163" i="53"/>
  <c r="D171" i="53"/>
  <c r="D179" i="53"/>
  <c r="D187" i="53"/>
  <c r="D195" i="53"/>
  <c r="D203" i="53"/>
  <c r="D211" i="53"/>
  <c r="D219" i="53"/>
  <c r="D227" i="53"/>
  <c r="D235" i="53"/>
  <c r="D243" i="53"/>
  <c r="D251" i="53"/>
  <c r="D259" i="53"/>
  <c r="D267" i="53"/>
  <c r="D275" i="53"/>
  <c r="D169" i="53"/>
  <c r="D217" i="53"/>
  <c r="D265" i="53"/>
  <c r="D132" i="53"/>
  <c r="D140" i="53"/>
  <c r="D148" i="53"/>
  <c r="D156" i="53"/>
  <c r="D164" i="53"/>
  <c r="D172" i="53"/>
  <c r="D180" i="53"/>
  <c r="D188" i="53"/>
  <c r="D196" i="53"/>
  <c r="D204" i="53"/>
  <c r="D212" i="53"/>
  <c r="D220" i="53"/>
  <c r="D228" i="53"/>
  <c r="D236" i="53"/>
  <c r="D244" i="53"/>
  <c r="D252" i="53"/>
  <c r="D260" i="53"/>
  <c r="D268" i="53"/>
  <c r="D276" i="53"/>
  <c r="D185" i="53"/>
  <c r="D133" i="53"/>
  <c r="D141" i="53"/>
  <c r="D149" i="53"/>
  <c r="D157" i="53"/>
  <c r="D165" i="53"/>
  <c r="D173" i="53"/>
  <c r="D181" i="53"/>
  <c r="D189" i="53"/>
  <c r="D197" i="53"/>
  <c r="D205" i="53"/>
  <c r="D213" i="53"/>
  <c r="D221" i="53"/>
  <c r="D229" i="53"/>
  <c r="D237" i="53"/>
  <c r="D245" i="53"/>
  <c r="D253" i="53"/>
  <c r="D261" i="53"/>
  <c r="D269" i="53"/>
  <c r="D277" i="53"/>
  <c r="D161" i="53"/>
  <c r="D225" i="53"/>
  <c r="D273" i="53"/>
  <c r="D134" i="53"/>
  <c r="D142" i="53"/>
  <c r="D150" i="53"/>
  <c r="D158" i="53"/>
  <c r="D166" i="53"/>
  <c r="D174" i="53"/>
  <c r="D182" i="53"/>
  <c r="D190" i="53"/>
  <c r="D198" i="53"/>
  <c r="D206" i="53"/>
  <c r="D214" i="53"/>
  <c r="D222" i="53"/>
  <c r="D230" i="53"/>
  <c r="D238" i="53"/>
  <c r="D246" i="53"/>
  <c r="D254" i="53"/>
  <c r="D262" i="53"/>
  <c r="D270" i="53"/>
  <c r="D278" i="53"/>
  <c r="D153" i="53"/>
  <c r="D193" i="53"/>
  <c r="D249" i="53"/>
  <c r="D135" i="53"/>
  <c r="D143" i="53"/>
  <c r="D151" i="53"/>
  <c r="D159" i="53"/>
  <c r="D167" i="53"/>
  <c r="D175" i="53"/>
  <c r="D183" i="53"/>
  <c r="D191" i="53"/>
  <c r="D199" i="53"/>
  <c r="D207" i="53"/>
  <c r="D215" i="53"/>
  <c r="D223" i="53"/>
  <c r="D231" i="53"/>
  <c r="D239" i="53"/>
  <c r="D247" i="53"/>
  <c r="D255" i="53"/>
  <c r="D263" i="53"/>
  <c r="D271" i="53"/>
  <c r="D279" i="53"/>
  <c r="D145" i="53"/>
  <c r="D233" i="53"/>
  <c r="D136" i="53"/>
  <c r="D144" i="53"/>
  <c r="D152" i="53"/>
  <c r="D160" i="53"/>
  <c r="D168" i="53"/>
  <c r="D176" i="53"/>
  <c r="D184" i="53"/>
  <c r="D192" i="53"/>
  <c r="D200" i="53"/>
  <c r="D208" i="53"/>
  <c r="D216" i="53"/>
  <c r="D224" i="53"/>
  <c r="D232" i="53"/>
  <c r="D240" i="53"/>
  <c r="D248" i="53"/>
  <c r="D256" i="53"/>
  <c r="D264" i="53"/>
  <c r="D272" i="53"/>
  <c r="D280" i="53"/>
  <c r="D137" i="53"/>
  <c r="D201" i="53"/>
  <c r="D257" i="53"/>
  <c r="F147" i="60"/>
  <c r="G144" i="60"/>
  <c r="G57" i="60"/>
  <c r="G104" i="60" s="1"/>
  <c r="H109" i="60"/>
  <c r="I109" i="60" s="1"/>
  <c r="H116" i="60"/>
  <c r="I116" i="60" s="1"/>
  <c r="G116" i="60"/>
  <c r="H136" i="60"/>
  <c r="I136" i="60" s="1"/>
  <c r="H135" i="60"/>
  <c r="I135" i="60" s="1"/>
  <c r="I113" i="60"/>
  <c r="G117" i="60"/>
  <c r="G71" i="60"/>
  <c r="G118" i="60" s="1"/>
  <c r="G65" i="60"/>
  <c r="G112" i="60" s="1"/>
  <c r="I101" i="60"/>
  <c r="I133" i="60"/>
  <c r="H65" i="60"/>
  <c r="H112" i="60" s="1"/>
  <c r="H71" i="60"/>
  <c r="H118" i="60" s="1"/>
  <c r="I119" i="60"/>
  <c r="I111" i="60"/>
  <c r="G67" i="60"/>
  <c r="G73" i="60"/>
  <c r="G120" i="60" s="1"/>
  <c r="H55" i="60"/>
  <c r="H102" i="60" s="1"/>
  <c r="I102" i="60" s="1"/>
  <c r="I110" i="60"/>
  <c r="H67" i="60"/>
  <c r="H114" i="60" s="1"/>
  <c r="H73" i="60"/>
  <c r="H120" i="60" s="1"/>
  <c r="I132" i="60"/>
  <c r="I103" i="60"/>
  <c r="G55" i="60"/>
  <c r="G102" i="60" s="1"/>
  <c r="H151" i="60"/>
  <c r="I134" i="60"/>
  <c r="G137" i="60"/>
  <c r="G136" i="60"/>
  <c r="G135" i="60"/>
  <c r="H152" i="60"/>
  <c r="I137" i="60"/>
  <c r="I117" i="60"/>
  <c r="F144" i="60"/>
  <c r="G146" i="60"/>
  <c r="F146" i="60"/>
  <c r="G143" i="60"/>
  <c r="F143" i="60"/>
  <c r="F148" i="60"/>
  <c r="G109" i="60"/>
  <c r="H57" i="60"/>
  <c r="H104" i="60" s="1"/>
  <c r="F145" i="60"/>
  <c r="G150" i="60" l="1"/>
  <c r="F150" i="60"/>
  <c r="G149" i="60"/>
  <c r="F149" i="60"/>
  <c r="E43" i="54"/>
  <c r="E51" i="54"/>
  <c r="E59" i="54"/>
  <c r="E67" i="54"/>
  <c r="E75" i="54"/>
  <c r="E83" i="54"/>
  <c r="E91" i="54"/>
  <c r="E99" i="54"/>
  <c r="E107" i="54"/>
  <c r="E115" i="54"/>
  <c r="E123" i="54"/>
  <c r="E98" i="54"/>
  <c r="E44" i="54"/>
  <c r="E52" i="54"/>
  <c r="E60" i="54"/>
  <c r="E68" i="54"/>
  <c r="E76" i="54"/>
  <c r="E84" i="54"/>
  <c r="E92" i="54"/>
  <c r="E100" i="54"/>
  <c r="E108" i="54"/>
  <c r="E116" i="54"/>
  <c r="E124" i="54"/>
  <c r="E50" i="54"/>
  <c r="E74" i="54"/>
  <c r="E122" i="54"/>
  <c r="E37" i="54"/>
  <c r="E45" i="54"/>
  <c r="E53" i="54"/>
  <c r="E61" i="54"/>
  <c r="E69" i="54"/>
  <c r="E77" i="54"/>
  <c r="E85" i="54"/>
  <c r="E93" i="54"/>
  <c r="E101" i="54"/>
  <c r="E109" i="54"/>
  <c r="E117" i="54"/>
  <c r="E125" i="54"/>
  <c r="E42" i="54"/>
  <c r="E58" i="54"/>
  <c r="E114" i="54"/>
  <c r="E38" i="54"/>
  <c r="E46" i="54"/>
  <c r="E54" i="54"/>
  <c r="E62" i="54"/>
  <c r="E70" i="54"/>
  <c r="E78" i="54"/>
  <c r="E86" i="54"/>
  <c r="E94" i="54"/>
  <c r="E102" i="54"/>
  <c r="E110" i="54"/>
  <c r="E118" i="54"/>
  <c r="E126" i="54"/>
  <c r="E106" i="54"/>
  <c r="E39" i="54"/>
  <c r="E47" i="54"/>
  <c r="E55" i="54"/>
  <c r="E63" i="54"/>
  <c r="E71" i="54"/>
  <c r="E79" i="54"/>
  <c r="E87" i="54"/>
  <c r="E95" i="54"/>
  <c r="E103" i="54"/>
  <c r="E111" i="54"/>
  <c r="E119" i="54"/>
  <c r="E36" i="54"/>
  <c r="E90" i="54"/>
  <c r="E40" i="54"/>
  <c r="E48" i="54"/>
  <c r="E56" i="54"/>
  <c r="E72" i="54"/>
  <c r="E80" i="54"/>
  <c r="E88" i="54"/>
  <c r="E96" i="54"/>
  <c r="E104" i="54"/>
  <c r="E112" i="54"/>
  <c r="E120" i="54"/>
  <c r="E82" i="54"/>
  <c r="E41" i="54"/>
  <c r="E49" i="54"/>
  <c r="E57" i="54"/>
  <c r="E65" i="54"/>
  <c r="E73" i="54"/>
  <c r="E81" i="54"/>
  <c r="E89" i="54"/>
  <c r="E97" i="54"/>
  <c r="E105" i="54"/>
  <c r="E113" i="54"/>
  <c r="E121" i="54"/>
  <c r="E66" i="54"/>
  <c r="H144" i="60"/>
  <c r="H150" i="60"/>
  <c r="H74" i="60"/>
  <c r="H121" i="60" s="1"/>
  <c r="I120" i="60"/>
  <c r="G74" i="60"/>
  <c r="I112" i="60"/>
  <c r="I114" i="60"/>
  <c r="H68" i="60"/>
  <c r="H115" i="60" s="1"/>
  <c r="H143" i="60"/>
  <c r="G68" i="60"/>
  <c r="G115" i="60" s="1"/>
  <c r="G114" i="60"/>
  <c r="G145" i="60" s="1"/>
  <c r="H145" i="60" s="1"/>
  <c r="H58" i="60"/>
  <c r="I104" i="60"/>
  <c r="I118" i="60"/>
  <c r="G58" i="60"/>
  <c r="G105" i="60" s="1"/>
  <c r="H146" i="60"/>
  <c r="H149" i="60"/>
  <c r="E26" i="54" l="1"/>
  <c r="C66" i="53" s="1"/>
  <c r="E25" i="54"/>
  <c r="H105" i="60"/>
  <c r="I105" i="60" s="1"/>
  <c r="I115" i="60"/>
  <c r="G121" i="60"/>
  <c r="G75" i="60"/>
  <c r="I121" i="60"/>
  <c r="H75" i="60"/>
  <c r="H122" i="60" s="1"/>
  <c r="I122" i="60" l="1"/>
  <c r="H76" i="60"/>
  <c r="H123" i="60" s="1"/>
  <c r="G76" i="60"/>
  <c r="G122" i="60"/>
  <c r="G123" i="60" l="1"/>
  <c r="G147" i="60" s="1"/>
  <c r="H147" i="60" s="1"/>
  <c r="G77" i="60"/>
  <c r="I123" i="60"/>
  <c r="H77" i="60"/>
  <c r="H124" i="60" s="1"/>
  <c r="G124" i="60" l="1"/>
  <c r="G78" i="60"/>
  <c r="I124" i="60"/>
  <c r="H78" i="60"/>
  <c r="H125" i="60" s="1"/>
  <c r="G125" i="60" l="1"/>
  <c r="G79" i="60"/>
  <c r="I125" i="60"/>
  <c r="H79" i="60"/>
  <c r="H126" i="60" s="1"/>
  <c r="I126" i="60" l="1"/>
  <c r="H80" i="60"/>
  <c r="H127" i="60" s="1"/>
  <c r="G126" i="60"/>
  <c r="G80" i="60"/>
  <c r="B55" i="53"/>
  <c r="B56" i="53"/>
  <c r="B57" i="53"/>
  <c r="B58" i="53"/>
  <c r="B54" i="53"/>
  <c r="E92" i="53"/>
  <c r="E93" i="53"/>
  <c r="E94" i="53"/>
  <c r="E91" i="53"/>
  <c r="F20" i="59"/>
  <c r="F19" i="59"/>
  <c r="C47" i="59"/>
  <c r="C49" i="59" s="1"/>
  <c r="E21" i="59"/>
  <c r="F21" i="59"/>
  <c r="E22" i="59"/>
  <c r="F22" i="59"/>
  <c r="E23" i="59"/>
  <c r="F23" i="59"/>
  <c r="E24" i="59"/>
  <c r="F24" i="59"/>
  <c r="E25" i="59"/>
  <c r="F25" i="59"/>
  <c r="E30" i="59"/>
  <c r="F30" i="59"/>
  <c r="E31" i="59"/>
  <c r="F31" i="59"/>
  <c r="F37" i="59"/>
  <c r="F38" i="59"/>
  <c r="F39" i="59"/>
  <c r="E40" i="59"/>
  <c r="F40" i="59"/>
  <c r="F41" i="59"/>
  <c r="F42" i="59"/>
  <c r="G127" i="60" l="1"/>
  <c r="G148" i="60" s="1"/>
  <c r="H148" i="60" s="1"/>
  <c r="I127" i="60"/>
  <c r="E95" i="53"/>
  <c r="E155" i="56" l="1"/>
  <c r="F310" i="53" s="1"/>
  <c r="D155" i="56"/>
  <c r="E303" i="53" s="1"/>
  <c r="C155" i="56"/>
  <c r="D375" i="53" s="1"/>
  <c r="B155" i="56"/>
  <c r="C330" i="53" s="1"/>
  <c r="I72" i="53"/>
  <c r="F100" i="53"/>
  <c r="F127" i="53"/>
  <c r="G127" i="53"/>
  <c r="H127" i="53"/>
  <c r="I127" i="53"/>
  <c r="J127" i="53"/>
  <c r="N127" i="53"/>
  <c r="N130" i="53"/>
  <c r="G130" i="53"/>
  <c r="M130" i="53"/>
  <c r="L134" i="53"/>
  <c r="G146" i="53"/>
  <c r="C104" i="53"/>
  <c r="H138" i="53"/>
  <c r="L138" i="53"/>
  <c r="E289" i="53"/>
  <c r="E290" i="53"/>
  <c r="E291" i="53"/>
  <c r="E294" i="53"/>
  <c r="E295" i="53"/>
  <c r="E298" i="53"/>
  <c r="E299" i="53"/>
  <c r="E300" i="53"/>
  <c r="D302" i="53"/>
  <c r="E302" i="53"/>
  <c r="D303" i="53"/>
  <c r="E306" i="53"/>
  <c r="E307" i="53"/>
  <c r="D308" i="53"/>
  <c r="E310" i="53"/>
  <c r="D314" i="53"/>
  <c r="E314" i="53"/>
  <c r="D315" i="53"/>
  <c r="E317" i="53"/>
  <c r="D321" i="53"/>
  <c r="E321" i="53"/>
  <c r="E322" i="53"/>
  <c r="E324" i="53"/>
  <c r="D325" i="53"/>
  <c r="E325" i="53"/>
  <c r="D328" i="53"/>
  <c r="E328" i="53"/>
  <c r="E329" i="53"/>
  <c r="E331" i="53"/>
  <c r="E332" i="53"/>
  <c r="D335" i="53"/>
  <c r="E335" i="53"/>
  <c r="E336" i="53"/>
  <c r="E338" i="53"/>
  <c r="E339" i="53"/>
  <c r="D340" i="53"/>
  <c r="E342" i="53"/>
  <c r="D346" i="53"/>
  <c r="E346" i="53"/>
  <c r="D347" i="53"/>
  <c r="E349" i="53"/>
  <c r="D353" i="53"/>
  <c r="E353" i="53"/>
  <c r="E354" i="53"/>
  <c r="E356" i="53"/>
  <c r="D357" i="53"/>
  <c r="E357" i="53"/>
  <c r="D360" i="53"/>
  <c r="E360" i="53"/>
  <c r="E361" i="53"/>
  <c r="E363" i="53"/>
  <c r="E364" i="53"/>
  <c r="D367" i="53"/>
  <c r="E367" i="53"/>
  <c r="E368" i="53"/>
  <c r="E370" i="53"/>
  <c r="E371" i="53"/>
  <c r="D372" i="53"/>
  <c r="D374" i="53"/>
  <c r="E376" i="53"/>
  <c r="E377" i="53"/>
  <c r="E378" i="53"/>
  <c r="D380" i="53"/>
  <c r="E380" i="53"/>
  <c r="D383" i="53"/>
  <c r="E383" i="53"/>
  <c r="E384" i="53"/>
  <c r="E386" i="53"/>
  <c r="D387" i="53"/>
  <c r="E389" i="53"/>
  <c r="D391" i="53"/>
  <c r="E391" i="53"/>
  <c r="E392" i="53"/>
  <c r="D393" i="53"/>
  <c r="D394" i="53"/>
  <c r="E394" i="53"/>
  <c r="D395" i="53"/>
  <c r="E395" i="53"/>
  <c r="E397" i="53"/>
  <c r="D398" i="53"/>
  <c r="D399" i="53"/>
  <c r="E399" i="53"/>
  <c r="E400" i="53"/>
  <c r="E401" i="53"/>
  <c r="E403" i="53"/>
  <c r="D404" i="53"/>
  <c r="E404" i="53"/>
  <c r="E406" i="53"/>
  <c r="E407" i="53"/>
  <c r="D408" i="53"/>
  <c r="E409" i="53"/>
  <c r="D412" i="53"/>
  <c r="E412" i="53"/>
  <c r="E414" i="53"/>
  <c r="E415" i="53"/>
  <c r="D416" i="53"/>
  <c r="E417" i="53"/>
  <c r="E418" i="53"/>
  <c r="E420" i="53"/>
  <c r="E421" i="53"/>
  <c r="D422" i="53"/>
  <c r="D423" i="53"/>
  <c r="E423" i="53"/>
  <c r="E424" i="53"/>
  <c r="D426" i="53"/>
  <c r="E426" i="53"/>
  <c r="D428" i="53"/>
  <c r="E428" i="53"/>
  <c r="E430" i="53"/>
  <c r="E431" i="53"/>
  <c r="E433" i="53"/>
  <c r="E434" i="53"/>
  <c r="D435" i="53"/>
  <c r="E436" i="53"/>
  <c r="D437" i="53"/>
  <c r="D438" i="53"/>
  <c r="E438" i="53"/>
  <c r="C52" i="45"/>
  <c r="C51" i="45" s="1"/>
  <c r="C50" i="45" s="1"/>
  <c r="C49" i="45" s="1"/>
  <c r="C48" i="45" s="1"/>
  <c r="C47" i="45" s="1"/>
  <c r="C46" i="45" s="1"/>
  <c r="C45" i="45" s="1"/>
  <c r="C44" i="45" s="1"/>
  <c r="C43" i="45" s="1"/>
  <c r="C42" i="45" s="1"/>
  <c r="C55" i="45"/>
  <c r="C54" i="45" s="1"/>
  <c r="C53" i="45" s="1"/>
  <c r="C56" i="45"/>
  <c r="G79" i="45"/>
  <c r="G90" i="45"/>
  <c r="G89" i="45" s="1"/>
  <c r="G88" i="45" s="1"/>
  <c r="G87" i="45" s="1"/>
  <c r="G86" i="45" s="1"/>
  <c r="G85" i="45" s="1"/>
  <c r="G84" i="45" s="1"/>
  <c r="G83" i="45" s="1"/>
  <c r="G82" i="45" s="1"/>
  <c r="G81" i="45" s="1"/>
  <c r="C99" i="45"/>
  <c r="C100" i="45" s="1"/>
  <c r="C101" i="45" s="1"/>
  <c r="C102" i="45" s="1"/>
  <c r="C104" i="45" s="1"/>
  <c r="E54" i="45"/>
  <c r="C418" i="53" l="1"/>
  <c r="C406" i="53"/>
  <c r="C437" i="53"/>
  <c r="C314" i="53"/>
  <c r="C421" i="53"/>
  <c r="C409" i="53"/>
  <c r="C398" i="53"/>
  <c r="C350" i="53"/>
  <c r="C426" i="53"/>
  <c r="C402" i="53"/>
  <c r="C393" i="53"/>
  <c r="C378" i="53"/>
  <c r="C338" i="53"/>
  <c r="C436" i="53"/>
  <c r="C430" i="53"/>
  <c r="C425" i="53"/>
  <c r="C420" i="53"/>
  <c r="C414" i="53"/>
  <c r="C397" i="53"/>
  <c r="C386" i="53"/>
  <c r="C429" i="53"/>
  <c r="C413" i="53"/>
  <c r="C401" i="53"/>
  <c r="C434" i="53"/>
  <c r="C405" i="53"/>
  <c r="C390" i="53"/>
  <c r="C354" i="53"/>
  <c r="C438" i="53"/>
  <c r="C428" i="53"/>
  <c r="C417" i="53"/>
  <c r="C410" i="53"/>
  <c r="C361" i="53"/>
  <c r="C433" i="53"/>
  <c r="C394" i="53"/>
  <c r="C389" i="53"/>
  <c r="C370" i="53"/>
  <c r="C346" i="53"/>
  <c r="C326" i="53"/>
  <c r="C321" i="53"/>
  <c r="C310" i="53"/>
  <c r="C377" i="53"/>
  <c r="C318" i="53"/>
  <c r="C289" i="53"/>
  <c r="C358" i="53"/>
  <c r="C353" i="53"/>
  <c r="C342" i="53"/>
  <c r="C374" i="53"/>
  <c r="C306" i="53"/>
  <c r="C329" i="53"/>
  <c r="C322" i="53"/>
  <c r="C294" i="53"/>
  <c r="F430" i="53"/>
  <c r="F414" i="53"/>
  <c r="F391" i="53"/>
  <c r="F363" i="53"/>
  <c r="F338" i="53"/>
  <c r="F306" i="53"/>
  <c r="F425" i="53"/>
  <c r="F422" i="53"/>
  <c r="F408" i="53"/>
  <c r="F402" i="53"/>
  <c r="F385" i="53"/>
  <c r="F366" i="53"/>
  <c r="F359" i="53"/>
  <c r="F293" i="53"/>
  <c r="E435" i="53"/>
  <c r="F429" i="53"/>
  <c r="E422" i="53"/>
  <c r="E408" i="53"/>
  <c r="F396" i="53"/>
  <c r="E385" i="53"/>
  <c r="F379" i="53"/>
  <c r="E373" i="53"/>
  <c r="E366" i="53"/>
  <c r="F355" i="53"/>
  <c r="E352" i="53"/>
  <c r="E348" i="53"/>
  <c r="E345" i="53"/>
  <c r="F341" i="53"/>
  <c r="E334" i="53"/>
  <c r="F330" i="53"/>
  <c r="E327" i="53"/>
  <c r="F323" i="53"/>
  <c r="E320" i="53"/>
  <c r="E316" i="53"/>
  <c r="E313" i="53"/>
  <c r="F309" i="53"/>
  <c r="E297" i="53"/>
  <c r="E293" i="53"/>
  <c r="E288" i="53"/>
  <c r="F403" i="53"/>
  <c r="F420" i="53"/>
  <c r="F399" i="53"/>
  <c r="F349" i="53"/>
  <c r="F331" i="53"/>
  <c r="F317" i="53"/>
  <c r="F302" i="53"/>
  <c r="F298" i="53"/>
  <c r="F435" i="53"/>
  <c r="F405" i="53"/>
  <c r="F388" i="53"/>
  <c r="F373" i="53"/>
  <c r="F334" i="53"/>
  <c r="F327" i="53"/>
  <c r="F432" i="53"/>
  <c r="F427" i="53"/>
  <c r="E405" i="53"/>
  <c r="E402" i="53"/>
  <c r="E388" i="53"/>
  <c r="E382" i="53"/>
  <c r="F375" i="53"/>
  <c r="F362" i="53"/>
  <c r="E429" i="53"/>
  <c r="F416" i="53"/>
  <c r="F410" i="53"/>
  <c r="F398" i="53"/>
  <c r="F393" i="53"/>
  <c r="F390" i="53"/>
  <c r="F387" i="53"/>
  <c r="D385" i="53"/>
  <c r="D382" i="53"/>
  <c r="E379" i="53"/>
  <c r="E375" i="53"/>
  <c r="F372" i="53"/>
  <c r="E369" i="53"/>
  <c r="D366" i="53"/>
  <c r="E362" i="53"/>
  <c r="F358" i="53"/>
  <c r="E355" i="53"/>
  <c r="F351" i="53"/>
  <c r="F347" i="53"/>
  <c r="C345" i="53"/>
  <c r="E341" i="53"/>
  <c r="E337" i="53"/>
  <c r="D334" i="53"/>
  <c r="E330" i="53"/>
  <c r="F326" i="53"/>
  <c r="E323" i="53"/>
  <c r="F319" i="53"/>
  <c r="F315" i="53"/>
  <c r="C313" i="53"/>
  <c r="E309" i="53"/>
  <c r="E305" i="53"/>
  <c r="F301" i="53"/>
  <c r="E296" i="53"/>
  <c r="E292" i="53"/>
  <c r="F292" i="53"/>
  <c r="F411" i="53"/>
  <c r="F382" i="53"/>
  <c r="F437" i="53"/>
  <c r="E425" i="53"/>
  <c r="E411" i="53"/>
  <c r="E359" i="53"/>
  <c r="E437" i="53"/>
  <c r="E432" i="53"/>
  <c r="E427" i="53"/>
  <c r="F419" i="53"/>
  <c r="F413" i="53"/>
  <c r="E396" i="53"/>
  <c r="F434" i="53"/>
  <c r="D432" i="53"/>
  <c r="D429" i="53"/>
  <c r="D427" i="53"/>
  <c r="F424" i="53"/>
  <c r="C422" i="53"/>
  <c r="E419" i="53"/>
  <c r="E416" i="53"/>
  <c r="E413" i="53"/>
  <c r="E410" i="53"/>
  <c r="F407" i="53"/>
  <c r="F404" i="53"/>
  <c r="F401" i="53"/>
  <c r="E398" i="53"/>
  <c r="F395" i="53"/>
  <c r="E393" i="53"/>
  <c r="E390" i="53"/>
  <c r="E387" i="53"/>
  <c r="C385" i="53"/>
  <c r="C382" i="53"/>
  <c r="F378" i="53"/>
  <c r="E372" i="53"/>
  <c r="C369" i="53"/>
  <c r="C366" i="53"/>
  <c r="C362" i="53"/>
  <c r="E358" i="53"/>
  <c r="F354" i="53"/>
  <c r="E351" i="53"/>
  <c r="E347" i="53"/>
  <c r="E344" i="53"/>
  <c r="E340" i="53"/>
  <c r="C337" i="53"/>
  <c r="C334" i="53"/>
  <c r="E326" i="53"/>
  <c r="F322" i="53"/>
  <c r="E319" i="53"/>
  <c r="E315" i="53"/>
  <c r="E312" i="53"/>
  <c r="E308" i="53"/>
  <c r="E304" i="53"/>
  <c r="E301" i="53"/>
  <c r="F295" i="53"/>
  <c r="F291" i="53"/>
  <c r="F433" i="53"/>
  <c r="F431" i="53"/>
  <c r="F421" i="53"/>
  <c r="F381" i="53"/>
  <c r="F374" i="53"/>
  <c r="F350" i="53"/>
  <c r="F343" i="53"/>
  <c r="F318" i="53"/>
  <c r="F311" i="53"/>
  <c r="F303" i="53"/>
  <c r="G55" i="53"/>
  <c r="F417" i="53"/>
  <c r="F370" i="53"/>
  <c r="F426" i="53"/>
  <c r="F418" i="53"/>
  <c r="F365" i="53"/>
  <c r="F333" i="53"/>
  <c r="F438" i="53"/>
  <c r="F436" i="53"/>
  <c r="F428" i="53"/>
  <c r="F423" i="53"/>
  <c r="F415" i="53"/>
  <c r="F412" i="53"/>
  <c r="F409" i="53"/>
  <c r="F406" i="53"/>
  <c r="F389" i="53"/>
  <c r="F386" i="53"/>
  <c r="F383" i="53"/>
  <c r="E381" i="53"/>
  <c r="E374" i="53"/>
  <c r="F371" i="53"/>
  <c r="F367" i="53"/>
  <c r="E365" i="53"/>
  <c r="F357" i="53"/>
  <c r="E350" i="53"/>
  <c r="F346" i="53"/>
  <c r="E343" i="53"/>
  <c r="F339" i="53"/>
  <c r="F335" i="53"/>
  <c r="E333" i="53"/>
  <c r="F325" i="53"/>
  <c r="E318" i="53"/>
  <c r="F314" i="53"/>
  <c r="E311" i="53"/>
  <c r="F307" i="53"/>
  <c r="F299" i="53"/>
  <c r="F294" i="53"/>
  <c r="F290" i="53"/>
  <c r="F397" i="53"/>
  <c r="F394" i="53"/>
  <c r="F380" i="53"/>
  <c r="F342" i="53"/>
  <c r="C305" i="53"/>
  <c r="C302" i="53"/>
  <c r="C298" i="53"/>
  <c r="C297" i="53"/>
  <c r="C290" i="53"/>
  <c r="D288" i="53"/>
  <c r="G56" i="53"/>
  <c r="D296" i="53"/>
  <c r="D293" i="53"/>
  <c r="D289" i="53"/>
  <c r="C138" i="53"/>
  <c r="C146" i="53"/>
  <c r="C154" i="53"/>
  <c r="C162" i="53"/>
  <c r="C170" i="53"/>
  <c r="C178" i="53"/>
  <c r="C186" i="53"/>
  <c r="C194" i="53"/>
  <c r="C202" i="53"/>
  <c r="C210" i="53"/>
  <c r="C218" i="53"/>
  <c r="C226" i="53"/>
  <c r="C234" i="53"/>
  <c r="C242" i="53"/>
  <c r="C250" i="53"/>
  <c r="C258" i="53"/>
  <c r="C266" i="53"/>
  <c r="C274" i="53"/>
  <c r="C160" i="53"/>
  <c r="C208" i="53"/>
  <c r="C256" i="53"/>
  <c r="C185" i="53"/>
  <c r="C225" i="53"/>
  <c r="C139" i="53"/>
  <c r="C147" i="53"/>
  <c r="C155" i="53"/>
  <c r="C163" i="53"/>
  <c r="C171" i="53"/>
  <c r="C179" i="53"/>
  <c r="C187" i="53"/>
  <c r="C195" i="53"/>
  <c r="C203" i="53"/>
  <c r="C211" i="53"/>
  <c r="C219" i="53"/>
  <c r="C227" i="53"/>
  <c r="C235" i="53"/>
  <c r="C243" i="53"/>
  <c r="C251" i="53"/>
  <c r="C259" i="53"/>
  <c r="C267" i="53"/>
  <c r="C275" i="53"/>
  <c r="C184" i="53"/>
  <c r="C232" i="53"/>
  <c r="C280" i="53"/>
  <c r="C145" i="53"/>
  <c r="C201" i="53"/>
  <c r="C249" i="53"/>
  <c r="C140" i="53"/>
  <c r="C148" i="53"/>
  <c r="C156" i="53"/>
  <c r="C164" i="53"/>
  <c r="C172" i="53"/>
  <c r="C180" i="53"/>
  <c r="C188" i="53"/>
  <c r="C196" i="53"/>
  <c r="C204" i="53"/>
  <c r="C212" i="53"/>
  <c r="C220" i="53"/>
  <c r="C228" i="53"/>
  <c r="C236" i="53"/>
  <c r="C244" i="53"/>
  <c r="C252" i="53"/>
  <c r="C260" i="53"/>
  <c r="C268" i="53"/>
  <c r="C276" i="53"/>
  <c r="C176" i="53"/>
  <c r="C240" i="53"/>
  <c r="C177" i="53"/>
  <c r="C233" i="53"/>
  <c r="C141" i="53"/>
  <c r="C149" i="53"/>
  <c r="C157" i="53"/>
  <c r="C165" i="53"/>
  <c r="C173" i="53"/>
  <c r="C181" i="53"/>
  <c r="C189" i="53"/>
  <c r="C197" i="53"/>
  <c r="C205" i="53"/>
  <c r="C213" i="53"/>
  <c r="C221" i="53"/>
  <c r="C229" i="53"/>
  <c r="C237" i="53"/>
  <c r="C245" i="53"/>
  <c r="C253" i="53"/>
  <c r="C261" i="53"/>
  <c r="C269" i="53"/>
  <c r="C277" i="53"/>
  <c r="C168" i="53"/>
  <c r="C192" i="53"/>
  <c r="C224" i="53"/>
  <c r="C272" i="53"/>
  <c r="C161" i="53"/>
  <c r="C209" i="53"/>
  <c r="C257" i="53"/>
  <c r="C142" i="53"/>
  <c r="C150" i="53"/>
  <c r="C158" i="53"/>
  <c r="C166" i="53"/>
  <c r="C174" i="53"/>
  <c r="C182" i="53"/>
  <c r="C190" i="53"/>
  <c r="C198" i="53"/>
  <c r="C206" i="53"/>
  <c r="C214" i="53"/>
  <c r="C222" i="53"/>
  <c r="C230" i="53"/>
  <c r="C238" i="53"/>
  <c r="C246" i="53"/>
  <c r="C254" i="53"/>
  <c r="C262" i="53"/>
  <c r="C270" i="53"/>
  <c r="C278" i="53"/>
  <c r="C144" i="53"/>
  <c r="C200" i="53"/>
  <c r="C248" i="53"/>
  <c r="C153" i="53"/>
  <c r="C217" i="53"/>
  <c r="C265" i="53"/>
  <c r="C143" i="53"/>
  <c r="C151" i="53"/>
  <c r="C159" i="53"/>
  <c r="C167" i="53"/>
  <c r="C175" i="53"/>
  <c r="C183" i="53"/>
  <c r="C191" i="53"/>
  <c r="C199" i="53"/>
  <c r="C207" i="53"/>
  <c r="C215" i="53"/>
  <c r="C223" i="53"/>
  <c r="C231" i="53"/>
  <c r="C239" i="53"/>
  <c r="C247" i="53"/>
  <c r="C255" i="53"/>
  <c r="C263" i="53"/>
  <c r="C271" i="53"/>
  <c r="C279" i="53"/>
  <c r="C152" i="53"/>
  <c r="C216" i="53"/>
  <c r="C264" i="53"/>
  <c r="C169" i="53"/>
  <c r="C193" i="53"/>
  <c r="C241" i="53"/>
  <c r="C273" i="53"/>
  <c r="L141" i="53"/>
  <c r="G136" i="53"/>
  <c r="H132" i="53"/>
  <c r="N137" i="53"/>
  <c r="L140" i="53"/>
  <c r="G178" i="53"/>
  <c r="N133" i="53"/>
  <c r="N136" i="53"/>
  <c r="L133" i="53"/>
  <c r="L137" i="53"/>
  <c r="H252" i="53"/>
  <c r="H240" i="53"/>
  <c r="H222" i="53"/>
  <c r="H243" i="53"/>
  <c r="H184" i="53"/>
  <c r="H140" i="53"/>
  <c r="H275" i="53"/>
  <c r="H268" i="53"/>
  <c r="H246" i="53"/>
  <c r="H201" i="53"/>
  <c r="H172" i="53"/>
  <c r="H147" i="53"/>
  <c r="G219" i="53"/>
  <c r="G215" i="53"/>
  <c r="H209" i="53"/>
  <c r="H199" i="53"/>
  <c r="H187" i="53"/>
  <c r="H271" i="53"/>
  <c r="H249" i="53"/>
  <c r="H234" i="53"/>
  <c r="H217" i="53"/>
  <c r="H261" i="53"/>
  <c r="H232" i="53"/>
  <c r="H167" i="53"/>
  <c r="H152" i="53"/>
  <c r="H279" i="53"/>
  <c r="H272" i="53"/>
  <c r="H250" i="53"/>
  <c r="H237" i="53"/>
  <c r="H225" i="53"/>
  <c r="H220" i="53"/>
  <c r="H212" i="53"/>
  <c r="H207" i="53"/>
  <c r="H204" i="53"/>
  <c r="H194" i="53"/>
  <c r="H185" i="53"/>
  <c r="H170" i="53"/>
  <c r="H164" i="53"/>
  <c r="H161" i="53"/>
  <c r="H158" i="53"/>
  <c r="G134" i="53"/>
  <c r="H256" i="53"/>
  <c r="H191" i="53"/>
  <c r="H178" i="53"/>
  <c r="H141" i="53"/>
  <c r="H276" i="53"/>
  <c r="H273" i="53"/>
  <c r="H269" i="53"/>
  <c r="H266" i="53"/>
  <c r="H262" i="53"/>
  <c r="H257" i="53"/>
  <c r="H253" i="53"/>
  <c r="H247" i="53"/>
  <c r="H244" i="53"/>
  <c r="H241" i="53"/>
  <c r="H230" i="53"/>
  <c r="H210" i="53"/>
  <c r="H188" i="53"/>
  <c r="H173" i="53"/>
  <c r="H153" i="53"/>
  <c r="H148" i="53"/>
  <c r="H278" i="53"/>
  <c r="H227" i="53"/>
  <c r="H175" i="53"/>
  <c r="H150" i="53"/>
  <c r="H280" i="53"/>
  <c r="H258" i="53"/>
  <c r="H235" i="53"/>
  <c r="H233" i="53"/>
  <c r="H228" i="53"/>
  <c r="H223" i="53"/>
  <c r="H221" i="53"/>
  <c r="H218" i="53"/>
  <c r="H215" i="53"/>
  <c r="H205" i="53"/>
  <c r="H202" i="53"/>
  <c r="H200" i="53"/>
  <c r="H195" i="53"/>
  <c r="H192" i="53"/>
  <c r="H182" i="53"/>
  <c r="H179" i="53"/>
  <c r="H176" i="53"/>
  <c r="H168" i="53"/>
  <c r="H162" i="53"/>
  <c r="H156" i="53"/>
  <c r="H142" i="53"/>
  <c r="H274" i="53"/>
  <c r="H267" i="53"/>
  <c r="H263" i="53"/>
  <c r="H259" i="53"/>
  <c r="H254" i="53"/>
  <c r="H251" i="53"/>
  <c r="H242" i="53"/>
  <c r="H238" i="53"/>
  <c r="H226" i="53"/>
  <c r="H213" i="53"/>
  <c r="H208" i="53"/>
  <c r="H198" i="53"/>
  <c r="H189" i="53"/>
  <c r="H186" i="53"/>
  <c r="H171" i="53"/>
  <c r="H165" i="53"/>
  <c r="H159" i="53"/>
  <c r="H151" i="53"/>
  <c r="G131" i="53"/>
  <c r="H265" i="53"/>
  <c r="H214" i="53"/>
  <c r="H181" i="53"/>
  <c r="H277" i="53"/>
  <c r="H270" i="53"/>
  <c r="H248" i="53"/>
  <c r="H245" i="53"/>
  <c r="H206" i="53"/>
  <c r="H196" i="53"/>
  <c r="H190" i="53"/>
  <c r="H183" i="53"/>
  <c r="H180" i="53"/>
  <c r="H174" i="53"/>
  <c r="H154" i="53"/>
  <c r="M140" i="53"/>
  <c r="H139" i="53"/>
  <c r="H197" i="53"/>
  <c r="H155" i="53"/>
  <c r="H264" i="53"/>
  <c r="H260" i="53"/>
  <c r="H255" i="53"/>
  <c r="H239" i="53"/>
  <c r="H236" i="53"/>
  <c r="H231" i="53"/>
  <c r="H229" i="53"/>
  <c r="H224" i="53"/>
  <c r="H219" i="53"/>
  <c r="H216" i="53"/>
  <c r="H211" i="53"/>
  <c r="H203" i="53"/>
  <c r="H193" i="53"/>
  <c r="H177" i="53"/>
  <c r="H169" i="53"/>
  <c r="H166" i="53"/>
  <c r="H163" i="53"/>
  <c r="H160" i="53"/>
  <c r="H157" i="53"/>
  <c r="G244" i="53"/>
  <c r="G227" i="53"/>
  <c r="G223" i="53"/>
  <c r="G170" i="53"/>
  <c r="G258" i="53"/>
  <c r="G231" i="53"/>
  <c r="G194" i="53"/>
  <c r="G162" i="53"/>
  <c r="G252" i="53"/>
  <c r="G144" i="53"/>
  <c r="G236" i="53"/>
  <c r="G202" i="53"/>
  <c r="G186" i="53"/>
  <c r="G145" i="53"/>
  <c r="G207" i="53"/>
  <c r="G151" i="53"/>
  <c r="G248" i="53"/>
  <c r="G211" i="53"/>
  <c r="G155" i="53"/>
  <c r="H135" i="53"/>
  <c r="H136" i="53"/>
  <c r="H137" i="53"/>
  <c r="H145" i="53"/>
  <c r="H144" i="53"/>
  <c r="H143" i="53"/>
  <c r="H133" i="53"/>
  <c r="H146" i="53"/>
  <c r="H134" i="53"/>
  <c r="H149" i="53"/>
  <c r="G257" i="53"/>
  <c r="G201" i="53"/>
  <c r="G193" i="53"/>
  <c r="G185" i="53"/>
  <c r="G177" i="53"/>
  <c r="G169" i="53"/>
  <c r="G161" i="53"/>
  <c r="G264" i="53"/>
  <c r="G256" i="53"/>
  <c r="G251" i="53"/>
  <c r="G247" i="53"/>
  <c r="G242" i="53"/>
  <c r="G234" i="53"/>
  <c r="G230" i="53"/>
  <c r="G226" i="53"/>
  <c r="G222" i="53"/>
  <c r="G218" i="53"/>
  <c r="G214" i="53"/>
  <c r="G210" i="53"/>
  <c r="G206" i="53"/>
  <c r="G200" i="53"/>
  <c r="G192" i="53"/>
  <c r="G184" i="53"/>
  <c r="G176" i="53"/>
  <c r="G168" i="53"/>
  <c r="G160" i="53"/>
  <c r="G154" i="53"/>
  <c r="G153" i="53"/>
  <c r="G152" i="53"/>
  <c r="G143" i="53"/>
  <c r="G142" i="53"/>
  <c r="G141" i="53"/>
  <c r="L136" i="53"/>
  <c r="L130" i="53"/>
  <c r="E69" i="53" s="1"/>
  <c r="G276" i="53"/>
  <c r="G243" i="53"/>
  <c r="G279" i="53"/>
  <c r="G275" i="53"/>
  <c r="G271" i="53"/>
  <c r="G267" i="53"/>
  <c r="G263" i="53"/>
  <c r="G255" i="53"/>
  <c r="G241" i="53"/>
  <c r="G199" i="53"/>
  <c r="G191" i="53"/>
  <c r="G183" i="53"/>
  <c r="G175" i="53"/>
  <c r="G167" i="53"/>
  <c r="G159" i="53"/>
  <c r="G140" i="53"/>
  <c r="G139" i="53"/>
  <c r="N135" i="53"/>
  <c r="N131" i="53"/>
  <c r="I130" i="53"/>
  <c r="I131" i="53" s="1"/>
  <c r="I132" i="53" s="1"/>
  <c r="I133" i="53" s="1"/>
  <c r="I134" i="53" s="1"/>
  <c r="I135" i="53" s="1"/>
  <c r="I136" i="53" s="1"/>
  <c r="I137" i="53" s="1"/>
  <c r="I138" i="53" s="1"/>
  <c r="I139" i="53" s="1"/>
  <c r="I140" i="53" s="1"/>
  <c r="I141" i="53" s="1"/>
  <c r="I142" i="53" s="1"/>
  <c r="I143" i="53" s="1"/>
  <c r="I144" i="53" s="1"/>
  <c r="I145" i="53" s="1"/>
  <c r="I146" i="53" s="1"/>
  <c r="I147" i="53" s="1"/>
  <c r="I148" i="53" s="1"/>
  <c r="I149" i="53" s="1"/>
  <c r="I150" i="53" s="1"/>
  <c r="I151" i="53" s="1"/>
  <c r="I152" i="53" s="1"/>
  <c r="I153" i="53" s="1"/>
  <c r="I154" i="53" s="1"/>
  <c r="I155" i="53" s="1"/>
  <c r="I156" i="53" s="1"/>
  <c r="I157" i="53" s="1"/>
  <c r="I158" i="53" s="1"/>
  <c r="I159" i="53" s="1"/>
  <c r="I160" i="53" s="1"/>
  <c r="I161" i="53" s="1"/>
  <c r="I162" i="53" s="1"/>
  <c r="I163" i="53" s="1"/>
  <c r="I164" i="53" s="1"/>
  <c r="I165" i="53" s="1"/>
  <c r="I166" i="53" s="1"/>
  <c r="I167" i="53" s="1"/>
  <c r="I168" i="53" s="1"/>
  <c r="I169" i="53" s="1"/>
  <c r="I170" i="53" s="1"/>
  <c r="I171" i="53" s="1"/>
  <c r="I172" i="53" s="1"/>
  <c r="I173" i="53" s="1"/>
  <c r="I174" i="53" s="1"/>
  <c r="I175" i="53" s="1"/>
  <c r="I176" i="53" s="1"/>
  <c r="I177" i="53" s="1"/>
  <c r="I178" i="53" s="1"/>
  <c r="I179" i="53" s="1"/>
  <c r="I180" i="53" s="1"/>
  <c r="I181" i="53" s="1"/>
  <c r="I182" i="53" s="1"/>
  <c r="I183" i="53" s="1"/>
  <c r="I184" i="53" s="1"/>
  <c r="I185" i="53" s="1"/>
  <c r="I186" i="53" s="1"/>
  <c r="I187" i="53" s="1"/>
  <c r="I188" i="53" s="1"/>
  <c r="I189" i="53" s="1"/>
  <c r="I190" i="53" s="1"/>
  <c r="I191" i="53" s="1"/>
  <c r="I192" i="53" s="1"/>
  <c r="I193" i="53" s="1"/>
  <c r="I194" i="53" s="1"/>
  <c r="I195" i="53" s="1"/>
  <c r="I196" i="53" s="1"/>
  <c r="I197" i="53" s="1"/>
  <c r="I198" i="53" s="1"/>
  <c r="I199" i="53" s="1"/>
  <c r="I200" i="53" s="1"/>
  <c r="I201" i="53" s="1"/>
  <c r="I202" i="53" s="1"/>
  <c r="I203" i="53" s="1"/>
  <c r="I204" i="53" s="1"/>
  <c r="I205" i="53" s="1"/>
  <c r="I206" i="53" s="1"/>
  <c r="I207" i="53" s="1"/>
  <c r="I208" i="53" s="1"/>
  <c r="I209" i="53" s="1"/>
  <c r="I210" i="53" s="1"/>
  <c r="I211" i="53" s="1"/>
  <c r="I212" i="53" s="1"/>
  <c r="I213" i="53" s="1"/>
  <c r="I214" i="53" s="1"/>
  <c r="I215" i="53" s="1"/>
  <c r="I216" i="53" s="1"/>
  <c r="I217" i="53" s="1"/>
  <c r="I218" i="53" s="1"/>
  <c r="I219" i="53" s="1"/>
  <c r="I220" i="53" s="1"/>
  <c r="I221" i="53" s="1"/>
  <c r="I222" i="53" s="1"/>
  <c r="I223" i="53" s="1"/>
  <c r="I224" i="53" s="1"/>
  <c r="I225" i="53" s="1"/>
  <c r="I226" i="53" s="1"/>
  <c r="I227" i="53" s="1"/>
  <c r="I228" i="53" s="1"/>
  <c r="I229" i="53" s="1"/>
  <c r="I230" i="53" s="1"/>
  <c r="I231" i="53" s="1"/>
  <c r="I232" i="53" s="1"/>
  <c r="I233" i="53" s="1"/>
  <c r="I234" i="53" s="1"/>
  <c r="I235" i="53" s="1"/>
  <c r="I236" i="53" s="1"/>
  <c r="I237" i="53" s="1"/>
  <c r="I238" i="53" s="1"/>
  <c r="I239" i="53" s="1"/>
  <c r="I240" i="53" s="1"/>
  <c r="I241" i="53" s="1"/>
  <c r="I242" i="53" s="1"/>
  <c r="I243" i="53" s="1"/>
  <c r="I244" i="53" s="1"/>
  <c r="I245" i="53" s="1"/>
  <c r="I246" i="53" s="1"/>
  <c r="I247" i="53" s="1"/>
  <c r="I248" i="53" s="1"/>
  <c r="I249" i="53" s="1"/>
  <c r="I250" i="53" s="1"/>
  <c r="I251" i="53" s="1"/>
  <c r="I252" i="53" s="1"/>
  <c r="I253" i="53" s="1"/>
  <c r="I254" i="53" s="1"/>
  <c r="I255" i="53" s="1"/>
  <c r="I256" i="53" s="1"/>
  <c r="I257" i="53" s="1"/>
  <c r="I258" i="53" s="1"/>
  <c r="I259" i="53" s="1"/>
  <c r="I260" i="53" s="1"/>
  <c r="I261" i="53" s="1"/>
  <c r="I262" i="53" s="1"/>
  <c r="I263" i="53" s="1"/>
  <c r="I264" i="53" s="1"/>
  <c r="I265" i="53" s="1"/>
  <c r="I266" i="53" s="1"/>
  <c r="I267" i="53" s="1"/>
  <c r="I268" i="53" s="1"/>
  <c r="I269" i="53" s="1"/>
  <c r="I270" i="53" s="1"/>
  <c r="I271" i="53" s="1"/>
  <c r="I272" i="53" s="1"/>
  <c r="I273" i="53" s="1"/>
  <c r="I274" i="53" s="1"/>
  <c r="I275" i="53" s="1"/>
  <c r="I276" i="53" s="1"/>
  <c r="I277" i="53" s="1"/>
  <c r="I278" i="53" s="1"/>
  <c r="I279" i="53" s="1"/>
  <c r="I280" i="53" s="1"/>
  <c r="G280" i="53"/>
  <c r="G235" i="53"/>
  <c r="G262" i="53"/>
  <c r="G254" i="53"/>
  <c r="G250" i="53"/>
  <c r="G246" i="53"/>
  <c r="G240" i="53"/>
  <c r="G233" i="53"/>
  <c r="G229" i="53"/>
  <c r="G225" i="53"/>
  <c r="G221" i="53"/>
  <c r="G217" i="53"/>
  <c r="G213" i="53"/>
  <c r="G209" i="53"/>
  <c r="G205" i="53"/>
  <c r="G198" i="53"/>
  <c r="G190" i="53"/>
  <c r="G182" i="53"/>
  <c r="G174" i="53"/>
  <c r="G166" i="53"/>
  <c r="L135" i="53"/>
  <c r="L131" i="53"/>
  <c r="G272" i="53"/>
  <c r="G278" i="53"/>
  <c r="G274" i="53"/>
  <c r="G270" i="53"/>
  <c r="G266" i="53"/>
  <c r="G261" i="53"/>
  <c r="G239" i="53"/>
  <c r="G197" i="53"/>
  <c r="G189" i="53"/>
  <c r="G181" i="53"/>
  <c r="G173" i="53"/>
  <c r="G165" i="53"/>
  <c r="G158" i="53"/>
  <c r="N132" i="53"/>
  <c r="G268" i="53"/>
  <c r="G260" i="53"/>
  <c r="G253" i="53"/>
  <c r="G249" i="53"/>
  <c r="G245" i="53"/>
  <c r="G238" i="53"/>
  <c r="G232" i="53"/>
  <c r="G228" i="53"/>
  <c r="G224" i="53"/>
  <c r="G220" i="53"/>
  <c r="G216" i="53"/>
  <c r="G212" i="53"/>
  <c r="G208" i="53"/>
  <c r="G204" i="53"/>
  <c r="G196" i="53"/>
  <c r="G188" i="53"/>
  <c r="G180" i="53"/>
  <c r="G172" i="53"/>
  <c r="G164" i="53"/>
  <c r="G157" i="53"/>
  <c r="G150" i="53"/>
  <c r="G149" i="53"/>
  <c r="G148" i="53"/>
  <c r="N134" i="53"/>
  <c r="L132" i="53"/>
  <c r="H131" i="53"/>
  <c r="G277" i="53"/>
  <c r="G273" i="53"/>
  <c r="G269" i="53"/>
  <c r="G265" i="53"/>
  <c r="G259" i="53"/>
  <c r="G237" i="53"/>
  <c r="G203" i="53"/>
  <c r="G195" i="53"/>
  <c r="G187" i="53"/>
  <c r="G179" i="53"/>
  <c r="G171" i="53"/>
  <c r="G163" i="53"/>
  <c r="G156" i="53"/>
  <c r="G147" i="53"/>
  <c r="F155" i="56"/>
  <c r="G399" i="53" s="1"/>
  <c r="M137" i="53"/>
  <c r="N139" i="53"/>
  <c r="G138" i="53"/>
  <c r="G132" i="53"/>
  <c r="M139" i="53"/>
  <c r="G135" i="53"/>
  <c r="G133" i="53"/>
  <c r="N141" i="53"/>
  <c r="L139" i="53"/>
  <c r="M136" i="53"/>
  <c r="M134" i="53"/>
  <c r="M141" i="53"/>
  <c r="N138" i="53"/>
  <c r="G137" i="53"/>
  <c r="M138" i="53"/>
  <c r="M132" i="53"/>
  <c r="N140" i="53"/>
  <c r="M135" i="53"/>
  <c r="M133" i="53"/>
  <c r="D397" i="53"/>
  <c r="D290" i="53"/>
  <c r="D384" i="53"/>
  <c r="D368" i="53"/>
  <c r="D361" i="53"/>
  <c r="D354" i="53"/>
  <c r="D323" i="53"/>
  <c r="D311" i="53"/>
  <c r="D297" i="53"/>
  <c r="D436" i="53"/>
  <c r="D434" i="53"/>
  <c r="D417" i="53"/>
  <c r="D413" i="53"/>
  <c r="D409" i="53"/>
  <c r="D405" i="53"/>
  <c r="D401" i="53"/>
  <c r="D390" i="53"/>
  <c r="D386" i="53"/>
  <c r="D377" i="53"/>
  <c r="D363" i="53"/>
  <c r="D356" i="53"/>
  <c r="D351" i="53"/>
  <c r="D344" i="53"/>
  <c r="D337" i="53"/>
  <c r="D330" i="53"/>
  <c r="D318" i="53"/>
  <c r="D309" i="53"/>
  <c r="D299" i="53"/>
  <c r="D292" i="53"/>
  <c r="D425" i="53"/>
  <c r="D421" i="53"/>
  <c r="D419" i="53"/>
  <c r="D415" i="53"/>
  <c r="D411" i="53"/>
  <c r="D407" i="53"/>
  <c r="D403" i="53"/>
  <c r="D373" i="53"/>
  <c r="D342" i="53"/>
  <c r="D333" i="53"/>
  <c r="D316" i="53"/>
  <c r="D304" i="53"/>
  <c r="D430" i="53"/>
  <c r="D392" i="53"/>
  <c r="D388" i="53"/>
  <c r="D379" i="53"/>
  <c r="D370" i="53"/>
  <c r="D358" i="53"/>
  <c r="D349" i="53"/>
  <c r="D339" i="53"/>
  <c r="D332" i="53"/>
  <c r="D327" i="53"/>
  <c r="D320" i="53"/>
  <c r="D313" i="53"/>
  <c r="D306" i="53"/>
  <c r="D294" i="53"/>
  <c r="D424" i="53"/>
  <c r="D420" i="53"/>
  <c r="D418" i="53"/>
  <c r="D414" i="53"/>
  <c r="D410" i="53"/>
  <c r="D406" i="53"/>
  <c r="D402" i="53"/>
  <c r="D400" i="53"/>
  <c r="D396" i="53"/>
  <c r="D381" i="53"/>
  <c r="D376" i="53"/>
  <c r="D365" i="53"/>
  <c r="D355" i="53"/>
  <c r="D348" i="53"/>
  <c r="D343" i="53"/>
  <c r="D336" i="53"/>
  <c r="D329" i="53"/>
  <c r="D322" i="53"/>
  <c r="D310" i="53"/>
  <c r="D301" i="53"/>
  <c r="D291" i="53"/>
  <c r="D369" i="53"/>
  <c r="D362" i="53"/>
  <c r="D350" i="53"/>
  <c r="D341" i="53"/>
  <c r="D331" i="53"/>
  <c r="D324" i="53"/>
  <c r="D319" i="53"/>
  <c r="D312" i="53"/>
  <c r="D305" i="53"/>
  <c r="D298" i="53"/>
  <c r="D433" i="53"/>
  <c r="D431" i="53"/>
  <c r="D389" i="53"/>
  <c r="D378" i="53"/>
  <c r="D371" i="53"/>
  <c r="D364" i="53"/>
  <c r="D359" i="53"/>
  <c r="D352" i="53"/>
  <c r="D345" i="53"/>
  <c r="D338" i="53"/>
  <c r="D326" i="53"/>
  <c r="D317" i="53"/>
  <c r="D307" i="53"/>
  <c r="D300" i="53"/>
  <c r="D295" i="53"/>
  <c r="C404" i="53"/>
  <c r="C388" i="53"/>
  <c r="C380" i="53"/>
  <c r="C364" i="53"/>
  <c r="C348" i="53"/>
  <c r="C340" i="53"/>
  <c r="C332" i="53"/>
  <c r="C316" i="53"/>
  <c r="C308" i="53"/>
  <c r="C300" i="53"/>
  <c r="C292" i="53"/>
  <c r="C412" i="53"/>
  <c r="C396" i="53"/>
  <c r="C372" i="53"/>
  <c r="C356" i="53"/>
  <c r="C324" i="53"/>
  <c r="C431" i="53"/>
  <c r="C423" i="53"/>
  <c r="C415" i="53"/>
  <c r="C407" i="53"/>
  <c r="F400" i="53"/>
  <c r="C399" i="53"/>
  <c r="F392" i="53"/>
  <c r="C391" i="53"/>
  <c r="F384" i="53"/>
  <c r="C383" i="53"/>
  <c r="F376" i="53"/>
  <c r="C375" i="53"/>
  <c r="F368" i="53"/>
  <c r="C367" i="53"/>
  <c r="F360" i="53"/>
  <c r="C359" i="53"/>
  <c r="F352" i="53"/>
  <c r="C351" i="53"/>
  <c r="F344" i="53"/>
  <c r="C343" i="53"/>
  <c r="F336" i="53"/>
  <c r="C335" i="53"/>
  <c r="F328" i="53"/>
  <c r="C327" i="53"/>
  <c r="F320" i="53"/>
  <c r="C319" i="53"/>
  <c r="F312" i="53"/>
  <c r="C311" i="53"/>
  <c r="F304" i="53"/>
  <c r="C303" i="53"/>
  <c r="F296" i="53"/>
  <c r="C295" i="53"/>
  <c r="F288" i="53"/>
  <c r="C373" i="53"/>
  <c r="C325" i="53"/>
  <c r="C381" i="53"/>
  <c r="C357" i="53"/>
  <c r="C349" i="53"/>
  <c r="C341" i="53"/>
  <c r="C333" i="53"/>
  <c r="C432" i="53"/>
  <c r="C424" i="53"/>
  <c r="C416" i="53"/>
  <c r="C408" i="53"/>
  <c r="C400" i="53"/>
  <c r="C392" i="53"/>
  <c r="C384" i="53"/>
  <c r="F377" i="53"/>
  <c r="C376" i="53"/>
  <c r="F369" i="53"/>
  <c r="C368" i="53"/>
  <c r="F361" i="53"/>
  <c r="C360" i="53"/>
  <c r="F353" i="53"/>
  <c r="C352" i="53"/>
  <c r="F345" i="53"/>
  <c r="C344" i="53"/>
  <c r="F337" i="53"/>
  <c r="C336" i="53"/>
  <c r="F329" i="53"/>
  <c r="C328" i="53"/>
  <c r="F321" i="53"/>
  <c r="C320" i="53"/>
  <c r="F313" i="53"/>
  <c r="C312" i="53"/>
  <c r="F305" i="53"/>
  <c r="C304" i="53"/>
  <c r="F297" i="53"/>
  <c r="C296" i="53"/>
  <c r="F289" i="53"/>
  <c r="C288" i="53"/>
  <c r="C365" i="53"/>
  <c r="C317" i="53"/>
  <c r="C309" i="53"/>
  <c r="C301" i="53"/>
  <c r="C293" i="53"/>
  <c r="C435" i="53"/>
  <c r="C427" i="53"/>
  <c r="C419" i="53"/>
  <c r="C411" i="53"/>
  <c r="C403" i="53"/>
  <c r="C395" i="53"/>
  <c r="C387" i="53"/>
  <c r="C379" i="53"/>
  <c r="C371" i="53"/>
  <c r="F364" i="53"/>
  <c r="C363" i="53"/>
  <c r="F356" i="53"/>
  <c r="C355" i="53"/>
  <c r="F348" i="53"/>
  <c r="C347" i="53"/>
  <c r="F340" i="53"/>
  <c r="C339" i="53"/>
  <c r="F332" i="53"/>
  <c r="C331" i="53"/>
  <c r="F324" i="53"/>
  <c r="C323" i="53"/>
  <c r="F316" i="53"/>
  <c r="C315" i="53"/>
  <c r="F308" i="53"/>
  <c r="C307" i="53"/>
  <c r="F300" i="53"/>
  <c r="C299" i="53"/>
  <c r="C291" i="53"/>
  <c r="M131" i="53"/>
  <c r="L125" i="43"/>
  <c r="L126" i="43"/>
  <c r="L127" i="43"/>
  <c r="L128" i="43"/>
  <c r="N125" i="43"/>
  <c r="N126" i="43"/>
  <c r="N127" i="43"/>
  <c r="N128" i="43"/>
  <c r="M126" i="43"/>
  <c r="M127" i="43"/>
  <c r="M128" i="43"/>
  <c r="N129" i="43"/>
  <c r="N130" i="43"/>
  <c r="N131" i="43"/>
  <c r="M129" i="43"/>
  <c r="M130" i="43"/>
  <c r="M131" i="43"/>
  <c r="L129" i="43"/>
  <c r="L130" i="43"/>
  <c r="L131" i="43"/>
  <c r="K129" i="43"/>
  <c r="K130" i="43"/>
  <c r="K131" i="43"/>
  <c r="J129" i="43"/>
  <c r="J130" i="43"/>
  <c r="I129" i="43"/>
  <c r="I130" i="43"/>
  <c r="H129" i="43"/>
  <c r="H130" i="43"/>
  <c r="H131" i="43"/>
  <c r="G129" i="43"/>
  <c r="G130" i="43"/>
  <c r="G131" i="43"/>
  <c r="B137" i="43"/>
  <c r="B138" i="43"/>
  <c r="B139" i="43"/>
  <c r="G324" i="53" l="1"/>
  <c r="G300" i="53"/>
  <c r="G396" i="53"/>
  <c r="E439" i="53"/>
  <c r="C439" i="53"/>
  <c r="F439" i="53"/>
  <c r="D439" i="53"/>
  <c r="G323" i="53"/>
  <c r="G368" i="53"/>
  <c r="G367" i="53"/>
  <c r="G321" i="53"/>
  <c r="G299" i="53"/>
  <c r="G361" i="53"/>
  <c r="C54" i="53" a="1"/>
  <c r="C54" i="53" s="1"/>
  <c r="G319" i="53"/>
  <c r="G289" i="53"/>
  <c r="G329" i="53"/>
  <c r="F156" i="56"/>
  <c r="G54" i="53"/>
  <c r="D21" i="62" s="1"/>
  <c r="G349" i="53"/>
  <c r="G346" i="53"/>
  <c r="G318" i="53"/>
  <c r="G317" i="53"/>
  <c r="G298" i="53"/>
  <c r="G430" i="53"/>
  <c r="G303" i="53"/>
  <c r="G375" i="53"/>
  <c r="G407" i="53"/>
  <c r="G348" i="53"/>
  <c r="G404" i="53"/>
  <c r="G345" i="53"/>
  <c r="G288" i="53"/>
  <c r="G422" i="53"/>
  <c r="G428" i="53"/>
  <c r="G327" i="53"/>
  <c r="G351" i="53"/>
  <c r="G297" i="53"/>
  <c r="G377" i="53"/>
  <c r="G369" i="53"/>
  <c r="G331" i="53"/>
  <c r="G379" i="53"/>
  <c r="G312" i="53"/>
  <c r="G392" i="53"/>
  <c r="G304" i="53"/>
  <c r="G376" i="53"/>
  <c r="G374" i="53"/>
  <c r="G429" i="53"/>
  <c r="G296" i="53"/>
  <c r="G383" i="53"/>
  <c r="G415" i="53"/>
  <c r="G332" i="53"/>
  <c r="G380" i="53"/>
  <c r="G412" i="53"/>
  <c r="G353" i="53"/>
  <c r="G320" i="53"/>
  <c r="G418" i="53"/>
  <c r="G293" i="53"/>
  <c r="G311" i="53"/>
  <c r="G315" i="53"/>
  <c r="G408" i="53"/>
  <c r="G410" i="53"/>
  <c r="G338" i="53"/>
  <c r="G347" i="53"/>
  <c r="G395" i="53"/>
  <c r="G360" i="53"/>
  <c r="G393" i="53"/>
  <c r="G403" i="53"/>
  <c r="G335" i="53"/>
  <c r="G391" i="53"/>
  <c r="G423" i="53"/>
  <c r="G313" i="53"/>
  <c r="G316" i="53"/>
  <c r="G388" i="53"/>
  <c r="G420" i="53"/>
  <c r="G339" i="53"/>
  <c r="G363" i="53"/>
  <c r="G387" i="53"/>
  <c r="G411" i="53"/>
  <c r="G336" i="53"/>
  <c r="G432" i="53"/>
  <c r="G365" i="53"/>
  <c r="G342" i="53"/>
  <c r="G340" i="53"/>
  <c r="G364" i="53"/>
  <c r="G352" i="53"/>
  <c r="G424" i="53"/>
  <c r="G416" i="53"/>
  <c r="G435" i="53"/>
  <c r="G398" i="53"/>
  <c r="G413" i="53"/>
  <c r="G306" i="53"/>
  <c r="G326" i="53"/>
  <c r="G397" i="53"/>
  <c r="G417" i="53"/>
  <c r="G427" i="53"/>
  <c r="G425" i="53"/>
  <c r="G409" i="53"/>
  <c r="G295" i="53"/>
  <c r="G406" i="53"/>
  <c r="G325" i="53"/>
  <c r="G366" i="53"/>
  <c r="G421" i="53"/>
  <c r="G405" i="53"/>
  <c r="G402" i="53"/>
  <c r="G437" i="53"/>
  <c r="G314" i="53"/>
  <c r="G373" i="53"/>
  <c r="G401" i="53"/>
  <c r="G426" i="53"/>
  <c r="G381" i="53"/>
  <c r="G350" i="53"/>
  <c r="G302" i="53"/>
  <c r="G354" i="53"/>
  <c r="G386" i="53"/>
  <c r="G394" i="53"/>
  <c r="G310" i="53"/>
  <c r="G389" i="53"/>
  <c r="G431" i="53"/>
  <c r="G290" i="53"/>
  <c r="G309" i="53"/>
  <c r="H128" i="53"/>
  <c r="D68" i="53" s="1"/>
  <c r="D128" i="53"/>
  <c r="C68" i="53" s="1"/>
  <c r="N128" i="53"/>
  <c r="E68" i="53" s="1"/>
  <c r="D71" i="53"/>
  <c r="G378" i="53"/>
  <c r="G359" i="53"/>
  <c r="G308" i="53"/>
  <c r="G372" i="53"/>
  <c r="G305" i="53"/>
  <c r="G385" i="53"/>
  <c r="G307" i="53"/>
  <c r="G371" i="53"/>
  <c r="G419" i="53"/>
  <c r="G344" i="53"/>
  <c r="G328" i="53"/>
  <c r="G384" i="53"/>
  <c r="G294" i="53"/>
  <c r="G334" i="53"/>
  <c r="G322" i="53"/>
  <c r="G362" i="53"/>
  <c r="G382" i="53"/>
  <c r="G433" i="53"/>
  <c r="G333" i="53"/>
  <c r="G390" i="53"/>
  <c r="G370" i="53"/>
  <c r="G358" i="53"/>
  <c r="G343" i="53"/>
  <c r="G292" i="53"/>
  <c r="G356" i="53"/>
  <c r="G337" i="53"/>
  <c r="G291" i="53"/>
  <c r="G355" i="53"/>
  <c r="G400" i="53"/>
  <c r="G436" i="53"/>
  <c r="G414" i="53"/>
  <c r="G301" i="53"/>
  <c r="G341" i="53"/>
  <c r="G357" i="53"/>
  <c r="G438" i="53"/>
  <c r="G434" i="53"/>
  <c r="G330" i="53"/>
  <c r="G128" i="53"/>
  <c r="D67" i="53" s="1"/>
  <c r="F67" i="53" s="1"/>
  <c r="G67" i="53" s="1"/>
  <c r="M128" i="53"/>
  <c r="E67" i="53" s="1"/>
  <c r="I128" i="53"/>
  <c r="D69" i="53" s="1"/>
  <c r="F128" i="53"/>
  <c r="D66" i="53" s="1"/>
  <c r="L128" i="53"/>
  <c r="E66" i="53" s="1"/>
  <c r="G439" i="53" l="1"/>
  <c r="C57" i="53"/>
  <c r="C55" i="53"/>
  <c r="C58" i="53"/>
  <c r="C56" i="53"/>
  <c r="C21" i="62"/>
  <c r="G59" i="53"/>
  <c r="F66" i="53"/>
  <c r="F68" i="53"/>
  <c r="G68" i="53" s="1"/>
  <c r="H68" i="53"/>
  <c r="I68" i="53" s="1"/>
  <c r="C128" i="53"/>
  <c r="C70" i="53" s="1"/>
  <c r="O128" i="53"/>
  <c r="E70" i="53" s="1"/>
  <c r="J128" i="53"/>
  <c r="D70" i="53" s="1"/>
  <c r="H67" i="53"/>
  <c r="I67" i="53" s="1"/>
  <c r="F69" i="53"/>
  <c r="G69" i="53" s="1"/>
  <c r="H69" i="53"/>
  <c r="I69" i="53" s="1"/>
  <c r="H66" i="53"/>
  <c r="I66" i="53" s="1"/>
  <c r="E71" i="53" l="1"/>
  <c r="H71" i="53" s="1"/>
  <c r="I71" i="53" s="1"/>
  <c r="C71" i="53"/>
  <c r="C59" i="53"/>
  <c r="F70" i="53"/>
  <c r="G70" i="53" s="1"/>
  <c r="H70" i="53"/>
  <c r="I70" i="53" s="1"/>
  <c r="D16" i="34" l="1"/>
  <c r="C17" i="34"/>
  <c r="C59" i="34" l="1"/>
  <c r="C49" i="34"/>
  <c r="C50" i="34"/>
  <c r="C69" i="34"/>
  <c r="C51" i="34" l="1"/>
  <c r="C58" i="34" s="1"/>
  <c r="C60" i="34" s="1"/>
  <c r="D58" i="34" s="1"/>
  <c r="D64" i="34" l="1"/>
  <c r="D39" i="34"/>
  <c r="D42" i="34"/>
  <c r="D38" i="34"/>
  <c r="D41" i="34"/>
  <c r="D40" i="34"/>
  <c r="D59" i="34"/>
  <c r="G35" i="50"/>
  <c r="M32" i="31" l="1"/>
  <c r="N32" i="31"/>
  <c r="O32" i="31"/>
  <c r="P32" i="31"/>
  <c r="P113" i="50" l="1"/>
  <c r="P126" i="50"/>
  <c r="P135" i="50" s="1"/>
  <c r="P68" i="50"/>
  <c r="P62" i="50"/>
  <c r="P32" i="50"/>
  <c r="P87" i="50"/>
  <c r="P88" i="50"/>
  <c r="O89" i="50"/>
  <c r="O88" i="50"/>
  <c r="O87" i="50"/>
  <c r="P89" i="50"/>
  <c r="P35" i="50" l="1"/>
  <c r="P34" i="50"/>
  <c r="P33" i="50"/>
  <c r="P109" i="50"/>
  <c r="O35" i="50"/>
  <c r="O34" i="50"/>
  <c r="O33" i="50"/>
  <c r="B56" i="33"/>
  <c r="M48" i="33" s="1"/>
  <c r="P131" i="50" l="1"/>
  <c r="P122" i="50"/>
  <c r="M7" i="23"/>
  <c r="Q7" i="23"/>
  <c r="D78" i="50" l="1"/>
  <c r="D79" i="50"/>
  <c r="D77" i="50"/>
  <c r="B61" i="45"/>
  <c r="O62" i="50"/>
  <c r="N62" i="50"/>
  <c r="M62" i="50"/>
  <c r="L62" i="50"/>
  <c r="K62" i="50"/>
  <c r="J62" i="50"/>
  <c r="I62" i="50"/>
  <c r="H62" i="50"/>
  <c r="G62" i="50"/>
  <c r="F62" i="50"/>
  <c r="E62" i="50"/>
  <c r="G84" i="50"/>
  <c r="H32" i="50"/>
  <c r="I32" i="50"/>
  <c r="J32" i="50"/>
  <c r="K32" i="50"/>
  <c r="L32" i="50"/>
  <c r="M32" i="50"/>
  <c r="N32" i="50"/>
  <c r="O32" i="50"/>
  <c r="G32" i="50"/>
  <c r="F32" i="50"/>
  <c r="H35" i="50"/>
  <c r="I35" i="50"/>
  <c r="J35" i="50"/>
  <c r="K35" i="50"/>
  <c r="K50" i="50" s="1"/>
  <c r="H34" i="50"/>
  <c r="I34" i="50"/>
  <c r="J34" i="50"/>
  <c r="K34" i="50"/>
  <c r="K49" i="50" s="1"/>
  <c r="L34" i="50"/>
  <c r="H33" i="50"/>
  <c r="I33" i="50"/>
  <c r="J33" i="50"/>
  <c r="K33" i="50"/>
  <c r="K48" i="50" s="1"/>
  <c r="F35" i="50"/>
  <c r="F42" i="50" s="1"/>
  <c r="F34" i="50"/>
  <c r="F33" i="50"/>
  <c r="G34" i="50"/>
  <c r="L126" i="50"/>
  <c r="M126" i="50"/>
  <c r="N126" i="50"/>
  <c r="O126" i="50"/>
  <c r="L135" i="50"/>
  <c r="M135" i="50"/>
  <c r="N135" i="50"/>
  <c r="O135" i="50"/>
  <c r="L133" i="50"/>
  <c r="H135" i="50"/>
  <c r="I135" i="50"/>
  <c r="J135" i="50"/>
  <c r="K135" i="50"/>
  <c r="G135" i="50"/>
  <c r="L49" i="50" l="1"/>
  <c r="K58" i="50"/>
  <c r="K57" i="50"/>
  <c r="F41" i="50"/>
  <c r="K56" i="50"/>
  <c r="G41" i="50"/>
  <c r="G42" i="50"/>
  <c r="H42" i="50" l="1"/>
  <c r="H41" i="50"/>
  <c r="I41" i="50" l="1"/>
  <c r="I42" i="50"/>
  <c r="J41" i="50" l="1"/>
  <c r="J42" i="50"/>
  <c r="K41" i="50" l="1"/>
  <c r="K42" i="50"/>
  <c r="L41" i="50" l="1"/>
  <c r="F133" i="50" l="1"/>
  <c r="K133" i="50"/>
  <c r="J133" i="50"/>
  <c r="L124" i="50"/>
  <c r="K124" i="50"/>
  <c r="J124" i="50"/>
  <c r="I124" i="50"/>
  <c r="H124" i="50" l="1"/>
  <c r="H111" i="50"/>
  <c r="L113" i="50"/>
  <c r="H126" i="50"/>
  <c r="I126" i="50"/>
  <c r="J126" i="50"/>
  <c r="K126" i="50"/>
  <c r="G126" i="50"/>
  <c r="F115" i="50"/>
  <c r="F126" i="50"/>
  <c r="F124" i="50"/>
  <c r="L111" i="50"/>
  <c r="K111" i="50"/>
  <c r="L119" i="50"/>
  <c r="N113" i="50"/>
  <c r="O113" i="50"/>
  <c r="M113" i="50"/>
  <c r="H113" i="50"/>
  <c r="I113" i="50"/>
  <c r="J113" i="50"/>
  <c r="K113" i="50"/>
  <c r="G113" i="50"/>
  <c r="F111" i="50" l="1"/>
  <c r="F128" i="50"/>
  <c r="F103" i="50"/>
  <c r="G103" i="50"/>
  <c r="K103" i="50"/>
  <c r="I103" i="50"/>
  <c r="L103" i="50"/>
  <c r="H103" i="50"/>
  <c r="I111" i="50" l="1"/>
  <c r="I133" i="50"/>
  <c r="J103" i="50"/>
  <c r="J111" i="50" s="1"/>
  <c r="N103" i="50"/>
  <c r="O103" i="50"/>
  <c r="M98" i="50"/>
  <c r="M103" i="50" s="1"/>
  <c r="L96" i="50"/>
  <c r="M87" i="50"/>
  <c r="M109" i="50" s="1"/>
  <c r="N87" i="50"/>
  <c r="N109" i="50" s="1"/>
  <c r="N131" i="50" s="1"/>
  <c r="O109" i="50"/>
  <c r="O131" i="50" s="1"/>
  <c r="M88" i="50"/>
  <c r="N88" i="50"/>
  <c r="M89" i="50"/>
  <c r="N89" i="50"/>
  <c r="G33" i="50"/>
  <c r="F40" i="50" s="1"/>
  <c r="L109" i="50"/>
  <c r="L33" i="50" s="1"/>
  <c r="L48" i="50" s="1"/>
  <c r="L131" i="50"/>
  <c r="L35" i="50" s="1"/>
  <c r="L50" i="50" s="1"/>
  <c r="L56" i="50" l="1"/>
  <c r="L58" i="50"/>
  <c r="L42" i="50"/>
  <c r="O133" i="50"/>
  <c r="N133" i="50"/>
  <c r="N35" i="50"/>
  <c r="M33" i="50"/>
  <c r="M48" i="50" s="1"/>
  <c r="N48" i="50" s="1"/>
  <c r="O48" i="50" s="1"/>
  <c r="P48" i="50" s="1"/>
  <c r="M131" i="50"/>
  <c r="G40" i="50"/>
  <c r="N122" i="50"/>
  <c r="N34" i="50" s="1"/>
  <c r="N33" i="50"/>
  <c r="O122" i="50"/>
  <c r="M122" i="50"/>
  <c r="M34" i="50" s="1"/>
  <c r="M49" i="50" s="1"/>
  <c r="N49" i="50" s="1"/>
  <c r="O49" i="50" s="1"/>
  <c r="P49" i="50" s="1"/>
  <c r="C41" i="45"/>
  <c r="C62" i="45" s="1"/>
  <c r="C40" i="45"/>
  <c r="C61" i="45" s="1"/>
  <c r="M41" i="50" l="1"/>
  <c r="N41" i="50" s="1"/>
  <c r="L57" i="50"/>
  <c r="E21" i="62" s="1"/>
  <c r="M133" i="50"/>
  <c r="M35" i="50"/>
  <c r="H40" i="50"/>
  <c r="I202" i="41"/>
  <c r="Z5" i="34"/>
  <c r="K11" i="23"/>
  <c r="M11" i="23"/>
  <c r="S11" i="23"/>
  <c r="X11" i="23"/>
  <c r="M10" i="23"/>
  <c r="S10" i="23"/>
  <c r="X10" i="23"/>
  <c r="M9" i="23"/>
  <c r="S9" i="23"/>
  <c r="X9" i="23"/>
  <c r="K8" i="23"/>
  <c r="M486" i="21"/>
  <c r="M487" i="21" s="1"/>
  <c r="K7" i="23"/>
  <c r="M8" i="23"/>
  <c r="Q8" i="23"/>
  <c r="S8" i="23"/>
  <c r="X8" i="23"/>
  <c r="S7" i="23"/>
  <c r="X7" i="23"/>
  <c r="M6" i="23"/>
  <c r="Q6" i="23"/>
  <c r="S6" i="23"/>
  <c r="X6" i="23"/>
  <c r="G486" i="21"/>
  <c r="K9" i="23" s="1"/>
  <c r="K6" i="26"/>
  <c r="M6" i="26"/>
  <c r="K21" i="36"/>
  <c r="J21" i="36"/>
  <c r="I21" i="36"/>
  <c r="H21" i="36"/>
  <c r="K20" i="36"/>
  <c r="J20" i="36"/>
  <c r="I20" i="36"/>
  <c r="H20" i="36"/>
  <c r="K19" i="36"/>
  <c r="J19" i="36"/>
  <c r="I19" i="36"/>
  <c r="H19" i="36"/>
  <c r="K18" i="36"/>
  <c r="J18" i="36"/>
  <c r="I18" i="36"/>
  <c r="H18" i="36"/>
  <c r="P28" i="31"/>
  <c r="O28" i="31"/>
  <c r="N28" i="31"/>
  <c r="M28" i="31"/>
  <c r="L28" i="31"/>
  <c r="K28" i="31"/>
  <c r="J28" i="31"/>
  <c r="I28" i="31"/>
  <c r="P27" i="31"/>
  <c r="O27" i="31"/>
  <c r="N27" i="31"/>
  <c r="M27" i="31"/>
  <c r="L27" i="31"/>
  <c r="K27" i="31"/>
  <c r="J27" i="31"/>
  <c r="I27" i="31"/>
  <c r="P26" i="31"/>
  <c r="P29" i="31" s="1"/>
  <c r="O26" i="31"/>
  <c r="O29" i="31" s="1"/>
  <c r="N26" i="31"/>
  <c r="N29" i="31" s="1"/>
  <c r="M26" i="31"/>
  <c r="M29" i="31" s="1"/>
  <c r="L26" i="31"/>
  <c r="L29" i="31" s="1"/>
  <c r="K26" i="31"/>
  <c r="K29" i="31" s="1"/>
  <c r="J26" i="31"/>
  <c r="J29" i="31" s="1"/>
  <c r="I26" i="31"/>
  <c r="I29" i="31" s="1"/>
  <c r="P25" i="31"/>
  <c r="O25" i="31"/>
  <c r="N25" i="31"/>
  <c r="M25" i="31"/>
  <c r="L25" i="31"/>
  <c r="P21" i="31"/>
  <c r="O21" i="31"/>
  <c r="N21" i="31"/>
  <c r="M21" i="31"/>
  <c r="L21" i="31"/>
  <c r="K21" i="31"/>
  <c r="J21" i="31"/>
  <c r="P17" i="31"/>
  <c r="O17" i="31"/>
  <c r="N17" i="31"/>
  <c r="M17" i="31"/>
  <c r="L17" i="31"/>
  <c r="K17" i="31"/>
  <c r="J17" i="31"/>
  <c r="I17" i="31"/>
  <c r="P13" i="31"/>
  <c r="O13" i="31"/>
  <c r="N13" i="31"/>
  <c r="M13" i="31"/>
  <c r="L13" i="31"/>
  <c r="G103" i="43"/>
  <c r="H103" i="43"/>
  <c r="G104" i="43"/>
  <c r="H104" i="43"/>
  <c r="G105" i="43"/>
  <c r="H105" i="43"/>
  <c r="G106" i="43"/>
  <c r="H106" i="43"/>
  <c r="G107" i="43"/>
  <c r="H107" i="43"/>
  <c r="G108" i="43"/>
  <c r="H108" i="43"/>
  <c r="G109" i="43"/>
  <c r="H109" i="43"/>
  <c r="G110" i="43"/>
  <c r="H110" i="43"/>
  <c r="G111" i="43"/>
  <c r="H111" i="43"/>
  <c r="G112" i="43"/>
  <c r="H112" i="43"/>
  <c r="G113" i="43"/>
  <c r="H113" i="43"/>
  <c r="G114" i="43"/>
  <c r="H114" i="43"/>
  <c r="G115" i="43"/>
  <c r="H115" i="43"/>
  <c r="G116" i="43"/>
  <c r="H116" i="43"/>
  <c r="G117" i="43"/>
  <c r="H117" i="43"/>
  <c r="G118" i="43"/>
  <c r="H118" i="43"/>
  <c r="G119" i="43"/>
  <c r="H119" i="43"/>
  <c r="G120" i="43"/>
  <c r="H120" i="43"/>
  <c r="G121" i="43"/>
  <c r="H121" i="43"/>
  <c r="G122" i="43"/>
  <c r="H122" i="43"/>
  <c r="G123" i="43"/>
  <c r="H123" i="43"/>
  <c r="G124" i="43"/>
  <c r="H124" i="43"/>
  <c r="G125" i="43"/>
  <c r="H125" i="43"/>
  <c r="G126" i="43"/>
  <c r="H126" i="43"/>
  <c r="G127" i="43"/>
  <c r="H127" i="43"/>
  <c r="G128" i="43"/>
  <c r="H128" i="43"/>
  <c r="H102" i="43"/>
  <c r="J102" i="43"/>
  <c r="J103" i="43"/>
  <c r="J104" i="43"/>
  <c r="J105" i="43"/>
  <c r="J106" i="43"/>
  <c r="J107" i="43"/>
  <c r="J108" i="43"/>
  <c r="J109" i="43"/>
  <c r="J110" i="43"/>
  <c r="J111" i="43"/>
  <c r="J112" i="43"/>
  <c r="J113" i="43"/>
  <c r="J114" i="43"/>
  <c r="J115" i="43"/>
  <c r="J116" i="43"/>
  <c r="J117" i="43"/>
  <c r="J118" i="43"/>
  <c r="J119" i="43"/>
  <c r="J120" i="43"/>
  <c r="J121" i="43"/>
  <c r="C64" i="45" s="1"/>
  <c r="J122" i="43"/>
  <c r="J123" i="43"/>
  <c r="J124" i="43"/>
  <c r="J125" i="43"/>
  <c r="J126" i="43"/>
  <c r="C32" i="45" s="1"/>
  <c r="J127" i="43"/>
  <c r="J128" i="43"/>
  <c r="P202" i="43"/>
  <c r="N264" i="43"/>
  <c r="M264" i="43"/>
  <c r="L264" i="43"/>
  <c r="K264" i="43"/>
  <c r="J264" i="43"/>
  <c r="I264" i="43"/>
  <c r="H264" i="43"/>
  <c r="G264" i="43"/>
  <c r="N263" i="43"/>
  <c r="M263" i="43"/>
  <c r="L263" i="43"/>
  <c r="K263" i="43"/>
  <c r="J263" i="43"/>
  <c r="I263" i="43"/>
  <c r="H263" i="43"/>
  <c r="G263" i="43"/>
  <c r="N262" i="43"/>
  <c r="M262" i="43"/>
  <c r="L262" i="43"/>
  <c r="K262" i="43"/>
  <c r="J262" i="43"/>
  <c r="I262" i="43"/>
  <c r="H262" i="43"/>
  <c r="G262" i="43"/>
  <c r="N261" i="43"/>
  <c r="M261" i="43"/>
  <c r="L261" i="43"/>
  <c r="K261" i="43"/>
  <c r="J261" i="43"/>
  <c r="I261" i="43"/>
  <c r="H261" i="43"/>
  <c r="G261" i="43"/>
  <c r="N260" i="43"/>
  <c r="M260" i="43"/>
  <c r="L260" i="43"/>
  <c r="K260" i="43"/>
  <c r="J260" i="43"/>
  <c r="I260" i="43"/>
  <c r="H260" i="43"/>
  <c r="G260" i="43"/>
  <c r="N259" i="43"/>
  <c r="M259" i="43"/>
  <c r="L259" i="43"/>
  <c r="K259" i="43"/>
  <c r="J259" i="43"/>
  <c r="I259" i="43"/>
  <c r="H259" i="43"/>
  <c r="G259" i="43"/>
  <c r="N258" i="43"/>
  <c r="M258" i="43"/>
  <c r="L258" i="43"/>
  <c r="K258" i="43"/>
  <c r="J258" i="43"/>
  <c r="I258" i="43"/>
  <c r="H258" i="43"/>
  <c r="G258" i="43"/>
  <c r="N257" i="43"/>
  <c r="M257" i="43"/>
  <c r="L257" i="43"/>
  <c r="K257" i="43"/>
  <c r="J257" i="43"/>
  <c r="I257" i="43"/>
  <c r="H257" i="43"/>
  <c r="G257" i="43"/>
  <c r="N256" i="43"/>
  <c r="M256" i="43"/>
  <c r="L256" i="43"/>
  <c r="K256" i="43"/>
  <c r="J256" i="43"/>
  <c r="I256" i="43"/>
  <c r="H256" i="43"/>
  <c r="G256" i="43"/>
  <c r="N255" i="43"/>
  <c r="M255" i="43"/>
  <c r="L255" i="43"/>
  <c r="K255" i="43"/>
  <c r="J255" i="43"/>
  <c r="I255" i="43"/>
  <c r="H255" i="43"/>
  <c r="G255" i="43"/>
  <c r="N254" i="43"/>
  <c r="M254" i="43"/>
  <c r="L254" i="43"/>
  <c r="K254" i="43"/>
  <c r="J254" i="43"/>
  <c r="I254" i="43"/>
  <c r="H254" i="43"/>
  <c r="G254" i="43"/>
  <c r="N253" i="43"/>
  <c r="M253" i="43"/>
  <c r="L253" i="43"/>
  <c r="K253" i="43"/>
  <c r="J253" i="43"/>
  <c r="I253" i="43"/>
  <c r="H253" i="43"/>
  <c r="G253" i="43"/>
  <c r="N252" i="43"/>
  <c r="M252" i="43"/>
  <c r="L252" i="43"/>
  <c r="K252" i="43"/>
  <c r="J252" i="43"/>
  <c r="I252" i="43"/>
  <c r="H252" i="43"/>
  <c r="G252" i="43"/>
  <c r="N251" i="43"/>
  <c r="M251" i="43"/>
  <c r="L251" i="43"/>
  <c r="K251" i="43"/>
  <c r="J251" i="43"/>
  <c r="I251" i="43"/>
  <c r="H251" i="43"/>
  <c r="G251" i="43"/>
  <c r="N250" i="43"/>
  <c r="M250" i="43"/>
  <c r="L250" i="43"/>
  <c r="K250" i="43"/>
  <c r="J250" i="43"/>
  <c r="I250" i="43"/>
  <c r="H250" i="43"/>
  <c r="G250" i="43"/>
  <c r="N249" i="43"/>
  <c r="M249" i="43"/>
  <c r="L249" i="43"/>
  <c r="K249" i="43"/>
  <c r="J249" i="43"/>
  <c r="I249" i="43"/>
  <c r="H249" i="43"/>
  <c r="G249" i="43"/>
  <c r="N248" i="43"/>
  <c r="M248" i="43"/>
  <c r="L248" i="43"/>
  <c r="K248" i="43"/>
  <c r="J248" i="43"/>
  <c r="I248" i="43"/>
  <c r="H248" i="43"/>
  <c r="G248" i="43"/>
  <c r="N247" i="43"/>
  <c r="M247" i="43"/>
  <c r="L247" i="43"/>
  <c r="K247" i="43"/>
  <c r="J247" i="43"/>
  <c r="I247" i="43"/>
  <c r="H247" i="43"/>
  <c r="G247" i="43"/>
  <c r="N246" i="43"/>
  <c r="M246" i="43"/>
  <c r="L246" i="43"/>
  <c r="K246" i="43"/>
  <c r="J246" i="43"/>
  <c r="I246" i="43"/>
  <c r="H246" i="43"/>
  <c r="G246" i="43"/>
  <c r="N245" i="43"/>
  <c r="M245" i="43"/>
  <c r="L245" i="43"/>
  <c r="K245" i="43"/>
  <c r="J245" i="43"/>
  <c r="I245" i="43"/>
  <c r="H245" i="43"/>
  <c r="G245" i="43"/>
  <c r="N244" i="43"/>
  <c r="M244" i="43"/>
  <c r="L244" i="43"/>
  <c r="K244" i="43"/>
  <c r="J244" i="43"/>
  <c r="I244" i="43"/>
  <c r="H244" i="43"/>
  <c r="G244" i="43"/>
  <c r="N243" i="43"/>
  <c r="M243" i="43"/>
  <c r="L243" i="43"/>
  <c r="K243" i="43"/>
  <c r="J243" i="43"/>
  <c r="I243" i="43"/>
  <c r="H243" i="43"/>
  <c r="G243" i="43"/>
  <c r="N242" i="43"/>
  <c r="M242" i="43"/>
  <c r="L242" i="43"/>
  <c r="K242" i="43"/>
  <c r="J242" i="43"/>
  <c r="I242" i="43"/>
  <c r="H242" i="43"/>
  <c r="G242" i="43"/>
  <c r="N241" i="43"/>
  <c r="M241" i="43"/>
  <c r="L241" i="43"/>
  <c r="K241" i="43"/>
  <c r="J241" i="43"/>
  <c r="I241" i="43"/>
  <c r="H241" i="43"/>
  <c r="G241" i="43"/>
  <c r="N240" i="43"/>
  <c r="M240" i="43"/>
  <c r="L240" i="43"/>
  <c r="K240" i="43"/>
  <c r="J240" i="43"/>
  <c r="I240" i="43"/>
  <c r="H240" i="43"/>
  <c r="G240" i="43"/>
  <c r="N239" i="43"/>
  <c r="M239" i="43"/>
  <c r="L239" i="43"/>
  <c r="K239" i="43"/>
  <c r="J239" i="43"/>
  <c r="I239" i="43"/>
  <c r="H239" i="43"/>
  <c r="G239" i="43"/>
  <c r="N238" i="43"/>
  <c r="M238" i="43"/>
  <c r="L238" i="43"/>
  <c r="K238" i="43"/>
  <c r="J238" i="43"/>
  <c r="I238" i="43"/>
  <c r="H238" i="43"/>
  <c r="G238" i="43"/>
  <c r="N237" i="43"/>
  <c r="M237" i="43"/>
  <c r="L237" i="43"/>
  <c r="K237" i="43"/>
  <c r="J237" i="43"/>
  <c r="I237" i="43"/>
  <c r="H237" i="43"/>
  <c r="G237" i="43"/>
  <c r="N236" i="43"/>
  <c r="M236" i="43"/>
  <c r="L236" i="43"/>
  <c r="K236" i="43"/>
  <c r="J236" i="43"/>
  <c r="I236" i="43"/>
  <c r="H236" i="43"/>
  <c r="G236" i="43"/>
  <c r="N235" i="43"/>
  <c r="M235" i="43"/>
  <c r="L235" i="43"/>
  <c r="K235" i="43"/>
  <c r="J235" i="43"/>
  <c r="I235" i="43"/>
  <c r="H235" i="43"/>
  <c r="G235" i="43"/>
  <c r="N234" i="43"/>
  <c r="M234" i="43"/>
  <c r="L234" i="43"/>
  <c r="K234" i="43"/>
  <c r="J234" i="43"/>
  <c r="I234" i="43"/>
  <c r="H234" i="43"/>
  <c r="G234" i="43"/>
  <c r="N233" i="43"/>
  <c r="M233" i="43"/>
  <c r="L233" i="43"/>
  <c r="K233" i="43"/>
  <c r="J233" i="43"/>
  <c r="I233" i="43"/>
  <c r="H233" i="43"/>
  <c r="G233" i="43"/>
  <c r="N232" i="43"/>
  <c r="M232" i="43"/>
  <c r="L232" i="43"/>
  <c r="K232" i="43"/>
  <c r="J232" i="43"/>
  <c r="I232" i="43"/>
  <c r="H232" i="43"/>
  <c r="G232" i="43"/>
  <c r="N231" i="43"/>
  <c r="M231" i="43"/>
  <c r="L231" i="43"/>
  <c r="K231" i="43"/>
  <c r="J231" i="43"/>
  <c r="I231" i="43"/>
  <c r="H231" i="43"/>
  <c r="G231" i="43"/>
  <c r="N230" i="43"/>
  <c r="M230" i="43"/>
  <c r="L230" i="43"/>
  <c r="K230" i="43"/>
  <c r="J230" i="43"/>
  <c r="I230" i="43"/>
  <c r="H230" i="43"/>
  <c r="G230" i="43"/>
  <c r="N229" i="43"/>
  <c r="M229" i="43"/>
  <c r="L229" i="43"/>
  <c r="K229" i="43"/>
  <c r="J229" i="43"/>
  <c r="I229" i="43"/>
  <c r="H229" i="43"/>
  <c r="G229" i="43"/>
  <c r="N228" i="43"/>
  <c r="M228" i="43"/>
  <c r="L228" i="43"/>
  <c r="K228" i="43"/>
  <c r="J228" i="43"/>
  <c r="I228" i="43"/>
  <c r="H228" i="43"/>
  <c r="G228" i="43"/>
  <c r="N227" i="43"/>
  <c r="M227" i="43"/>
  <c r="L227" i="43"/>
  <c r="K227" i="43"/>
  <c r="J227" i="43"/>
  <c r="I227" i="43"/>
  <c r="H227" i="43"/>
  <c r="G227" i="43"/>
  <c r="N226" i="43"/>
  <c r="M226" i="43"/>
  <c r="L226" i="43"/>
  <c r="K226" i="43"/>
  <c r="J226" i="43"/>
  <c r="I226" i="43"/>
  <c r="H226" i="43"/>
  <c r="G226" i="43"/>
  <c r="N225" i="43"/>
  <c r="M225" i="43"/>
  <c r="L225" i="43"/>
  <c r="K225" i="43"/>
  <c r="J225" i="43"/>
  <c r="I225" i="43"/>
  <c r="H225" i="43"/>
  <c r="G225" i="43"/>
  <c r="N224" i="43"/>
  <c r="M224" i="43"/>
  <c r="L224" i="43"/>
  <c r="K224" i="43"/>
  <c r="J224" i="43"/>
  <c r="I224" i="43"/>
  <c r="H224" i="43"/>
  <c r="G224" i="43"/>
  <c r="N223" i="43"/>
  <c r="M223" i="43"/>
  <c r="L223" i="43"/>
  <c r="K223" i="43"/>
  <c r="J223" i="43"/>
  <c r="I223" i="43"/>
  <c r="H223" i="43"/>
  <c r="G223" i="43"/>
  <c r="N222" i="43"/>
  <c r="M222" i="43"/>
  <c r="L222" i="43"/>
  <c r="K222" i="43"/>
  <c r="J222" i="43"/>
  <c r="I222" i="43"/>
  <c r="H222" i="43"/>
  <c r="G222" i="43"/>
  <c r="N221" i="43"/>
  <c r="M221" i="43"/>
  <c r="L221" i="43"/>
  <c r="K221" i="43"/>
  <c r="J221" i="43"/>
  <c r="I221" i="43"/>
  <c r="H221" i="43"/>
  <c r="G221" i="43"/>
  <c r="N220" i="43"/>
  <c r="M220" i="43"/>
  <c r="L220" i="43"/>
  <c r="K220" i="43"/>
  <c r="J220" i="43"/>
  <c r="I220" i="43"/>
  <c r="H220" i="43"/>
  <c r="G220" i="43"/>
  <c r="N219" i="43"/>
  <c r="M219" i="43"/>
  <c r="L219" i="43"/>
  <c r="K219" i="43"/>
  <c r="J219" i="43"/>
  <c r="I219" i="43"/>
  <c r="H219" i="43"/>
  <c r="G219" i="43"/>
  <c r="N218" i="43"/>
  <c r="M218" i="43"/>
  <c r="L218" i="43"/>
  <c r="K218" i="43"/>
  <c r="J218" i="43"/>
  <c r="I218" i="43"/>
  <c r="H218" i="43"/>
  <c r="G218" i="43"/>
  <c r="N217" i="43"/>
  <c r="M217" i="43"/>
  <c r="L217" i="43"/>
  <c r="K217" i="43"/>
  <c r="J217" i="43"/>
  <c r="I217" i="43"/>
  <c r="H217" i="43"/>
  <c r="G217" i="43"/>
  <c r="N216" i="43"/>
  <c r="M216" i="43"/>
  <c r="L216" i="43"/>
  <c r="K216" i="43"/>
  <c r="J216" i="43"/>
  <c r="I216" i="43"/>
  <c r="H216" i="43"/>
  <c r="G216" i="43"/>
  <c r="N215" i="43"/>
  <c r="M215" i="43"/>
  <c r="L215" i="43"/>
  <c r="K215" i="43"/>
  <c r="J215" i="43"/>
  <c r="I215" i="43"/>
  <c r="H215" i="43"/>
  <c r="G215" i="43"/>
  <c r="N214" i="43"/>
  <c r="M214" i="43"/>
  <c r="L214" i="43"/>
  <c r="K214" i="43"/>
  <c r="J214" i="43"/>
  <c r="I214" i="43"/>
  <c r="H214" i="43"/>
  <c r="G214" i="43"/>
  <c r="N213" i="43"/>
  <c r="M213" i="43"/>
  <c r="L213" i="43"/>
  <c r="K213" i="43"/>
  <c r="J213" i="43"/>
  <c r="I213" i="43"/>
  <c r="H213" i="43"/>
  <c r="G213" i="43"/>
  <c r="N212" i="43"/>
  <c r="M212" i="43"/>
  <c r="L212" i="43"/>
  <c r="K212" i="43"/>
  <c r="J212" i="43"/>
  <c r="I212" i="43"/>
  <c r="H212" i="43"/>
  <c r="G212" i="43"/>
  <c r="N211" i="43"/>
  <c r="M211" i="43"/>
  <c r="L211" i="43"/>
  <c r="K211" i="43"/>
  <c r="J211" i="43"/>
  <c r="I211" i="43"/>
  <c r="H211" i="43"/>
  <c r="G211" i="43"/>
  <c r="N210" i="43"/>
  <c r="M210" i="43"/>
  <c r="L210" i="43"/>
  <c r="K210" i="43"/>
  <c r="J210" i="43"/>
  <c r="I210" i="43"/>
  <c r="H210" i="43"/>
  <c r="G210" i="43"/>
  <c r="N209" i="43"/>
  <c r="M209" i="43"/>
  <c r="L209" i="43"/>
  <c r="K209" i="43"/>
  <c r="J209" i="43"/>
  <c r="I209" i="43"/>
  <c r="H209" i="43"/>
  <c r="G209" i="43"/>
  <c r="N208" i="43"/>
  <c r="M208" i="43"/>
  <c r="L208" i="43"/>
  <c r="K208" i="43"/>
  <c r="J208" i="43"/>
  <c r="I208" i="43"/>
  <c r="H208" i="43"/>
  <c r="G208" i="43"/>
  <c r="N207" i="43"/>
  <c r="M207" i="43"/>
  <c r="L207" i="43"/>
  <c r="K207" i="43"/>
  <c r="J207" i="43"/>
  <c r="I207" i="43"/>
  <c r="H207" i="43"/>
  <c r="G207" i="43"/>
  <c r="N206" i="43"/>
  <c r="M206" i="43"/>
  <c r="L206" i="43"/>
  <c r="K206" i="43"/>
  <c r="J206" i="43"/>
  <c r="I206" i="43"/>
  <c r="H206" i="43"/>
  <c r="G206" i="43"/>
  <c r="N205" i="43"/>
  <c r="M205" i="43"/>
  <c r="L205" i="43"/>
  <c r="K205" i="43"/>
  <c r="J205" i="43"/>
  <c r="I205" i="43"/>
  <c r="H205" i="43"/>
  <c r="G205" i="43"/>
  <c r="N204" i="43"/>
  <c r="M204" i="43"/>
  <c r="L204" i="43"/>
  <c r="K204" i="43"/>
  <c r="J204" i="43"/>
  <c r="I204" i="43"/>
  <c r="H204" i="43"/>
  <c r="G204" i="43"/>
  <c r="N203" i="43"/>
  <c r="M203" i="43"/>
  <c r="L203" i="43"/>
  <c r="K203" i="43"/>
  <c r="J203" i="43"/>
  <c r="I203" i="43"/>
  <c r="H203" i="43"/>
  <c r="G203" i="43"/>
  <c r="N202" i="43"/>
  <c r="M202" i="43"/>
  <c r="L202" i="43"/>
  <c r="K202" i="43"/>
  <c r="J202" i="43"/>
  <c r="I202" i="43"/>
  <c r="H202" i="43"/>
  <c r="G202" i="43"/>
  <c r="N201" i="43"/>
  <c r="M201" i="43"/>
  <c r="L201" i="43"/>
  <c r="K201" i="43"/>
  <c r="J201" i="43"/>
  <c r="I201" i="43"/>
  <c r="H201" i="43"/>
  <c r="G201" i="43"/>
  <c r="N200" i="43"/>
  <c r="M200" i="43"/>
  <c r="L200" i="43"/>
  <c r="K200" i="43"/>
  <c r="J200" i="43"/>
  <c r="I200" i="43"/>
  <c r="H200" i="43"/>
  <c r="G200" i="43"/>
  <c r="N199" i="43"/>
  <c r="M199" i="43"/>
  <c r="L199" i="43"/>
  <c r="K199" i="43"/>
  <c r="J199" i="43"/>
  <c r="I199" i="43"/>
  <c r="H199" i="43"/>
  <c r="G199" i="43"/>
  <c r="N198" i="43"/>
  <c r="M198" i="43"/>
  <c r="L198" i="43"/>
  <c r="K198" i="43"/>
  <c r="J198" i="43"/>
  <c r="I198" i="43"/>
  <c r="H198" i="43"/>
  <c r="G198" i="43"/>
  <c r="N197" i="43"/>
  <c r="M197" i="43"/>
  <c r="L197" i="43"/>
  <c r="K197" i="43"/>
  <c r="J197" i="43"/>
  <c r="I197" i="43"/>
  <c r="H197" i="43"/>
  <c r="G197" i="43"/>
  <c r="N196" i="43"/>
  <c r="M196" i="43"/>
  <c r="L196" i="43"/>
  <c r="K196" i="43"/>
  <c r="J196" i="43"/>
  <c r="I196" i="43"/>
  <c r="H196" i="43"/>
  <c r="G196" i="43"/>
  <c r="N195" i="43"/>
  <c r="M195" i="43"/>
  <c r="L195" i="43"/>
  <c r="K195" i="43"/>
  <c r="J195" i="43"/>
  <c r="I195" i="43"/>
  <c r="H195" i="43"/>
  <c r="G195" i="43"/>
  <c r="N194" i="43"/>
  <c r="J194" i="43"/>
  <c r="I194" i="43"/>
  <c r="H194" i="43"/>
  <c r="G194" i="43"/>
  <c r="B194" i="43"/>
  <c r="B195" i="43" s="1"/>
  <c r="B196" i="43" s="1"/>
  <c r="B197" i="43" s="1"/>
  <c r="B198" i="43" s="1"/>
  <c r="B199" i="43" s="1"/>
  <c r="B200" i="43" s="1"/>
  <c r="B201" i="43" s="1"/>
  <c r="B202" i="43" s="1"/>
  <c r="B203" i="43" s="1"/>
  <c r="B204" i="43" s="1"/>
  <c r="B205" i="43" s="1"/>
  <c r="B206" i="43" s="1"/>
  <c r="B207" i="43" s="1"/>
  <c r="B208" i="43" s="1"/>
  <c r="B209" i="43" s="1"/>
  <c r="B210" i="43" s="1"/>
  <c r="B211" i="43" s="1"/>
  <c r="B212" i="43" s="1"/>
  <c r="B213" i="43" s="1"/>
  <c r="B214" i="43" s="1"/>
  <c r="B215" i="43" s="1"/>
  <c r="B216" i="43" s="1"/>
  <c r="B217" i="43" s="1"/>
  <c r="B218" i="43" s="1"/>
  <c r="B219" i="43" s="1"/>
  <c r="B220" i="43" s="1"/>
  <c r="B221" i="43" s="1"/>
  <c r="B222" i="43" s="1"/>
  <c r="B223" i="43" s="1"/>
  <c r="B224" i="43" s="1"/>
  <c r="B225" i="43" s="1"/>
  <c r="B226" i="43" s="1"/>
  <c r="B227" i="43" s="1"/>
  <c r="B228" i="43" s="1"/>
  <c r="B229" i="43" s="1"/>
  <c r="B230" i="43" s="1"/>
  <c r="B231" i="43" s="1"/>
  <c r="B232" i="43" s="1"/>
  <c r="B233" i="43" s="1"/>
  <c r="B234" i="43" s="1"/>
  <c r="B235" i="43" s="1"/>
  <c r="B236" i="43" s="1"/>
  <c r="B237" i="43" s="1"/>
  <c r="B238" i="43" s="1"/>
  <c r="B239" i="43" s="1"/>
  <c r="B240" i="43" s="1"/>
  <c r="B241" i="43" s="1"/>
  <c r="B242" i="43" s="1"/>
  <c r="B243" i="43" s="1"/>
  <c r="B244" i="43" s="1"/>
  <c r="B245" i="43" s="1"/>
  <c r="B246" i="43" s="1"/>
  <c r="B247" i="43" s="1"/>
  <c r="B248" i="43" s="1"/>
  <c r="B249" i="43" s="1"/>
  <c r="B250" i="43" s="1"/>
  <c r="B251" i="43" s="1"/>
  <c r="B252" i="43" s="1"/>
  <c r="B253" i="43" s="1"/>
  <c r="B254" i="43" s="1"/>
  <c r="B255" i="43" s="1"/>
  <c r="B256" i="43" s="1"/>
  <c r="B257" i="43" s="1"/>
  <c r="B258" i="43" s="1"/>
  <c r="B259" i="43" s="1"/>
  <c r="B260" i="43" s="1"/>
  <c r="B261" i="43" s="1"/>
  <c r="B262" i="43" s="1"/>
  <c r="B263" i="43" s="1"/>
  <c r="B264" i="43" s="1"/>
  <c r="N191" i="43"/>
  <c r="M191" i="43"/>
  <c r="L191" i="43"/>
  <c r="K191" i="43"/>
  <c r="J191" i="43"/>
  <c r="I191" i="43"/>
  <c r="H191" i="43"/>
  <c r="G191" i="43"/>
  <c r="N190" i="43"/>
  <c r="M190" i="43"/>
  <c r="L190" i="43"/>
  <c r="K190" i="43"/>
  <c r="J190" i="43"/>
  <c r="I190" i="43"/>
  <c r="H190" i="43"/>
  <c r="G190" i="43"/>
  <c r="N189" i="43"/>
  <c r="M189" i="43"/>
  <c r="L189" i="43"/>
  <c r="K189" i="43"/>
  <c r="J189" i="43"/>
  <c r="I189" i="43"/>
  <c r="H189" i="43"/>
  <c r="G189" i="43"/>
  <c r="N188" i="43"/>
  <c r="M188" i="43"/>
  <c r="L188" i="43"/>
  <c r="K188" i="43"/>
  <c r="J188" i="43"/>
  <c r="I188" i="43"/>
  <c r="H188" i="43"/>
  <c r="G188" i="43"/>
  <c r="N187" i="43"/>
  <c r="M187" i="43"/>
  <c r="L187" i="43"/>
  <c r="K187" i="43"/>
  <c r="J187" i="43"/>
  <c r="I187" i="43"/>
  <c r="H187" i="43"/>
  <c r="G187" i="43"/>
  <c r="N186" i="43"/>
  <c r="M186" i="43"/>
  <c r="L186" i="43"/>
  <c r="K186" i="43"/>
  <c r="J186" i="43"/>
  <c r="I186" i="43"/>
  <c r="H186" i="43"/>
  <c r="G186" i="43"/>
  <c r="N185" i="43"/>
  <c r="M185" i="43"/>
  <c r="L185" i="43"/>
  <c r="K185" i="43"/>
  <c r="J185" i="43"/>
  <c r="I185" i="43"/>
  <c r="H185" i="43"/>
  <c r="G185" i="43"/>
  <c r="N184" i="43"/>
  <c r="M184" i="43"/>
  <c r="L184" i="43"/>
  <c r="K184" i="43"/>
  <c r="J184" i="43"/>
  <c r="I184" i="43"/>
  <c r="H184" i="43"/>
  <c r="G184" i="43"/>
  <c r="N183" i="43"/>
  <c r="M183" i="43"/>
  <c r="L183" i="43"/>
  <c r="K183" i="43"/>
  <c r="J183" i="43"/>
  <c r="I183" i="43"/>
  <c r="H183" i="43"/>
  <c r="G183" i="43"/>
  <c r="N182" i="43"/>
  <c r="M182" i="43"/>
  <c r="L182" i="43"/>
  <c r="K182" i="43"/>
  <c r="J182" i="43"/>
  <c r="I182" i="43"/>
  <c r="H182" i="43"/>
  <c r="G182" i="43"/>
  <c r="N181" i="43"/>
  <c r="M181" i="43"/>
  <c r="L181" i="43"/>
  <c r="K181" i="43"/>
  <c r="J181" i="43"/>
  <c r="I181" i="43"/>
  <c r="H181" i="43"/>
  <c r="G181" i="43"/>
  <c r="N180" i="43"/>
  <c r="M180" i="43"/>
  <c r="L180" i="43"/>
  <c r="K180" i="43"/>
  <c r="J180" i="43"/>
  <c r="I180" i="43"/>
  <c r="H180" i="43"/>
  <c r="G180" i="43"/>
  <c r="N179" i="43"/>
  <c r="M179" i="43"/>
  <c r="L179" i="43"/>
  <c r="K179" i="43"/>
  <c r="J179" i="43"/>
  <c r="I179" i="43"/>
  <c r="H179" i="43"/>
  <c r="G179" i="43"/>
  <c r="N178" i="43"/>
  <c r="M178" i="43"/>
  <c r="L178" i="43"/>
  <c r="K178" i="43"/>
  <c r="J178" i="43"/>
  <c r="I178" i="43"/>
  <c r="H178" i="43"/>
  <c r="G178" i="43"/>
  <c r="N177" i="43"/>
  <c r="M177" i="43"/>
  <c r="L177" i="43"/>
  <c r="K177" i="43"/>
  <c r="J177" i="43"/>
  <c r="I177" i="43"/>
  <c r="H177" i="43"/>
  <c r="G177" i="43"/>
  <c r="N176" i="43"/>
  <c r="M176" i="43"/>
  <c r="L176" i="43"/>
  <c r="K176" i="43"/>
  <c r="J176" i="43"/>
  <c r="I176" i="43"/>
  <c r="H176" i="43"/>
  <c r="G176" i="43"/>
  <c r="N175" i="43"/>
  <c r="M175" i="43"/>
  <c r="L175" i="43"/>
  <c r="K175" i="43"/>
  <c r="J175" i="43"/>
  <c r="I175" i="43"/>
  <c r="H175" i="43"/>
  <c r="G175" i="43"/>
  <c r="N174" i="43"/>
  <c r="M174" i="43"/>
  <c r="L174" i="43"/>
  <c r="K174" i="43"/>
  <c r="J174" i="43"/>
  <c r="I174" i="43"/>
  <c r="H174" i="43"/>
  <c r="G174" i="43"/>
  <c r="N173" i="43"/>
  <c r="M173" i="43"/>
  <c r="L173" i="43"/>
  <c r="K173" i="43"/>
  <c r="J173" i="43"/>
  <c r="I173" i="43"/>
  <c r="H173" i="43"/>
  <c r="G173" i="43"/>
  <c r="N172" i="43"/>
  <c r="M172" i="43"/>
  <c r="L172" i="43"/>
  <c r="K172" i="43"/>
  <c r="J172" i="43"/>
  <c r="I172" i="43"/>
  <c r="H172" i="43"/>
  <c r="G172" i="43"/>
  <c r="N171" i="43"/>
  <c r="M171" i="43"/>
  <c r="L171" i="43"/>
  <c r="K171" i="43"/>
  <c r="J171" i="43"/>
  <c r="I171" i="43"/>
  <c r="H171" i="43"/>
  <c r="G171" i="43"/>
  <c r="N170" i="43"/>
  <c r="M170" i="43"/>
  <c r="L170" i="43"/>
  <c r="K170" i="43"/>
  <c r="J170" i="43"/>
  <c r="I170" i="43"/>
  <c r="H170" i="43"/>
  <c r="G170" i="43"/>
  <c r="N169" i="43"/>
  <c r="M169" i="43"/>
  <c r="L169" i="43"/>
  <c r="K169" i="43"/>
  <c r="J169" i="43"/>
  <c r="I169" i="43"/>
  <c r="H169" i="43"/>
  <c r="G169" i="43"/>
  <c r="N168" i="43"/>
  <c r="M168" i="43"/>
  <c r="L168" i="43"/>
  <c r="K168" i="43"/>
  <c r="J168" i="43"/>
  <c r="I168" i="43"/>
  <c r="H168" i="43"/>
  <c r="G168" i="43"/>
  <c r="N167" i="43"/>
  <c r="M167" i="43"/>
  <c r="L167" i="43"/>
  <c r="K167" i="43"/>
  <c r="J167" i="43"/>
  <c r="I167" i="43"/>
  <c r="H167" i="43"/>
  <c r="G167" i="43"/>
  <c r="N166" i="43"/>
  <c r="M166" i="43"/>
  <c r="L166" i="43"/>
  <c r="K166" i="43"/>
  <c r="J166" i="43"/>
  <c r="I166" i="43"/>
  <c r="H166" i="43"/>
  <c r="G166" i="43"/>
  <c r="N165" i="43"/>
  <c r="M165" i="43"/>
  <c r="L165" i="43"/>
  <c r="K165" i="43"/>
  <c r="J165" i="43"/>
  <c r="I165" i="43"/>
  <c r="H165" i="43"/>
  <c r="G165" i="43"/>
  <c r="N164" i="43"/>
  <c r="M164" i="43"/>
  <c r="L164" i="43"/>
  <c r="K164" i="43"/>
  <c r="J164" i="43"/>
  <c r="I164" i="43"/>
  <c r="H164" i="43"/>
  <c r="G164" i="43"/>
  <c r="N163" i="43"/>
  <c r="M163" i="43"/>
  <c r="L163" i="43"/>
  <c r="K163" i="43"/>
  <c r="J163" i="43"/>
  <c r="I163" i="43"/>
  <c r="H163" i="43"/>
  <c r="G163" i="43"/>
  <c r="N162" i="43"/>
  <c r="M162" i="43"/>
  <c r="L162" i="43"/>
  <c r="K162" i="43"/>
  <c r="J162" i="43"/>
  <c r="I162" i="43"/>
  <c r="H162" i="43"/>
  <c r="G162" i="43"/>
  <c r="N161" i="43"/>
  <c r="M161" i="43"/>
  <c r="L161" i="43"/>
  <c r="K161" i="43"/>
  <c r="J161" i="43"/>
  <c r="I161" i="43"/>
  <c r="H161" i="43"/>
  <c r="G161" i="43"/>
  <c r="N160" i="43"/>
  <c r="M160" i="43"/>
  <c r="L160" i="43"/>
  <c r="K160" i="43"/>
  <c r="J160" i="43"/>
  <c r="I160" i="43"/>
  <c r="H160" i="43"/>
  <c r="G160" i="43"/>
  <c r="N159" i="43"/>
  <c r="M159" i="43"/>
  <c r="L159" i="43"/>
  <c r="K159" i="43"/>
  <c r="J159" i="43"/>
  <c r="I159" i="43"/>
  <c r="H159" i="43"/>
  <c r="G159" i="43"/>
  <c r="N158" i="43"/>
  <c r="M158" i="43"/>
  <c r="L158" i="43"/>
  <c r="K158" i="43"/>
  <c r="J158" i="43"/>
  <c r="I158" i="43"/>
  <c r="H158" i="43"/>
  <c r="G158" i="43"/>
  <c r="N157" i="43"/>
  <c r="M157" i="43"/>
  <c r="L157" i="43"/>
  <c r="K157" i="43"/>
  <c r="J157" i="43"/>
  <c r="I157" i="43"/>
  <c r="H157" i="43"/>
  <c r="G157" i="43"/>
  <c r="N156" i="43"/>
  <c r="M156" i="43"/>
  <c r="L156" i="43"/>
  <c r="K156" i="43"/>
  <c r="J156" i="43"/>
  <c r="I156" i="43"/>
  <c r="H156" i="43"/>
  <c r="G156" i="43"/>
  <c r="N155" i="43"/>
  <c r="M155" i="43"/>
  <c r="L155" i="43"/>
  <c r="K155" i="43"/>
  <c r="J155" i="43"/>
  <c r="I155" i="43"/>
  <c r="H155" i="43"/>
  <c r="G155" i="43"/>
  <c r="N154" i="43"/>
  <c r="M154" i="43"/>
  <c r="L154" i="43"/>
  <c r="K154" i="43"/>
  <c r="J154" i="43"/>
  <c r="I154" i="43"/>
  <c r="H154" i="43"/>
  <c r="G154" i="43"/>
  <c r="N153" i="43"/>
  <c r="M153" i="43"/>
  <c r="L153" i="43"/>
  <c r="K153" i="43"/>
  <c r="J153" i="43"/>
  <c r="I153" i="43"/>
  <c r="H153" i="43"/>
  <c r="G153" i="43"/>
  <c r="N152" i="43"/>
  <c r="M152" i="43"/>
  <c r="L152" i="43"/>
  <c r="K152" i="43"/>
  <c r="J152" i="43"/>
  <c r="I152" i="43"/>
  <c r="H152" i="43"/>
  <c r="G152" i="43"/>
  <c r="N151" i="43"/>
  <c r="M151" i="43"/>
  <c r="L151" i="43"/>
  <c r="K151" i="43"/>
  <c r="J151" i="43"/>
  <c r="I151" i="43"/>
  <c r="H151" i="43"/>
  <c r="G151" i="43"/>
  <c r="N150" i="43"/>
  <c r="M150" i="43"/>
  <c r="L150" i="43"/>
  <c r="K150" i="43"/>
  <c r="J150" i="43"/>
  <c r="I150" i="43"/>
  <c r="H150" i="43"/>
  <c r="G150" i="43"/>
  <c r="N149" i="43"/>
  <c r="M149" i="43"/>
  <c r="L149" i="43"/>
  <c r="K149" i="43"/>
  <c r="J149" i="43"/>
  <c r="I149" i="43"/>
  <c r="H149" i="43"/>
  <c r="G149" i="43"/>
  <c r="N148" i="43"/>
  <c r="M148" i="43"/>
  <c r="L148" i="43"/>
  <c r="K148" i="43"/>
  <c r="J148" i="43"/>
  <c r="I148" i="43"/>
  <c r="H148" i="43"/>
  <c r="G148" i="43"/>
  <c r="N147" i="43"/>
  <c r="M147" i="43"/>
  <c r="L147" i="43"/>
  <c r="K147" i="43"/>
  <c r="J147" i="43"/>
  <c r="I147" i="43"/>
  <c r="H147" i="43"/>
  <c r="G147" i="43"/>
  <c r="N146" i="43"/>
  <c r="M146" i="43"/>
  <c r="L146" i="43"/>
  <c r="K146" i="43"/>
  <c r="J146" i="43"/>
  <c r="I146" i="43"/>
  <c r="H146" i="43"/>
  <c r="G146" i="43"/>
  <c r="N145" i="43"/>
  <c r="M145" i="43"/>
  <c r="L145" i="43"/>
  <c r="K145" i="43"/>
  <c r="J145" i="43"/>
  <c r="I145" i="43"/>
  <c r="H145" i="43"/>
  <c r="G145" i="43"/>
  <c r="N144" i="43"/>
  <c r="M144" i="43"/>
  <c r="L144" i="43"/>
  <c r="K144" i="43"/>
  <c r="J144" i="43"/>
  <c r="I144" i="43"/>
  <c r="H144" i="43"/>
  <c r="G144" i="43"/>
  <c r="N143" i="43"/>
  <c r="M143" i="43"/>
  <c r="L143" i="43"/>
  <c r="K143" i="43"/>
  <c r="J143" i="43"/>
  <c r="I143" i="43"/>
  <c r="H143" i="43"/>
  <c r="G143" i="43"/>
  <c r="N142" i="43"/>
  <c r="M142" i="43"/>
  <c r="L142" i="43"/>
  <c r="K142" i="43"/>
  <c r="J142" i="43"/>
  <c r="I142" i="43"/>
  <c r="H142" i="43"/>
  <c r="G142" i="43"/>
  <c r="N141" i="43"/>
  <c r="M141" i="43"/>
  <c r="L141" i="43"/>
  <c r="K141" i="43"/>
  <c r="J141" i="43"/>
  <c r="I141" i="43"/>
  <c r="H141" i="43"/>
  <c r="G141" i="43"/>
  <c r="N140" i="43"/>
  <c r="J140" i="43"/>
  <c r="I140" i="43"/>
  <c r="H140" i="43"/>
  <c r="G140" i="43"/>
  <c r="K128" i="43"/>
  <c r="I128" i="43"/>
  <c r="K127" i="43"/>
  <c r="I127" i="43"/>
  <c r="K126" i="43"/>
  <c r="I126" i="43"/>
  <c r="M125" i="43"/>
  <c r="K125" i="43"/>
  <c r="I125" i="43"/>
  <c r="N124" i="43"/>
  <c r="M124" i="43"/>
  <c r="L124" i="43"/>
  <c r="K124" i="43"/>
  <c r="I124" i="43"/>
  <c r="N123" i="43"/>
  <c r="M123" i="43"/>
  <c r="L123" i="43"/>
  <c r="K123" i="43"/>
  <c r="I123" i="43"/>
  <c r="N122" i="43"/>
  <c r="M122" i="43"/>
  <c r="L122" i="43"/>
  <c r="K122" i="43"/>
  <c r="I122" i="43"/>
  <c r="N121" i="43"/>
  <c r="M121" i="43"/>
  <c r="L121" i="43"/>
  <c r="K121" i="43"/>
  <c r="I121" i="43"/>
  <c r="N120" i="43"/>
  <c r="M120" i="43"/>
  <c r="L120" i="43"/>
  <c r="K120" i="43"/>
  <c r="I120" i="43"/>
  <c r="N119" i="43"/>
  <c r="M119" i="43"/>
  <c r="L119" i="43"/>
  <c r="K119" i="43"/>
  <c r="I119" i="43"/>
  <c r="N118" i="43"/>
  <c r="M118" i="43"/>
  <c r="L118" i="43"/>
  <c r="K118" i="43"/>
  <c r="I118" i="43"/>
  <c r="N117" i="43"/>
  <c r="M117" i="43"/>
  <c r="L117" i="43"/>
  <c r="K117" i="43"/>
  <c r="I117" i="43"/>
  <c r="N116" i="43"/>
  <c r="M116" i="43"/>
  <c r="L116" i="43"/>
  <c r="K116" i="43"/>
  <c r="I116" i="43"/>
  <c r="N115" i="43"/>
  <c r="M115" i="43"/>
  <c r="L115" i="43"/>
  <c r="K115" i="43"/>
  <c r="I115" i="43"/>
  <c r="N114" i="43"/>
  <c r="M114" i="43"/>
  <c r="L114" i="43"/>
  <c r="K114" i="43"/>
  <c r="I114" i="43"/>
  <c r="N113" i="43"/>
  <c r="M113" i="43"/>
  <c r="L113" i="43"/>
  <c r="K113" i="43"/>
  <c r="I113" i="43"/>
  <c r="N112" i="43"/>
  <c r="M112" i="43"/>
  <c r="L112" i="43"/>
  <c r="K112" i="43"/>
  <c r="I112" i="43"/>
  <c r="N111" i="43"/>
  <c r="M111" i="43"/>
  <c r="L111" i="43"/>
  <c r="K111" i="43"/>
  <c r="I111" i="43"/>
  <c r="N110" i="43"/>
  <c r="M110" i="43"/>
  <c r="L110" i="43"/>
  <c r="K110" i="43"/>
  <c r="I110" i="43"/>
  <c r="N109" i="43"/>
  <c r="M109" i="43"/>
  <c r="L109" i="43"/>
  <c r="K109" i="43"/>
  <c r="I109" i="43"/>
  <c r="N108" i="43"/>
  <c r="M108" i="43"/>
  <c r="L108" i="43"/>
  <c r="K108" i="43"/>
  <c r="I108" i="43"/>
  <c r="N107" i="43"/>
  <c r="M107" i="43"/>
  <c r="L107" i="43"/>
  <c r="K107" i="43"/>
  <c r="I107" i="43"/>
  <c r="N106" i="43"/>
  <c r="M106" i="43"/>
  <c r="L106" i="43"/>
  <c r="K106" i="43"/>
  <c r="I106" i="43"/>
  <c r="N105" i="43"/>
  <c r="M105" i="43"/>
  <c r="L105" i="43"/>
  <c r="K105" i="43"/>
  <c r="I105" i="43"/>
  <c r="N104" i="43"/>
  <c r="M104" i="43"/>
  <c r="L104" i="43"/>
  <c r="K104" i="43"/>
  <c r="I104" i="43"/>
  <c r="N103" i="43"/>
  <c r="M103" i="43"/>
  <c r="L103" i="43"/>
  <c r="K103" i="43"/>
  <c r="I103" i="43"/>
  <c r="N102" i="43"/>
  <c r="M102" i="43"/>
  <c r="L102" i="43"/>
  <c r="K102" i="43"/>
  <c r="I102" i="43"/>
  <c r="G102" i="43"/>
  <c r="N101" i="43"/>
  <c r="M101" i="43"/>
  <c r="L101" i="43"/>
  <c r="K101" i="43"/>
  <c r="J101" i="43"/>
  <c r="I101" i="43"/>
  <c r="H101" i="43"/>
  <c r="G101" i="43"/>
  <c r="N100" i="43"/>
  <c r="M100" i="43"/>
  <c r="L100" i="43"/>
  <c r="K100" i="43"/>
  <c r="J100" i="43"/>
  <c r="I100" i="43"/>
  <c r="H100" i="43"/>
  <c r="G100" i="43"/>
  <c r="N99" i="43"/>
  <c r="M99" i="43"/>
  <c r="L99" i="43"/>
  <c r="K99" i="43"/>
  <c r="J99" i="43"/>
  <c r="I99" i="43"/>
  <c r="H99" i="43"/>
  <c r="G99" i="43"/>
  <c r="N98" i="43"/>
  <c r="M98" i="43"/>
  <c r="L98" i="43"/>
  <c r="K98" i="43"/>
  <c r="J98" i="43"/>
  <c r="I98" i="43"/>
  <c r="H98" i="43"/>
  <c r="G98" i="43"/>
  <c r="N97" i="43"/>
  <c r="M97" i="43"/>
  <c r="L97" i="43"/>
  <c r="K97" i="43"/>
  <c r="J97" i="43"/>
  <c r="I97" i="43"/>
  <c r="H97" i="43"/>
  <c r="G97" i="43"/>
  <c r="N96" i="43"/>
  <c r="M96" i="43"/>
  <c r="L96" i="43"/>
  <c r="K96" i="43"/>
  <c r="J96" i="43"/>
  <c r="I96" i="43"/>
  <c r="H96" i="43"/>
  <c r="G96" i="43"/>
  <c r="N95" i="43"/>
  <c r="M95" i="43"/>
  <c r="L95" i="43"/>
  <c r="K95" i="43"/>
  <c r="J95" i="43"/>
  <c r="I95" i="43"/>
  <c r="H95" i="43"/>
  <c r="G95" i="43"/>
  <c r="N94" i="43"/>
  <c r="M94" i="43"/>
  <c r="L94" i="43"/>
  <c r="K94" i="43"/>
  <c r="J94" i="43"/>
  <c r="I94" i="43"/>
  <c r="H94" i="43"/>
  <c r="G94" i="43"/>
  <c r="N93" i="43"/>
  <c r="M93" i="43"/>
  <c r="L93" i="43"/>
  <c r="K93" i="43"/>
  <c r="J93" i="43"/>
  <c r="I93" i="43"/>
  <c r="H93" i="43"/>
  <c r="G93" i="43"/>
  <c r="N92" i="43"/>
  <c r="M92" i="43"/>
  <c r="L92" i="43"/>
  <c r="K92" i="43"/>
  <c r="J92" i="43"/>
  <c r="I92" i="43"/>
  <c r="H92" i="43"/>
  <c r="G92" i="43"/>
  <c r="N91" i="43"/>
  <c r="M91" i="43"/>
  <c r="L91" i="43"/>
  <c r="K91" i="43"/>
  <c r="J91" i="43"/>
  <c r="I91" i="43"/>
  <c r="H91" i="43"/>
  <c r="G91" i="43"/>
  <c r="N90" i="43"/>
  <c r="M90" i="43"/>
  <c r="L90" i="43"/>
  <c r="K90" i="43"/>
  <c r="J90" i="43"/>
  <c r="I90" i="43"/>
  <c r="H90" i="43"/>
  <c r="G90" i="43"/>
  <c r="N89" i="43"/>
  <c r="M89" i="43"/>
  <c r="L89" i="43"/>
  <c r="K89" i="43"/>
  <c r="J89" i="43"/>
  <c r="I89" i="43"/>
  <c r="H89" i="43"/>
  <c r="G89" i="43"/>
  <c r="N88" i="43"/>
  <c r="M88" i="43"/>
  <c r="L88" i="43"/>
  <c r="K88" i="43"/>
  <c r="J88" i="43"/>
  <c r="I88" i="43"/>
  <c r="H88" i="43"/>
  <c r="G88" i="43"/>
  <c r="N87" i="43"/>
  <c r="M87" i="43"/>
  <c r="L87" i="43"/>
  <c r="K87" i="43"/>
  <c r="J87" i="43"/>
  <c r="I87" i="43"/>
  <c r="H87" i="43"/>
  <c r="G87" i="43"/>
  <c r="N86" i="43"/>
  <c r="M86" i="43"/>
  <c r="L86" i="43"/>
  <c r="K86" i="43"/>
  <c r="J86" i="43"/>
  <c r="I86" i="43"/>
  <c r="H86" i="43"/>
  <c r="G86" i="43"/>
  <c r="N85" i="43"/>
  <c r="M85" i="43"/>
  <c r="L85" i="43"/>
  <c r="K85" i="43"/>
  <c r="J85" i="43"/>
  <c r="I85" i="43"/>
  <c r="H85" i="43"/>
  <c r="G85" i="43"/>
  <c r="N84" i="43"/>
  <c r="M84" i="43"/>
  <c r="L84" i="43"/>
  <c r="K84" i="43"/>
  <c r="J84" i="43"/>
  <c r="I84" i="43"/>
  <c r="H84" i="43"/>
  <c r="G84" i="43"/>
  <c r="N83" i="43"/>
  <c r="M83" i="43"/>
  <c r="L83" i="43"/>
  <c r="K83" i="43"/>
  <c r="J83" i="43"/>
  <c r="I83" i="43"/>
  <c r="H83" i="43"/>
  <c r="G83" i="43"/>
  <c r="N82" i="43"/>
  <c r="M82" i="43"/>
  <c r="L82" i="43"/>
  <c r="K82" i="43"/>
  <c r="J82" i="43"/>
  <c r="I82" i="43"/>
  <c r="H82" i="43"/>
  <c r="G82" i="43"/>
  <c r="N81" i="43"/>
  <c r="M81" i="43"/>
  <c r="L81" i="43"/>
  <c r="K81" i="43"/>
  <c r="J81" i="43"/>
  <c r="I81" i="43"/>
  <c r="H81" i="43"/>
  <c r="G81" i="43"/>
  <c r="N80" i="43"/>
  <c r="M80" i="43"/>
  <c r="L80" i="43"/>
  <c r="K80" i="43"/>
  <c r="J80" i="43"/>
  <c r="I80" i="43"/>
  <c r="H80" i="43"/>
  <c r="G80" i="43"/>
  <c r="N79" i="43"/>
  <c r="M79" i="43"/>
  <c r="L79" i="43"/>
  <c r="K79" i="43"/>
  <c r="J79" i="43"/>
  <c r="I79" i="43"/>
  <c r="H79" i="43"/>
  <c r="G79" i="43"/>
  <c r="N78" i="43"/>
  <c r="M78" i="43"/>
  <c r="L78" i="43"/>
  <c r="K78" i="43"/>
  <c r="J78" i="43"/>
  <c r="I78" i="43"/>
  <c r="H78" i="43"/>
  <c r="G78" i="43"/>
  <c r="N77" i="43"/>
  <c r="M77" i="43"/>
  <c r="L77" i="43"/>
  <c r="K77" i="43"/>
  <c r="J77" i="43"/>
  <c r="I77" i="43"/>
  <c r="H77" i="43"/>
  <c r="G77" i="43"/>
  <c r="N76" i="43"/>
  <c r="M76" i="43"/>
  <c r="L76" i="43"/>
  <c r="K76" i="43"/>
  <c r="J76" i="43"/>
  <c r="I76" i="43"/>
  <c r="H76" i="43"/>
  <c r="G76" i="43"/>
  <c r="N75" i="43"/>
  <c r="M75" i="43"/>
  <c r="L75" i="43"/>
  <c r="K75" i="43"/>
  <c r="J75" i="43"/>
  <c r="I75" i="43"/>
  <c r="H75" i="43"/>
  <c r="G75" i="43"/>
  <c r="N74" i="43"/>
  <c r="M74" i="43"/>
  <c r="L74" i="43"/>
  <c r="K74" i="43"/>
  <c r="J74" i="43"/>
  <c r="I74" i="43"/>
  <c r="H74" i="43"/>
  <c r="G74" i="43"/>
  <c r="N73" i="43"/>
  <c r="M73" i="43"/>
  <c r="L73" i="43"/>
  <c r="K73" i="43"/>
  <c r="J73" i="43"/>
  <c r="I73" i="43"/>
  <c r="H73" i="43"/>
  <c r="G73" i="43"/>
  <c r="N72" i="43"/>
  <c r="M72" i="43"/>
  <c r="L72" i="43"/>
  <c r="K72" i="43"/>
  <c r="J72" i="43"/>
  <c r="I72" i="43"/>
  <c r="H72" i="43"/>
  <c r="G72" i="43"/>
  <c r="N71" i="43"/>
  <c r="M71" i="43"/>
  <c r="L71" i="43"/>
  <c r="K71" i="43"/>
  <c r="J71" i="43"/>
  <c r="I71" i="43"/>
  <c r="H71" i="43"/>
  <c r="G71" i="43"/>
  <c r="N70" i="43"/>
  <c r="M70" i="43"/>
  <c r="L70" i="43"/>
  <c r="K70" i="43"/>
  <c r="J70" i="43"/>
  <c r="I70" i="43"/>
  <c r="H70" i="43"/>
  <c r="G70" i="43"/>
  <c r="N69" i="43"/>
  <c r="M69" i="43"/>
  <c r="L69" i="43"/>
  <c r="K69" i="43"/>
  <c r="J69" i="43"/>
  <c r="I69" i="43"/>
  <c r="H69" i="43"/>
  <c r="G69" i="43"/>
  <c r="N68" i="43"/>
  <c r="M68" i="43"/>
  <c r="L68" i="43"/>
  <c r="K68" i="43"/>
  <c r="J68" i="43"/>
  <c r="I68" i="43"/>
  <c r="H68" i="43"/>
  <c r="G68" i="43"/>
  <c r="N67" i="43"/>
  <c r="M67" i="43"/>
  <c r="L67" i="43"/>
  <c r="K67" i="43"/>
  <c r="J67" i="43"/>
  <c r="I67" i="43"/>
  <c r="H67" i="43"/>
  <c r="G67" i="43"/>
  <c r="N66" i="43"/>
  <c r="M66" i="43"/>
  <c r="L66" i="43"/>
  <c r="K66" i="43"/>
  <c r="J66" i="43"/>
  <c r="I66" i="43"/>
  <c r="H66" i="43"/>
  <c r="G66" i="43"/>
  <c r="N65" i="43"/>
  <c r="M65" i="43"/>
  <c r="L65" i="43"/>
  <c r="K65" i="43"/>
  <c r="J65" i="43"/>
  <c r="I65" i="43"/>
  <c r="H65" i="43"/>
  <c r="G65" i="43"/>
  <c r="N64" i="43"/>
  <c r="M64" i="43"/>
  <c r="L64" i="43"/>
  <c r="K64" i="43"/>
  <c r="J64" i="43"/>
  <c r="I64" i="43"/>
  <c r="H64" i="43"/>
  <c r="G64" i="43"/>
  <c r="N63" i="43"/>
  <c r="M63" i="43"/>
  <c r="L63" i="43"/>
  <c r="K63" i="43"/>
  <c r="J63" i="43"/>
  <c r="I63" i="43"/>
  <c r="H63" i="43"/>
  <c r="G63" i="43"/>
  <c r="N62" i="43"/>
  <c r="M62" i="43"/>
  <c r="L62" i="43"/>
  <c r="K62" i="43"/>
  <c r="J62" i="43"/>
  <c r="I62" i="43"/>
  <c r="H62" i="43"/>
  <c r="G62" i="43"/>
  <c r="J61" i="43"/>
  <c r="I61" i="43"/>
  <c r="H61" i="43"/>
  <c r="G61" i="43"/>
  <c r="B61" i="43"/>
  <c r="B62" i="43" s="1"/>
  <c r="B63" i="43" s="1"/>
  <c r="B64" i="43" s="1"/>
  <c r="B65" i="43" s="1"/>
  <c r="B66" i="43" s="1"/>
  <c r="B67" i="43" s="1"/>
  <c r="B68" i="43" s="1"/>
  <c r="B69" i="43" s="1"/>
  <c r="B70" i="43" s="1"/>
  <c r="B71" i="43" s="1"/>
  <c r="B72" i="43" s="1"/>
  <c r="B73" i="43" s="1"/>
  <c r="B74" i="43" s="1"/>
  <c r="B75" i="43" s="1"/>
  <c r="B76" i="43" s="1"/>
  <c r="B77" i="43" s="1"/>
  <c r="B78" i="43" s="1"/>
  <c r="B79" i="43" s="1"/>
  <c r="B80" i="43" s="1"/>
  <c r="B81" i="43" s="1"/>
  <c r="B82" i="43" s="1"/>
  <c r="B83" i="43" s="1"/>
  <c r="B84" i="43" s="1"/>
  <c r="B85" i="43" s="1"/>
  <c r="B86" i="43" s="1"/>
  <c r="B87" i="43" s="1"/>
  <c r="B88" i="43" s="1"/>
  <c r="B89" i="43" s="1"/>
  <c r="B90" i="43" s="1"/>
  <c r="B91" i="43" s="1"/>
  <c r="B92" i="43" s="1"/>
  <c r="B93" i="43" s="1"/>
  <c r="B94" i="43" s="1"/>
  <c r="B95" i="43" s="1"/>
  <c r="B96" i="43" s="1"/>
  <c r="B97" i="43" s="1"/>
  <c r="B98" i="43" s="1"/>
  <c r="B99" i="43" s="1"/>
  <c r="B100" i="43" s="1"/>
  <c r="B101" i="43" s="1"/>
  <c r="B102" i="43" s="1"/>
  <c r="B103" i="43" s="1"/>
  <c r="B104" i="43" s="1"/>
  <c r="B105" i="43" s="1"/>
  <c r="B106" i="43" s="1"/>
  <c r="B107" i="43" s="1"/>
  <c r="B108" i="43" s="1"/>
  <c r="B109" i="43" s="1"/>
  <c r="B110" i="43" s="1"/>
  <c r="B111" i="43" s="1"/>
  <c r="B112" i="43" s="1"/>
  <c r="B113" i="43" s="1"/>
  <c r="B114" i="43" s="1"/>
  <c r="B115" i="43" s="1"/>
  <c r="B116" i="43" s="1"/>
  <c r="N58" i="43"/>
  <c r="M58" i="43"/>
  <c r="L58" i="43"/>
  <c r="K58" i="43"/>
  <c r="J58" i="43"/>
  <c r="I58" i="43"/>
  <c r="H58" i="43"/>
  <c r="G58" i="43"/>
  <c r="N57" i="43"/>
  <c r="M57" i="43"/>
  <c r="L57" i="43"/>
  <c r="K57" i="43"/>
  <c r="J57" i="43"/>
  <c r="I57" i="43"/>
  <c r="H57" i="43"/>
  <c r="G57" i="43"/>
  <c r="N56" i="43"/>
  <c r="M56" i="43"/>
  <c r="L56" i="43"/>
  <c r="K56" i="43"/>
  <c r="J56" i="43"/>
  <c r="I56" i="43"/>
  <c r="H56" i="43"/>
  <c r="G56" i="43"/>
  <c r="N55" i="43"/>
  <c r="M55" i="43"/>
  <c r="L55" i="43"/>
  <c r="K55" i="43"/>
  <c r="J55" i="43"/>
  <c r="I55" i="43"/>
  <c r="H55" i="43"/>
  <c r="G55" i="43"/>
  <c r="N54" i="43"/>
  <c r="M54" i="43"/>
  <c r="L54" i="43"/>
  <c r="K54" i="43"/>
  <c r="J54" i="43"/>
  <c r="I54" i="43"/>
  <c r="H54" i="43"/>
  <c r="G54" i="43"/>
  <c r="N53" i="43"/>
  <c r="M53" i="43"/>
  <c r="L53" i="43"/>
  <c r="K53" i="43"/>
  <c r="J53" i="43"/>
  <c r="I53" i="43"/>
  <c r="H53" i="43"/>
  <c r="G53" i="43"/>
  <c r="N52" i="43"/>
  <c r="M52" i="43"/>
  <c r="L52" i="43"/>
  <c r="K52" i="43"/>
  <c r="J52" i="43"/>
  <c r="I52" i="43"/>
  <c r="H52" i="43"/>
  <c r="G52" i="43"/>
  <c r="N51" i="43"/>
  <c r="M51" i="43"/>
  <c r="L51" i="43"/>
  <c r="K51" i="43"/>
  <c r="J51" i="43"/>
  <c r="I51" i="43"/>
  <c r="H51" i="43"/>
  <c r="G51" i="43"/>
  <c r="N50" i="43"/>
  <c r="M50" i="43"/>
  <c r="L50" i="43"/>
  <c r="K50" i="43"/>
  <c r="J50" i="43"/>
  <c r="I50" i="43"/>
  <c r="H50" i="43"/>
  <c r="G50" i="43"/>
  <c r="N49" i="43"/>
  <c r="M49" i="43"/>
  <c r="L49" i="43"/>
  <c r="K49" i="43"/>
  <c r="J49" i="43"/>
  <c r="I49" i="43"/>
  <c r="H49" i="43"/>
  <c r="G49" i="43"/>
  <c r="N48" i="43"/>
  <c r="M48" i="43"/>
  <c r="L48" i="43"/>
  <c r="K48" i="43"/>
  <c r="J48" i="43"/>
  <c r="I48" i="43"/>
  <c r="H48" i="43"/>
  <c r="G48" i="43"/>
  <c r="N47" i="43"/>
  <c r="M47" i="43"/>
  <c r="L47" i="43"/>
  <c r="K47" i="43"/>
  <c r="J47" i="43"/>
  <c r="I47" i="43"/>
  <c r="H47" i="43"/>
  <c r="G47" i="43"/>
  <c r="N46" i="43"/>
  <c r="M46" i="43"/>
  <c r="L46" i="43"/>
  <c r="K46" i="43"/>
  <c r="J46" i="43"/>
  <c r="I46" i="43"/>
  <c r="H46" i="43"/>
  <c r="G46" i="43"/>
  <c r="N45" i="43"/>
  <c r="M45" i="43"/>
  <c r="L45" i="43"/>
  <c r="K45" i="43"/>
  <c r="J45" i="43"/>
  <c r="I45" i="43"/>
  <c r="H45" i="43"/>
  <c r="G45" i="43"/>
  <c r="N44" i="43"/>
  <c r="M44" i="43"/>
  <c r="L44" i="43"/>
  <c r="K44" i="43"/>
  <c r="J44" i="43"/>
  <c r="I44" i="43"/>
  <c r="H44" i="43"/>
  <c r="G44" i="43"/>
  <c r="N43" i="43"/>
  <c r="M43" i="43"/>
  <c r="L43" i="43"/>
  <c r="K43" i="43"/>
  <c r="J43" i="43"/>
  <c r="I43" i="43"/>
  <c r="H43" i="43"/>
  <c r="G43" i="43"/>
  <c r="N42" i="43"/>
  <c r="M42" i="43"/>
  <c r="L42" i="43"/>
  <c r="K42" i="43"/>
  <c r="J42" i="43"/>
  <c r="I42" i="43"/>
  <c r="H42" i="43"/>
  <c r="G42" i="43"/>
  <c r="N41" i="43"/>
  <c r="M41" i="43"/>
  <c r="L41" i="43"/>
  <c r="K41" i="43"/>
  <c r="J41" i="43"/>
  <c r="I41" i="43"/>
  <c r="H41" i="43"/>
  <c r="G41" i="43"/>
  <c r="N40" i="43"/>
  <c r="M40" i="43"/>
  <c r="L40" i="43"/>
  <c r="K40" i="43"/>
  <c r="J40" i="43"/>
  <c r="I40" i="43"/>
  <c r="H40" i="43"/>
  <c r="G40" i="43"/>
  <c r="N39" i="43"/>
  <c r="M39" i="43"/>
  <c r="L39" i="43"/>
  <c r="K39" i="43"/>
  <c r="J39" i="43"/>
  <c r="I39" i="43"/>
  <c r="H39" i="43"/>
  <c r="G39" i="43"/>
  <c r="N38" i="43"/>
  <c r="M38" i="43"/>
  <c r="L38" i="43"/>
  <c r="K38" i="43"/>
  <c r="J38" i="43"/>
  <c r="I38" i="43"/>
  <c r="H38" i="43"/>
  <c r="G38" i="43"/>
  <c r="N37" i="43"/>
  <c r="M37" i="43"/>
  <c r="L37" i="43"/>
  <c r="K37" i="43"/>
  <c r="J37" i="43"/>
  <c r="I37" i="43"/>
  <c r="H37" i="43"/>
  <c r="G37" i="43"/>
  <c r="N36" i="43"/>
  <c r="M36" i="43"/>
  <c r="L36" i="43"/>
  <c r="K36" i="43"/>
  <c r="J36" i="43"/>
  <c r="I36" i="43"/>
  <c r="H36" i="43"/>
  <c r="G36" i="43"/>
  <c r="N35" i="43"/>
  <c r="M35" i="43"/>
  <c r="L35" i="43"/>
  <c r="K35" i="43"/>
  <c r="J35" i="43"/>
  <c r="I35" i="43"/>
  <c r="H35" i="43"/>
  <c r="G35" i="43"/>
  <c r="N34" i="43"/>
  <c r="M34" i="43"/>
  <c r="L34" i="43"/>
  <c r="K34" i="43"/>
  <c r="J34" i="43"/>
  <c r="I34" i="43"/>
  <c r="H34" i="43"/>
  <c r="G34" i="43"/>
  <c r="N33" i="43"/>
  <c r="M33" i="43"/>
  <c r="L33" i="43"/>
  <c r="K33" i="43"/>
  <c r="J33" i="43"/>
  <c r="I33" i="43"/>
  <c r="H33" i="43"/>
  <c r="G33" i="43"/>
  <c r="N32" i="43"/>
  <c r="M32" i="43"/>
  <c r="L32" i="43"/>
  <c r="K32" i="43"/>
  <c r="J32" i="43"/>
  <c r="I32" i="43"/>
  <c r="H32" i="43"/>
  <c r="G32" i="43"/>
  <c r="N31" i="43"/>
  <c r="M31" i="43"/>
  <c r="L31" i="43"/>
  <c r="K31" i="43"/>
  <c r="J31" i="43"/>
  <c r="I31" i="43"/>
  <c r="H31" i="43"/>
  <c r="G31" i="43"/>
  <c r="N30" i="43"/>
  <c r="M30" i="43"/>
  <c r="L30" i="43"/>
  <c r="K30" i="43"/>
  <c r="J30" i="43"/>
  <c r="I30" i="43"/>
  <c r="H30" i="43"/>
  <c r="G30" i="43"/>
  <c r="N29" i="43"/>
  <c r="M29" i="43"/>
  <c r="L29" i="43"/>
  <c r="K29" i="43"/>
  <c r="J29" i="43"/>
  <c r="I29" i="43"/>
  <c r="H29" i="43"/>
  <c r="G29" i="43"/>
  <c r="N28" i="43"/>
  <c r="M28" i="43"/>
  <c r="L28" i="43"/>
  <c r="K28" i="43"/>
  <c r="J28" i="43"/>
  <c r="I28" i="43"/>
  <c r="H28" i="43"/>
  <c r="G28" i="43"/>
  <c r="N27" i="43"/>
  <c r="M27" i="43"/>
  <c r="L27" i="43"/>
  <c r="K27" i="43"/>
  <c r="J27" i="43"/>
  <c r="I27" i="43"/>
  <c r="H27" i="43"/>
  <c r="G27" i="43"/>
  <c r="N26" i="43"/>
  <c r="M26" i="43"/>
  <c r="L26" i="43"/>
  <c r="K26" i="43"/>
  <c r="J26" i="43"/>
  <c r="I26" i="43"/>
  <c r="H26" i="43"/>
  <c r="G26" i="43"/>
  <c r="N25" i="43"/>
  <c r="M25" i="43"/>
  <c r="L25" i="43"/>
  <c r="K25" i="43"/>
  <c r="J25" i="43"/>
  <c r="I25" i="43"/>
  <c r="H25" i="43"/>
  <c r="G25" i="43"/>
  <c r="N24" i="43"/>
  <c r="M24" i="43"/>
  <c r="L24" i="43"/>
  <c r="K24" i="43"/>
  <c r="J24" i="43"/>
  <c r="I24" i="43"/>
  <c r="H24" i="43"/>
  <c r="G24" i="43"/>
  <c r="N23" i="43"/>
  <c r="M23" i="43"/>
  <c r="L23" i="43"/>
  <c r="K23" i="43"/>
  <c r="J23" i="43"/>
  <c r="I23" i="43"/>
  <c r="H23" i="43"/>
  <c r="G23" i="43"/>
  <c r="N22" i="43"/>
  <c r="M22" i="43"/>
  <c r="L22" i="43"/>
  <c r="K22" i="43"/>
  <c r="J22" i="43"/>
  <c r="I22" i="43"/>
  <c r="H22" i="43"/>
  <c r="G22" i="43"/>
  <c r="N21" i="43"/>
  <c r="M21" i="43"/>
  <c r="L21" i="43"/>
  <c r="K21" i="43"/>
  <c r="J21" i="43"/>
  <c r="I21" i="43"/>
  <c r="H21" i="43"/>
  <c r="G21" i="43"/>
  <c r="N20" i="43"/>
  <c r="M20" i="43"/>
  <c r="L20" i="43"/>
  <c r="K20" i="43"/>
  <c r="J20" i="43"/>
  <c r="I20" i="43"/>
  <c r="H20" i="43"/>
  <c r="G20" i="43"/>
  <c r="N19" i="43"/>
  <c r="M19" i="43"/>
  <c r="L19" i="43"/>
  <c r="K19" i="43"/>
  <c r="J19" i="43"/>
  <c r="I19" i="43"/>
  <c r="H19" i="43"/>
  <c r="G19" i="43"/>
  <c r="N18" i="43"/>
  <c r="M18" i="43"/>
  <c r="L18" i="43"/>
  <c r="K18" i="43"/>
  <c r="J18" i="43"/>
  <c r="I18" i="43"/>
  <c r="H18" i="43"/>
  <c r="G18" i="43"/>
  <c r="N17" i="43"/>
  <c r="M17" i="43"/>
  <c r="L17" i="43"/>
  <c r="K17" i="43"/>
  <c r="J17" i="43"/>
  <c r="I17" i="43"/>
  <c r="H17" i="43"/>
  <c r="G17" i="43"/>
  <c r="N16" i="43"/>
  <c r="M16" i="43"/>
  <c r="L16" i="43"/>
  <c r="K16" i="43"/>
  <c r="J16" i="43"/>
  <c r="I16" i="43"/>
  <c r="H16" i="43"/>
  <c r="G16" i="43"/>
  <c r="N15" i="43"/>
  <c r="M15" i="43"/>
  <c r="L15" i="43"/>
  <c r="K15" i="43"/>
  <c r="J15" i="43"/>
  <c r="I15" i="43"/>
  <c r="H15" i="43"/>
  <c r="G15" i="43"/>
  <c r="N14" i="43"/>
  <c r="M14" i="43"/>
  <c r="L14" i="43"/>
  <c r="K14" i="43"/>
  <c r="J14" i="43"/>
  <c r="I14" i="43"/>
  <c r="H14" i="43"/>
  <c r="G14" i="43"/>
  <c r="N13" i="43"/>
  <c r="M13" i="43"/>
  <c r="L13" i="43"/>
  <c r="K13" i="43"/>
  <c r="J13" i="43"/>
  <c r="I13" i="43"/>
  <c r="H13" i="43"/>
  <c r="G13" i="43"/>
  <c r="N12" i="43"/>
  <c r="M12" i="43"/>
  <c r="L12" i="43"/>
  <c r="K12" i="43"/>
  <c r="J12" i="43"/>
  <c r="I12" i="43"/>
  <c r="H12" i="43"/>
  <c r="G12" i="43"/>
  <c r="N11" i="43"/>
  <c r="M11" i="43"/>
  <c r="L11" i="43"/>
  <c r="K11" i="43"/>
  <c r="J11" i="43"/>
  <c r="I11" i="43"/>
  <c r="H11" i="43"/>
  <c r="G11" i="43"/>
  <c r="N10" i="43"/>
  <c r="M10" i="43"/>
  <c r="L10" i="43"/>
  <c r="K10" i="43"/>
  <c r="J10" i="43"/>
  <c r="I10" i="43"/>
  <c r="H10" i="43"/>
  <c r="G10" i="43"/>
  <c r="N9" i="43"/>
  <c r="M9" i="43"/>
  <c r="L9" i="43"/>
  <c r="K9" i="43"/>
  <c r="J9" i="43"/>
  <c r="I9" i="43"/>
  <c r="H9" i="43"/>
  <c r="G9" i="43"/>
  <c r="N8" i="43"/>
  <c r="M8" i="43"/>
  <c r="L8" i="43"/>
  <c r="K8" i="43"/>
  <c r="J8" i="43"/>
  <c r="I8" i="43"/>
  <c r="H8" i="43"/>
  <c r="G8" i="43"/>
  <c r="N7" i="43"/>
  <c r="J7" i="43"/>
  <c r="I7" i="43"/>
  <c r="H7" i="43"/>
  <c r="G7" i="43"/>
  <c r="B7" i="43"/>
  <c r="M42" i="50" l="1"/>
  <c r="N42" i="50" s="1"/>
  <c r="M50" i="50"/>
  <c r="M56" i="50"/>
  <c r="B8" i="43"/>
  <c r="B141" i="43" s="1"/>
  <c r="B140" i="43"/>
  <c r="C88" i="45"/>
  <c r="C87" i="45" s="1"/>
  <c r="C86" i="45" s="1"/>
  <c r="C85" i="45" s="1"/>
  <c r="C84" i="45" s="1"/>
  <c r="C83" i="45" s="1"/>
  <c r="C82" i="45" s="1"/>
  <c r="C81" i="45" s="1"/>
  <c r="C80" i="45" s="1"/>
  <c r="C65" i="45"/>
  <c r="C66" i="45" s="1"/>
  <c r="C67" i="45" s="1"/>
  <c r="C68" i="45" s="1"/>
  <c r="C69" i="45" s="1"/>
  <c r="C70" i="45" s="1"/>
  <c r="C71" i="45" s="1"/>
  <c r="C72" i="45" s="1"/>
  <c r="O41" i="50"/>
  <c r="O42" i="50"/>
  <c r="I40" i="50"/>
  <c r="M488" i="21"/>
  <c r="Q11" i="23" s="1"/>
  <c r="Q10" i="23"/>
  <c r="Q9" i="23"/>
  <c r="G487" i="21"/>
  <c r="K10" i="23" s="1"/>
  <c r="C33" i="45"/>
  <c r="C34" i="45" s="1"/>
  <c r="C35" i="45" s="1"/>
  <c r="N50" i="50" l="1"/>
  <c r="M58" i="50"/>
  <c r="N56" i="50"/>
  <c r="M57" i="50"/>
  <c r="F21" i="62" s="1"/>
  <c r="B9" i="43"/>
  <c r="B142" i="43" s="1"/>
  <c r="E63" i="50" a="1"/>
  <c r="P42" i="50"/>
  <c r="P41" i="50"/>
  <c r="J40" i="50"/>
  <c r="O50" i="50" l="1"/>
  <c r="N58" i="50"/>
  <c r="N57" i="50"/>
  <c r="G21" i="62" s="1"/>
  <c r="P56" i="50"/>
  <c r="O56" i="50"/>
  <c r="B10" i="43"/>
  <c r="B143" i="43" s="1"/>
  <c r="E63" i="50"/>
  <c r="P63" i="50"/>
  <c r="P70" i="50" s="1"/>
  <c r="P78" i="50" s="1"/>
  <c r="F63" i="50"/>
  <c r="J63" i="50"/>
  <c r="L63" i="50"/>
  <c r="K63" i="50"/>
  <c r="I63" i="50"/>
  <c r="N63" i="50"/>
  <c r="H63" i="50"/>
  <c r="O63" i="50"/>
  <c r="M63" i="50"/>
  <c r="G63" i="50"/>
  <c r="K40" i="50"/>
  <c r="P50" i="50" l="1"/>
  <c r="P58" i="50" s="1"/>
  <c r="O58" i="50"/>
  <c r="P57" i="50"/>
  <c r="I24" i="62" s="1"/>
  <c r="O57" i="50"/>
  <c r="H21" i="62" s="1"/>
  <c r="I21" i="62" s="1"/>
  <c r="B11" i="43"/>
  <c r="B12" i="43" s="1"/>
  <c r="N71" i="50"/>
  <c r="N79" i="50" s="1"/>
  <c r="N70" i="50"/>
  <c r="N78" i="50" s="1"/>
  <c r="I71" i="50"/>
  <c r="I79" i="50" s="1"/>
  <c r="I69" i="50"/>
  <c r="I77" i="50" s="1"/>
  <c r="I70" i="50"/>
  <c r="I78" i="50" s="1"/>
  <c r="K71" i="50"/>
  <c r="K79" i="50" s="1"/>
  <c r="K69" i="50"/>
  <c r="K77" i="50" s="1"/>
  <c r="K70" i="50"/>
  <c r="K78" i="50" s="1"/>
  <c r="L71" i="50"/>
  <c r="L79" i="50" s="1"/>
  <c r="L70" i="50"/>
  <c r="L78" i="50" s="1"/>
  <c r="J71" i="50"/>
  <c r="J79" i="50" s="1"/>
  <c r="J69" i="50"/>
  <c r="J77" i="50" s="1"/>
  <c r="J70" i="50"/>
  <c r="J78" i="50" s="1"/>
  <c r="F69" i="50"/>
  <c r="F77" i="50" s="1"/>
  <c r="F71" i="50"/>
  <c r="F79" i="50" s="1"/>
  <c r="F70" i="50"/>
  <c r="F78" i="50" s="1"/>
  <c r="O71" i="50"/>
  <c r="O79" i="50" s="1"/>
  <c r="O70" i="50"/>
  <c r="O78" i="50" s="1"/>
  <c r="P71" i="50"/>
  <c r="P79" i="50" s="1"/>
  <c r="G69" i="50"/>
  <c r="G77" i="50" s="1"/>
  <c r="G71" i="50"/>
  <c r="G79" i="50" s="1"/>
  <c r="G70" i="50"/>
  <c r="G78" i="50" s="1"/>
  <c r="M71" i="50"/>
  <c r="M79" i="50" s="1"/>
  <c r="M70" i="50"/>
  <c r="M78" i="50" s="1"/>
  <c r="H70" i="50"/>
  <c r="H78" i="50" s="1"/>
  <c r="H71" i="50"/>
  <c r="H79" i="50" s="1"/>
  <c r="H69" i="50"/>
  <c r="H77" i="50" s="1"/>
  <c r="E69" i="50"/>
  <c r="E77" i="50" s="1"/>
  <c r="E71" i="50"/>
  <c r="E79" i="50" s="1"/>
  <c r="E70" i="50"/>
  <c r="E78" i="50" s="1"/>
  <c r="L40" i="50"/>
  <c r="L69" i="50" s="1"/>
  <c r="B144" i="43" l="1"/>
  <c r="M40" i="50"/>
  <c r="M69" i="50" s="1"/>
  <c r="L77" i="50"/>
  <c r="B13" i="43"/>
  <c r="B145" i="43"/>
  <c r="N40" i="50" l="1"/>
  <c r="N69" i="50" s="1"/>
  <c r="M77" i="50"/>
  <c r="B14" i="43"/>
  <c r="B146" i="43"/>
  <c r="O40" i="50" l="1"/>
  <c r="O69" i="50" s="1"/>
  <c r="N77" i="50"/>
  <c r="B147" i="43"/>
  <c r="B15" i="43"/>
  <c r="O77" i="50" l="1"/>
  <c r="P40" i="50"/>
  <c r="P69" i="50" s="1"/>
  <c r="B148" i="43"/>
  <c r="B16" i="43"/>
  <c r="P77" i="50" l="1"/>
  <c r="B149" i="43"/>
  <c r="B17" i="43"/>
  <c r="B18" i="43" l="1"/>
  <c r="B150" i="43"/>
  <c r="B19" i="43" l="1"/>
  <c r="B151" i="43"/>
  <c r="B20" i="43" l="1"/>
  <c r="B152" i="43"/>
  <c r="B21" i="43" l="1"/>
  <c r="B153" i="43"/>
  <c r="B22" i="43" l="1"/>
  <c r="B154" i="43"/>
  <c r="B155" i="43" l="1"/>
  <c r="B23" i="43"/>
  <c r="B156" i="43" l="1"/>
  <c r="B24" i="43"/>
  <c r="B25" i="43" l="1"/>
  <c r="B157" i="43"/>
  <c r="B26" i="43" l="1"/>
  <c r="B158" i="43"/>
  <c r="B159" i="43" l="1"/>
  <c r="B27" i="43"/>
  <c r="B28" i="43" l="1"/>
  <c r="B160" i="43"/>
  <c r="B29" i="43" l="1"/>
  <c r="B161" i="43"/>
  <c r="B30" i="43" l="1"/>
  <c r="B162" i="43"/>
  <c r="B163" i="43" l="1"/>
  <c r="B31" i="43"/>
  <c r="B164" i="43" l="1"/>
  <c r="B32" i="43"/>
  <c r="B33" i="43" l="1"/>
  <c r="B165" i="43"/>
  <c r="B34" i="43" l="1"/>
  <c r="B166" i="43"/>
  <c r="B167" i="43" l="1"/>
  <c r="B35" i="43"/>
  <c r="B36" i="43" l="1"/>
  <c r="B168" i="43"/>
  <c r="B37" i="43" l="1"/>
  <c r="B169" i="43"/>
  <c r="B38" i="43" l="1"/>
  <c r="B170" i="43"/>
  <c r="B171" i="43" l="1"/>
  <c r="B39" i="43"/>
  <c r="B172" i="43" l="1"/>
  <c r="B40" i="43"/>
  <c r="B41" i="43" l="1"/>
  <c r="B173" i="43"/>
  <c r="B42" i="43" l="1"/>
  <c r="B174" i="43"/>
  <c r="B175" i="43" l="1"/>
  <c r="B43" i="43"/>
  <c r="B44" i="43" l="1"/>
  <c r="B176" i="43"/>
  <c r="B45" i="43" l="1"/>
  <c r="B177" i="43"/>
  <c r="B46" i="43" l="1"/>
  <c r="B178" i="43"/>
  <c r="B179" i="43" l="1"/>
  <c r="B47" i="43"/>
  <c r="B180" i="43" l="1"/>
  <c r="B48" i="43"/>
  <c r="B49" i="43" l="1"/>
  <c r="B181" i="43"/>
  <c r="B50" i="43" l="1"/>
  <c r="B182" i="43"/>
  <c r="B183" i="43" l="1"/>
  <c r="B51" i="43"/>
  <c r="B52" i="43" l="1"/>
  <c r="B184" i="43"/>
  <c r="B53" i="43" l="1"/>
  <c r="B185" i="43"/>
  <c r="B117" i="43"/>
  <c r="B54" i="43" l="1"/>
  <c r="B186" i="43"/>
  <c r="B118" i="43"/>
  <c r="B119" i="43" l="1"/>
  <c r="B187" i="43"/>
  <c r="B55" i="43"/>
  <c r="B188" i="43" l="1"/>
  <c r="B120" i="43"/>
  <c r="B42" i="45" s="1"/>
  <c r="B56" i="43"/>
  <c r="B80" i="45" l="1"/>
  <c r="B63" i="45"/>
  <c r="B57" i="43"/>
  <c r="B121" i="43"/>
  <c r="B43" i="45" s="1"/>
  <c r="B189" i="43"/>
  <c r="B64" i="45" l="1"/>
  <c r="B81" i="45"/>
  <c r="B122" i="43"/>
  <c r="B44" i="45" s="1"/>
  <c r="B58" i="43"/>
  <c r="B190" i="43"/>
  <c r="B65" i="45" l="1"/>
  <c r="B82" i="45"/>
  <c r="B124" i="43"/>
  <c r="B123" i="43"/>
  <c r="B45" i="45" s="1"/>
  <c r="B191" i="43"/>
  <c r="B125" i="43" l="1"/>
  <c r="B46" i="45"/>
  <c r="B66" i="45"/>
  <c r="B83" i="45"/>
  <c r="N165" i="39"/>
  <c r="O165" i="39"/>
  <c r="C165" i="39"/>
  <c r="G165" i="39"/>
  <c r="I165" i="39"/>
  <c r="A165" i="39"/>
  <c r="M16" i="34"/>
  <c r="C16" i="34" s="1"/>
  <c r="N19" i="34"/>
  <c r="D72" i="34" s="1"/>
  <c r="D19" i="34" s="1"/>
  <c r="N20" i="34"/>
  <c r="N21" i="34"/>
  <c r="D74" i="34" s="1"/>
  <c r="N22" i="34"/>
  <c r="D75" i="34" s="1"/>
  <c r="C201" i="41"/>
  <c r="G201" i="41"/>
  <c r="I201" i="41"/>
  <c r="N201" i="41"/>
  <c r="O201" i="41"/>
  <c r="A201" i="41"/>
  <c r="O202" i="41"/>
  <c r="N202" i="41"/>
  <c r="G202" i="41"/>
  <c r="C202" i="41"/>
  <c r="A202" i="41"/>
  <c r="B67" i="45" l="1"/>
  <c r="B84" i="45"/>
  <c r="B126" i="43"/>
  <c r="B47" i="45"/>
  <c r="D76" i="34"/>
  <c r="D21" i="34" s="1"/>
  <c r="D71" i="34"/>
  <c r="N23" i="34"/>
  <c r="K7" i="38"/>
  <c r="M7" i="38"/>
  <c r="S7" i="38"/>
  <c r="X7" i="38"/>
  <c r="M6" i="34"/>
  <c r="Q6" i="34"/>
  <c r="X6" i="34"/>
  <c r="M6" i="36"/>
  <c r="Q6" i="36"/>
  <c r="M6" i="33"/>
  <c r="S6" i="33"/>
  <c r="X6" i="33"/>
  <c r="M6" i="35"/>
  <c r="S6" i="35"/>
  <c r="X6" i="35"/>
  <c r="M6" i="38"/>
  <c r="S6" i="38"/>
  <c r="X6" i="38"/>
  <c r="K6" i="34"/>
  <c r="K6" i="36"/>
  <c r="K6" i="33"/>
  <c r="K6" i="35"/>
  <c r="K6" i="38"/>
  <c r="K6" i="23"/>
  <c r="M5" i="34"/>
  <c r="Q5" i="34"/>
  <c r="R5" i="34"/>
  <c r="S5" i="34"/>
  <c r="X5" i="34"/>
  <c r="M5" i="26"/>
  <c r="M5" i="36"/>
  <c r="Q5" i="36"/>
  <c r="R5" i="36"/>
  <c r="M5" i="33"/>
  <c r="S5" i="33"/>
  <c r="X5" i="33"/>
  <c r="M5" i="35"/>
  <c r="S5" i="35"/>
  <c r="X5" i="35"/>
  <c r="M5" i="38"/>
  <c r="S5" i="38"/>
  <c r="X5" i="38"/>
  <c r="M5" i="23"/>
  <c r="Q5" i="23"/>
  <c r="R5" i="23"/>
  <c r="S5" i="23"/>
  <c r="X5" i="23"/>
  <c r="K5" i="34"/>
  <c r="K5" i="26"/>
  <c r="K5" i="36"/>
  <c r="K5" i="33"/>
  <c r="K5" i="35"/>
  <c r="K5" i="38"/>
  <c r="K5" i="23"/>
  <c r="B85" i="45" l="1"/>
  <c r="B68" i="45"/>
  <c r="B127" i="43"/>
  <c r="B48" i="45"/>
  <c r="D18" i="34"/>
  <c r="D73" i="34"/>
  <c r="D20" i="34" s="1"/>
  <c r="M21" i="34"/>
  <c r="C71" i="34"/>
  <c r="C72" i="34"/>
  <c r="C75" i="34"/>
  <c r="C74" i="34"/>
  <c r="M22" i="34"/>
  <c r="M20" i="34"/>
  <c r="M18" i="34"/>
  <c r="M19" i="34"/>
  <c r="B33" i="33"/>
  <c r="B49" i="33" s="1"/>
  <c r="E34" i="33"/>
  <c r="F34" i="33"/>
  <c r="E35" i="33"/>
  <c r="E36" i="33"/>
  <c r="F36" i="33"/>
  <c r="E37" i="33"/>
  <c r="F37" i="33"/>
  <c r="C54" i="23"/>
  <c r="B69" i="45" l="1"/>
  <c r="B86" i="45"/>
  <c r="B128" i="43"/>
  <c r="B49" i="45"/>
  <c r="F35" i="33"/>
  <c r="D34" i="33"/>
  <c r="D35" i="33"/>
  <c r="D36" i="33"/>
  <c r="D37" i="33"/>
  <c r="M23" i="34"/>
  <c r="D77" i="34"/>
  <c r="D22" i="34"/>
  <c r="C18" i="34" s="1"/>
  <c r="C76" i="34"/>
  <c r="B41" i="33"/>
  <c r="C29" i="38"/>
  <c r="D29" i="38"/>
  <c r="C28" i="38"/>
  <c r="D28" i="38"/>
  <c r="C30" i="38"/>
  <c r="D30" i="38"/>
  <c r="C31" i="38"/>
  <c r="D31" i="38"/>
  <c r="C32" i="38"/>
  <c r="D32" i="38"/>
  <c r="C33" i="38"/>
  <c r="D33" i="38"/>
  <c r="C34" i="38"/>
  <c r="D34" i="38"/>
  <c r="B30" i="38"/>
  <c r="B31" i="38"/>
  <c r="B32" i="38"/>
  <c r="B33" i="38"/>
  <c r="B34" i="38"/>
  <c r="F30" i="38" a="1"/>
  <c r="F34" i="38" s="1"/>
  <c r="E34" i="38" s="1"/>
  <c r="B70" i="45" l="1"/>
  <c r="B87" i="45"/>
  <c r="B50" i="45"/>
  <c r="C19" i="34"/>
  <c r="C21" i="34"/>
  <c r="C20" i="34"/>
  <c r="F30" i="38"/>
  <c r="E30" i="38" s="1"/>
  <c r="F31" i="38"/>
  <c r="E31" i="38" s="1"/>
  <c r="F32" i="38"/>
  <c r="E32" i="38" s="1"/>
  <c r="F33" i="38"/>
  <c r="E33" i="38" s="1"/>
  <c r="B52" i="45" l="1"/>
  <c r="B71" i="45"/>
  <c r="B88" i="45"/>
  <c r="B51" i="45"/>
  <c r="C22" i="34"/>
  <c r="H29" i="36"/>
  <c r="H28" i="36"/>
  <c r="H27" i="36"/>
  <c r="H26" i="36"/>
  <c r="G47" i="36"/>
  <c r="K25" i="36"/>
  <c r="K47" i="36" s="1"/>
  <c r="J25" i="36"/>
  <c r="J47" i="36" s="1"/>
  <c r="I25" i="36"/>
  <c r="H25" i="36"/>
  <c r="B72" i="45" l="1"/>
  <c r="B89" i="45"/>
  <c r="I26" i="36"/>
  <c r="J26" i="36" s="1"/>
  <c r="H47" i="36"/>
  <c r="H38" i="36"/>
  <c r="H33" i="36"/>
  <c r="I29" i="36"/>
  <c r="I47" i="36"/>
  <c r="I33" i="36"/>
  <c r="I38" i="36"/>
  <c r="I27" i="36"/>
  <c r="I28" i="36"/>
  <c r="J33" i="36"/>
  <c r="K33" i="36"/>
  <c r="J38" i="36"/>
  <c r="K38" i="36"/>
  <c r="C55" i="35"/>
  <c r="B55" i="35"/>
  <c r="C54" i="35"/>
  <c r="B54" i="35"/>
  <c r="C53" i="35"/>
  <c r="B53" i="35"/>
  <c r="C52" i="35"/>
  <c r="B52" i="35"/>
  <c r="C51" i="35"/>
  <c r="B51" i="35"/>
  <c r="C50" i="35"/>
  <c r="B50" i="35"/>
  <c r="C49" i="35"/>
  <c r="B49" i="35"/>
  <c r="C48" i="35"/>
  <c r="B48" i="35"/>
  <c r="C47" i="35"/>
  <c r="B47" i="35"/>
  <c r="C46" i="35"/>
  <c r="B46" i="35"/>
  <c r="C45" i="35"/>
  <c r="B45" i="35"/>
  <c r="D45" i="35" s="1"/>
  <c r="D44" i="35"/>
  <c r="J44" i="35" s="1"/>
  <c r="C44" i="35"/>
  <c r="I44" i="35" s="1"/>
  <c r="L33" i="35"/>
  <c r="L32" i="35"/>
  <c r="L30" i="35"/>
  <c r="L29" i="35"/>
  <c r="L28" i="35"/>
  <c r="L26" i="35"/>
  <c r="L25" i="35"/>
  <c r="L24" i="35"/>
  <c r="L23" i="35"/>
  <c r="L22" i="35"/>
  <c r="L21" i="35"/>
  <c r="G17" i="35"/>
  <c r="B73" i="45" l="1"/>
  <c r="B90" i="45"/>
  <c r="D52" i="35"/>
  <c r="D49" i="35"/>
  <c r="G34" i="36" a="1"/>
  <c r="D46" i="35"/>
  <c r="D50" i="35"/>
  <c r="D54" i="35"/>
  <c r="D53" i="35"/>
  <c r="D47" i="35"/>
  <c r="D55" i="35"/>
  <c r="D48" i="35"/>
  <c r="D51" i="35"/>
  <c r="E51" i="35" s="1"/>
  <c r="J28" i="36"/>
  <c r="J27" i="36"/>
  <c r="J29" i="36"/>
  <c r="K26" i="36"/>
  <c r="G34" i="36" l="1"/>
  <c r="K34" i="36"/>
  <c r="K39" i="36" s="1"/>
  <c r="K48" i="36" s="1"/>
  <c r="J34" i="36"/>
  <c r="J39" i="36" s="1"/>
  <c r="J48" i="36" s="1"/>
  <c r="I34" i="36"/>
  <c r="H34" i="36"/>
  <c r="E48" i="35"/>
  <c r="E45" i="35"/>
  <c r="J50" i="35" s="1"/>
  <c r="E46" i="35"/>
  <c r="E50" i="35"/>
  <c r="E52" i="35"/>
  <c r="E55" i="35"/>
  <c r="E47" i="35"/>
  <c r="E49" i="35"/>
  <c r="E54" i="35"/>
  <c r="K28" i="36"/>
  <c r="K29" i="36"/>
  <c r="K27" i="36"/>
  <c r="K41" i="36" l="1"/>
  <c r="K50" i="36" s="1"/>
  <c r="K40" i="36"/>
  <c r="K49" i="36" s="1"/>
  <c r="J42" i="36"/>
  <c r="J51" i="36" s="1"/>
  <c r="J40" i="36"/>
  <c r="J49" i="36" s="1"/>
  <c r="K42" i="36"/>
  <c r="K51" i="36" s="1"/>
  <c r="H50" i="35"/>
  <c r="I50" i="35"/>
  <c r="I40" i="36"/>
  <c r="I49" i="36" s="1"/>
  <c r="I42" i="36"/>
  <c r="I51" i="36" s="1"/>
  <c r="I39" i="36"/>
  <c r="I48" i="36" s="1"/>
  <c r="I41" i="36"/>
  <c r="I50" i="36" s="1"/>
  <c r="G40" i="36"/>
  <c r="G49" i="36" s="1"/>
  <c r="G39" i="36"/>
  <c r="G48" i="36" s="1"/>
  <c r="G42" i="36"/>
  <c r="G51" i="36" s="1"/>
  <c r="G41" i="36"/>
  <c r="G50" i="36" s="1"/>
  <c r="H39" i="36"/>
  <c r="H48" i="36" s="1"/>
  <c r="H40" i="36"/>
  <c r="H49" i="36" s="1"/>
  <c r="H41" i="36"/>
  <c r="H50" i="36" s="1"/>
  <c r="H42" i="36"/>
  <c r="H51" i="36" s="1"/>
  <c r="J41" i="36"/>
  <c r="J50" i="36" s="1"/>
  <c r="H47" i="35"/>
  <c r="J46" i="35"/>
  <c r="J49" i="35"/>
  <c r="I47" i="35"/>
  <c r="I55" i="35"/>
  <c r="H51" i="35"/>
  <c r="H52" i="35"/>
  <c r="H54" i="35"/>
  <c r="H53" i="35"/>
  <c r="J47" i="35"/>
  <c r="I52" i="35"/>
  <c r="H55" i="35"/>
  <c r="I48" i="35"/>
  <c r="J48" i="35"/>
  <c r="I54" i="35"/>
  <c r="H46" i="35"/>
  <c r="I53" i="35"/>
  <c r="J55" i="35"/>
  <c r="I46" i="35"/>
  <c r="J52" i="35"/>
  <c r="H48" i="35"/>
  <c r="J53" i="35"/>
  <c r="I49" i="35"/>
  <c r="H45" i="35"/>
  <c r="J45" i="35"/>
  <c r="H49" i="35"/>
  <c r="J54" i="35"/>
  <c r="I45" i="35"/>
  <c r="I51" i="35"/>
  <c r="J51" i="35"/>
  <c r="F53" i="33" l="1"/>
  <c r="D25" i="33"/>
  <c r="E25" i="33"/>
  <c r="F25" i="33"/>
  <c r="F41" i="33" s="1"/>
  <c r="F49" i="33" s="1"/>
  <c r="G25" i="33"/>
  <c r="G41" i="33" s="1"/>
  <c r="G49" i="33" s="1"/>
  <c r="H25" i="33"/>
  <c r="H41" i="33" s="1"/>
  <c r="H49" i="33" s="1"/>
  <c r="I25" i="33"/>
  <c r="I33" i="33" s="1"/>
  <c r="J25" i="33"/>
  <c r="J33" i="33" s="1"/>
  <c r="C25" i="33"/>
  <c r="F52" i="33"/>
  <c r="F51" i="33"/>
  <c r="F50" i="33"/>
  <c r="B37" i="33"/>
  <c r="B45" i="33" s="1"/>
  <c r="B36" i="33"/>
  <c r="B44" i="33" s="1"/>
  <c r="B52" i="33" s="1"/>
  <c r="B59" i="33" s="1"/>
  <c r="B35" i="33"/>
  <c r="B43" i="33" s="1"/>
  <c r="B51" i="33" s="1"/>
  <c r="B58" i="33" s="1"/>
  <c r="B34" i="33"/>
  <c r="B42" i="33" s="1"/>
  <c r="B50" i="33" s="1"/>
  <c r="B57" i="33" s="1"/>
  <c r="T361" i="21"/>
  <c r="H34" i="33" l="1"/>
  <c r="G33" i="33"/>
  <c r="H33" i="33"/>
  <c r="J35" i="33"/>
  <c r="J36" i="33"/>
  <c r="J37" i="33"/>
  <c r="J41" i="33"/>
  <c r="J49" i="33" s="1"/>
  <c r="I41" i="33"/>
  <c r="I49" i="33" s="1"/>
  <c r="G34" i="33"/>
  <c r="G42" i="33" s="1"/>
  <c r="G50" i="33" s="1"/>
  <c r="G36" i="33"/>
  <c r="G44" i="33" s="1"/>
  <c r="G52" i="33" s="1"/>
  <c r="H36" i="33"/>
  <c r="H35" i="33"/>
  <c r="H37" i="33"/>
  <c r="G35" i="33"/>
  <c r="G43" i="33" s="1"/>
  <c r="G51" i="33" s="1"/>
  <c r="G37" i="33"/>
  <c r="G45" i="33" s="1"/>
  <c r="J34" i="33"/>
  <c r="I35" i="33"/>
  <c r="I36" i="33"/>
  <c r="I37" i="33"/>
  <c r="I34" i="33"/>
  <c r="H45" i="33" l="1"/>
  <c r="H53" i="33" s="1"/>
  <c r="G53" i="33"/>
  <c r="H43" i="33"/>
  <c r="H51" i="33" s="1"/>
  <c r="H44" i="33"/>
  <c r="H52" i="33" s="1"/>
  <c r="H42" i="33"/>
  <c r="H50" i="33" s="1"/>
  <c r="I45" i="33" l="1"/>
  <c r="I43" i="33"/>
  <c r="J43" i="33" s="1"/>
  <c r="J51" i="33" s="1"/>
  <c r="J58" i="33" s="1"/>
  <c r="I44" i="33"/>
  <c r="I52" i="33" s="1"/>
  <c r="I42" i="33"/>
  <c r="I50" i="33" s="1"/>
  <c r="J45" i="33" l="1"/>
  <c r="J53" i="33" s="1"/>
  <c r="J60" i="33" s="1"/>
  <c r="I53" i="33"/>
  <c r="I51" i="33"/>
  <c r="J42" i="33"/>
  <c r="J50" i="33" s="1"/>
  <c r="J57" i="33" s="1"/>
  <c r="J44" i="33"/>
  <c r="J52" i="33" s="1"/>
  <c r="J59" i="33" s="1"/>
  <c r="C38" i="26" l="1"/>
  <c r="C79" i="23"/>
  <c r="D44" i="23"/>
  <c r="D40" i="23"/>
  <c r="D39" i="23"/>
  <c r="D46" i="23"/>
  <c r="E46" i="23" s="1"/>
  <c r="D45" i="23"/>
  <c r="E45" i="23" s="1"/>
  <c r="D43" i="23"/>
  <c r="D38" i="23"/>
  <c r="D37" i="23"/>
  <c r="C98" i="23"/>
  <c r="D35" i="23" s="1"/>
  <c r="D36" i="23" s="1"/>
  <c r="C97" i="23"/>
  <c r="C89" i="23"/>
  <c r="C43" i="23"/>
  <c r="C44" i="23"/>
  <c r="C38" i="23"/>
  <c r="C39" i="23"/>
  <c r="C40" i="23"/>
  <c r="C41" i="23"/>
  <c r="E41" i="23" s="1"/>
  <c r="C42" i="23"/>
  <c r="E42" i="23" s="1"/>
  <c r="C37" i="23"/>
  <c r="E40" i="23" l="1"/>
  <c r="D48" i="23"/>
  <c r="D49" i="23" s="1"/>
  <c r="E44" i="23"/>
  <c r="E37" i="23"/>
  <c r="E38" i="23"/>
  <c r="E43" i="23"/>
  <c r="E39" i="23"/>
  <c r="N165" i="23"/>
  <c r="N166" i="23" s="1"/>
  <c r="K190" i="23"/>
  <c r="K212" i="23"/>
  <c r="K244" i="23"/>
  <c r="K249" i="23" s="1"/>
  <c r="K252" i="23" s="1"/>
  <c r="K162" i="23" s="1"/>
  <c r="K168" i="23" s="1"/>
  <c r="C145" i="23" s="1"/>
  <c r="K271" i="23"/>
  <c r="K278" i="23"/>
  <c r="K280" i="23" s="1"/>
  <c r="K284" i="23" s="1"/>
  <c r="C147" i="23" s="1"/>
  <c r="C56" i="23" l="1"/>
  <c r="C57" i="23" s="1"/>
  <c r="C59" i="23" s="1"/>
  <c r="K213" i="23"/>
  <c r="K216" i="23" s="1"/>
  <c r="C146" i="23" s="1"/>
  <c r="C148" i="23" s="1"/>
  <c r="F40" i="23" l="1"/>
  <c r="F37" i="23"/>
  <c r="F41" i="23"/>
  <c r="F44" i="23"/>
  <c r="F39" i="23"/>
  <c r="F46" i="23"/>
  <c r="F43" i="23"/>
  <c r="F42" i="23"/>
  <c r="F38" i="23"/>
  <c r="F45" i="23"/>
  <c r="C126" i="23"/>
  <c r="C127" i="23" l="1"/>
  <c r="C36" i="23" s="1"/>
  <c r="E36" i="23" s="1"/>
  <c r="F36" i="23" s="1"/>
  <c r="C35" i="23"/>
  <c r="C48" i="23" l="1"/>
  <c r="C49" i="23" s="1"/>
  <c r="E35" i="23"/>
  <c r="E48" i="23" l="1"/>
  <c r="F35" i="23"/>
  <c r="T358" i="21"/>
  <c r="G35" i="23" l="1"/>
  <c r="F48" i="23"/>
  <c r="E49" i="23" s="1"/>
  <c r="G40" i="23"/>
  <c r="G45" i="23"/>
  <c r="G38" i="23"/>
  <c r="G44" i="23"/>
  <c r="J41" i="23" s="1"/>
  <c r="M40" i="23" s="1"/>
  <c r="G39" i="23"/>
  <c r="J46" i="23" s="1"/>
  <c r="G41" i="23"/>
  <c r="G37" i="23"/>
  <c r="G46" i="23"/>
  <c r="G43" i="23"/>
  <c r="G42" i="23"/>
  <c r="G36" i="23"/>
  <c r="K46" i="23" l="1"/>
  <c r="J35" i="23"/>
  <c r="M35" i="23" s="1"/>
  <c r="K35" i="23"/>
  <c r="K37" i="23"/>
  <c r="J37" i="23"/>
  <c r="M37" i="23" s="1"/>
  <c r="K40" i="23"/>
  <c r="J38" i="23"/>
  <c r="M38" i="23" s="1"/>
  <c r="J44" i="23"/>
  <c r="K39" i="23"/>
  <c r="K36" i="23"/>
  <c r="K43" i="23"/>
  <c r="K44" i="23"/>
  <c r="J36" i="23"/>
  <c r="M36" i="23" s="1"/>
  <c r="K45" i="23"/>
  <c r="J40" i="23"/>
  <c r="M39" i="23" s="1"/>
  <c r="K42" i="23"/>
  <c r="K38" i="23"/>
  <c r="J45" i="23"/>
  <c r="J43" i="23"/>
  <c r="J42" i="23"/>
  <c r="K41" i="23"/>
  <c r="J39" i="23"/>
  <c r="M41" i="23" s="1"/>
  <c r="N38" i="23" l="1"/>
  <c r="N39" i="23"/>
  <c r="N36" i="23"/>
  <c r="N35" i="23"/>
  <c r="K48" i="23"/>
  <c r="N37" i="23"/>
  <c r="N40" i="23"/>
  <c r="N41" i="23" l="1"/>
  <c r="N48" i="23" l="1"/>
  <c r="N43" i="23"/>
  <c r="C73" i="34" l="1"/>
  <c r="C77" i="34" s="1"/>
  <c r="G66" i="53" l="1"/>
  <c r="D18" i="53" l="1"/>
  <c r="D20" i="53" s="1"/>
  <c r="E20" i="53" s="1"/>
  <c r="F20" i="53" s="1"/>
  <c r="G20" i="53" s="1"/>
  <c r="H20" i="53" s="1"/>
  <c r="I20" i="53" s="1"/>
  <c r="J20" i="53" s="1"/>
  <c r="K20" i="53" s="1"/>
  <c r="L20" i="53" s="1"/>
  <c r="M20" i="53" s="1"/>
  <c r="N20" i="53" s="1"/>
  <c r="O20" i="53" s="1"/>
  <c r="P20" i="53" s="1"/>
  <c r="Q20" i="53" s="1"/>
  <c r="R20" i="53" s="1"/>
  <c r="F71" i="53"/>
  <c r="G71" i="53" s="1"/>
  <c r="E18" i="53" l="1"/>
  <c r="F18" i="53" s="1"/>
  <c r="G18" i="53" s="1"/>
  <c r="H18" i="53" s="1"/>
  <c r="I18" i="53" s="1"/>
  <c r="J18" i="53" s="1"/>
  <c r="K18" i="53" s="1"/>
  <c r="L18" i="53" s="1"/>
  <c r="M18" i="53" s="1"/>
  <c r="N18" i="53" s="1"/>
  <c r="N19" i="53" s="1"/>
  <c r="B82" i="53" l="1"/>
  <c r="O19" i="53"/>
  <c r="P19" i="53" s="1"/>
  <c r="Q19" i="53" s="1"/>
  <c r="R19" i="53" s="1"/>
  <c r="D37" i="68" l="1"/>
</calcChain>
</file>

<file path=xl/comments1.xml><?xml version="1.0" encoding="utf-8"?>
<comments xmlns="http://schemas.openxmlformats.org/spreadsheetml/2006/main">
  <authors>
    <author>Jessica Robinson</author>
  </authors>
  <commentList>
    <comment ref="F55" authorId="0" shapeId="0">
      <text>
        <r>
          <rPr>
            <b/>
            <sz val="9"/>
            <color indexed="81"/>
            <rFont val="Tahoma"/>
            <family val="2"/>
          </rPr>
          <t>Jessica Robinson:</t>
        </r>
        <r>
          <rPr>
            <sz val="9"/>
            <color indexed="81"/>
            <rFont val="Tahoma"/>
            <family val="2"/>
          </rPr>
          <t xml:space="preserve">
Newcastle ferry fares have been aligned with bus fares since Opal</t>
        </r>
      </text>
    </comment>
  </commentList>
</comments>
</file>

<file path=xl/comments2.xml><?xml version="1.0" encoding="utf-8"?>
<comments xmlns="http://schemas.openxmlformats.org/spreadsheetml/2006/main">
  <authors>
    <author>Jessica Robinson</author>
  </authors>
  <commentList>
    <comment ref="B21" authorId="0" shapeId="0">
      <text>
        <r>
          <rPr>
            <b/>
            <sz val="9"/>
            <color indexed="81"/>
            <rFont val="Tahoma"/>
            <family val="2"/>
          </rPr>
          <t>Jessica Robinson:</t>
        </r>
        <r>
          <rPr>
            <sz val="9"/>
            <color indexed="81"/>
            <rFont val="Tahoma"/>
            <family val="2"/>
          </rPr>
          <t xml:space="preserve">
The average fare paid across all journeys made (including the impact of discounts and free fares)</t>
        </r>
      </text>
    </comment>
  </commentList>
</comments>
</file>

<file path=xl/comments3.xml><?xml version="1.0" encoding="utf-8"?>
<comments xmlns="http://schemas.openxmlformats.org/spreadsheetml/2006/main">
  <authors>
    <author>Jessica Robinson</author>
  </authors>
  <commentList>
    <comment ref="F53" authorId="0" shapeId="0">
      <text>
        <r>
          <rPr>
            <b/>
            <sz val="9"/>
            <color indexed="81"/>
            <rFont val="Tahoma"/>
            <family val="2"/>
          </rPr>
          <t>Jessica Robinson:</t>
        </r>
        <r>
          <rPr>
            <sz val="9"/>
            <color indexed="81"/>
            <rFont val="Tahoma"/>
            <family val="2"/>
          </rPr>
          <t xml:space="preserve">
Ferry 
fares held constant between 2007 and 2010
</t>
        </r>
      </text>
    </comment>
    <comment ref="F100" authorId="0" shapeId="0">
      <text>
        <r>
          <rPr>
            <b/>
            <sz val="9"/>
            <color indexed="81"/>
            <rFont val="Tahoma"/>
            <family val="2"/>
          </rPr>
          <t>Jessica Robinson:</t>
        </r>
        <r>
          <rPr>
            <sz val="9"/>
            <color indexed="81"/>
            <rFont val="Tahoma"/>
            <family val="2"/>
          </rPr>
          <t xml:space="preserve">
Ferry 
fares held constant between 2007 and 2010
</t>
        </r>
      </text>
    </comment>
  </commentList>
</comments>
</file>

<file path=xl/sharedStrings.xml><?xml version="1.0" encoding="utf-8"?>
<sst xmlns="http://schemas.openxmlformats.org/spreadsheetml/2006/main" count="2258" uniqueCount="1016">
  <si>
    <t>%</t>
  </si>
  <si>
    <t>Notes</t>
  </si>
  <si>
    <t>Other</t>
  </si>
  <si>
    <t>Bus</t>
  </si>
  <si>
    <t>Train</t>
  </si>
  <si>
    <t>Total</t>
  </si>
  <si>
    <t>2017-18</t>
  </si>
  <si>
    <t>Ferry</t>
  </si>
  <si>
    <t>Light rail</t>
  </si>
  <si>
    <t>2013-14</t>
  </si>
  <si>
    <t>Ferries</t>
  </si>
  <si>
    <t>Cost recovery</t>
  </si>
  <si>
    <t>2007-08</t>
  </si>
  <si>
    <t>2008-09</t>
  </si>
  <si>
    <t>2009-10</t>
  </si>
  <si>
    <t>2010-11</t>
  </si>
  <si>
    <t>2011-12</t>
  </si>
  <si>
    <t>2012-13</t>
  </si>
  <si>
    <t>2014-15</t>
  </si>
  <si>
    <t>2015-16</t>
  </si>
  <si>
    <t>2016-17</t>
  </si>
  <si>
    <t>Farebox</t>
  </si>
  <si>
    <t>000</t>
  </si>
  <si>
    <t>Total cost</t>
  </si>
  <si>
    <t>Government subsidy</t>
  </si>
  <si>
    <t xml:space="preserve">Cost recovery </t>
  </si>
  <si>
    <t>Source: Data has been taken from published financial statements with snapshots of the document available if needed</t>
  </si>
  <si>
    <t>Notes:</t>
  </si>
  <si>
    <t>1 This contains the sum of Sydney Trains and NSW Trains data. Data prior to FY 2013-14 is available but at consolidated as RailCorp so not directly comparable.</t>
  </si>
  <si>
    <t>2 This contains the sum of STA and PBO (metro and outer metro). There is no data available for PBO prior to FY 2010-11 and earlier making the values significantly lower than the forward years.</t>
  </si>
  <si>
    <t>3 There is not enough data available prior to FY 2013-14.</t>
  </si>
  <si>
    <t>Cost Recovery is calculated as Farebox / Total Cost</t>
  </si>
  <si>
    <t>Source</t>
  </si>
  <si>
    <t>https://www.nsw.gov.au/news-and-events/news/thousands-of-extra-weekly-bus-services-for-nsw/</t>
  </si>
  <si>
    <t>Transport for NSW</t>
  </si>
  <si>
    <t>IPART ref</t>
  </si>
  <si>
    <t>Date published</t>
  </si>
  <si>
    <t>Date accessed</t>
  </si>
  <si>
    <t>Link</t>
  </si>
  <si>
    <t>Thousands of extra weekly bus services for NSW</t>
  </si>
  <si>
    <t>Organisation</t>
  </si>
  <si>
    <t>Title</t>
  </si>
  <si>
    <t>https://www.transport.nsw.gov.au/projects/more-trains-more-services</t>
  </si>
  <si>
    <t>https://www.budget.nsw.gov.au/sites/default/files/budget-2018-06/Budget_Paper_2-Infrastructure%20Statement-Budget_201819.pdf</t>
  </si>
  <si>
    <t>NSW Government</t>
  </si>
  <si>
    <t>NSW Occupied Private Dwellings (Census 2016)</t>
  </si>
  <si>
    <t>Assumed growth in dwellings</t>
  </si>
  <si>
    <t>Annual growth</t>
  </si>
  <si>
    <t>Number of years growth</t>
  </si>
  <si>
    <t>Total NSW Occupied Private Dwellings 2018-19</t>
  </si>
  <si>
    <t>Sector</t>
  </si>
  <si>
    <t>2018-19</t>
  </si>
  <si>
    <t>Budget</t>
  </si>
  <si>
    <t>Transport</t>
  </si>
  <si>
    <t>Health</t>
  </si>
  <si>
    <t>Education</t>
  </si>
  <si>
    <t>Justice</t>
  </si>
  <si>
    <t>Housing</t>
  </si>
  <si>
    <t>Electricity*</t>
  </si>
  <si>
    <t>Water</t>
  </si>
  <si>
    <t>Venues Arts and Culture</t>
  </si>
  <si>
    <t>* Electricity no longer includes expenditure from TransGrid, Ausgrid and Endeavour Energy.</t>
  </si>
  <si>
    <t>2018-19 Budget Paper, NSW-Infrastructure Statement</t>
  </si>
  <si>
    <t>p 1-9</t>
  </si>
  <si>
    <t>Capital spending - public transport</t>
  </si>
  <si>
    <t>Public transport</t>
  </si>
  <si>
    <t>Roads</t>
  </si>
  <si>
    <t>Transport other entities</t>
  </si>
  <si>
    <t>Metro</t>
  </si>
  <si>
    <t>Sydney motorway corporation</t>
  </si>
  <si>
    <t>Total RMS</t>
  </si>
  <si>
    <t>Total roads</t>
  </si>
  <si>
    <t>Roads spending</t>
  </si>
  <si>
    <t>Check</t>
  </si>
  <si>
    <t>$m</t>
  </si>
  <si>
    <t>pg 5-52</t>
  </si>
  <si>
    <t>check</t>
  </si>
  <si>
    <t>general public services</t>
  </si>
  <si>
    <t>public order and safety</t>
  </si>
  <si>
    <t>economic affairs</t>
  </si>
  <si>
    <t>environmental protection</t>
  </si>
  <si>
    <t>health</t>
  </si>
  <si>
    <t>recreation, culture and religion</t>
  </si>
  <si>
    <t>social protection</t>
  </si>
  <si>
    <t>transport</t>
  </si>
  <si>
    <t>Public Transport</t>
  </si>
  <si>
    <t>Social protection</t>
  </si>
  <si>
    <t>Recreation, culture and religion</t>
  </si>
  <si>
    <t>road</t>
  </si>
  <si>
    <t>not classified</t>
  </si>
  <si>
    <t>water</t>
  </si>
  <si>
    <t>multi-mode</t>
  </si>
  <si>
    <t>bus</t>
  </si>
  <si>
    <t>more trains, more services</t>
  </si>
  <si>
    <t>Advance</t>
  </si>
  <si>
    <t>https://www.budget.nsw.gov.au/sites/default/files/budget-2018-06/Appendices-A1-BP1-Budget_201819_0.pdf</t>
  </si>
  <si>
    <t xml:space="preserve">pg </t>
  </si>
  <si>
    <t>Railway transport</t>
  </si>
  <si>
    <t>https://www.budget.nsw.gov.au/sites/default/files/budget-2018-06/6._Expenditure-BP1-Budget_201819.pdf</t>
  </si>
  <si>
    <t>Public transport total</t>
  </si>
  <si>
    <t>Environmental protection</t>
  </si>
  <si>
    <t>other</t>
  </si>
  <si>
    <t>not included</t>
  </si>
  <si>
    <t>Rank</t>
  </si>
  <si>
    <t>Total NSW Occupied Private Dwellings (millions)</t>
  </si>
  <si>
    <t>millions</t>
  </si>
  <si>
    <t>Total spending per household</t>
  </si>
  <si>
    <t>Total spending per household (rounded, for graphing)</t>
  </si>
  <si>
    <t>Number of households 2018-19 in NSW</t>
  </si>
  <si>
    <t>Total government expenditure $2018-19</t>
  </si>
  <si>
    <t>Active transport</t>
  </si>
  <si>
    <t>Avoided pollution</t>
  </si>
  <si>
    <t>Frequency benefits</t>
  </si>
  <si>
    <t>Avoided congestion</t>
  </si>
  <si>
    <t>Avoided accidents</t>
  </si>
  <si>
    <t>Positive externalities across all modes $2016</t>
  </si>
  <si>
    <t>https://www.budget.nsw.gov.au/my-budget</t>
  </si>
  <si>
    <t>Average cost per passenger journey</t>
  </si>
  <si>
    <t>pg 2</t>
  </si>
  <si>
    <t>https://www.transport.nsw.gov.au/data-and-research/passenger-travel/all-modes-patronage-historical/all-modes-historical-patronage</t>
  </si>
  <si>
    <t xml:space="preserve">Financial year ending </t>
  </si>
  <si>
    <t>https://future.transport.nsw.gov.au/sites/default/files/media/documents/2018/Future_Transport_2056_Strategy.pdf</t>
  </si>
  <si>
    <t>Pg</t>
  </si>
  <si>
    <t>Future transport strategy 2056</t>
  </si>
  <si>
    <t>https://transportnsw.info/metro</t>
  </si>
  <si>
    <t>More trains more services</t>
  </si>
  <si>
    <t>Sydney Metro coming mid 2019</t>
  </si>
  <si>
    <t>-</t>
  </si>
  <si>
    <t>Coverage</t>
  </si>
  <si>
    <t>Sydney trains, NSW TrainLink Intercity</t>
  </si>
  <si>
    <t>Sydney, Newcastle, Private bus</t>
  </si>
  <si>
    <t>Sydney light rail network</t>
  </si>
  <si>
    <t xml:space="preserve">Annual patronage by mode </t>
  </si>
  <si>
    <t>Change in patronage by mode</t>
  </si>
  <si>
    <t>Light rail too large to chart</t>
  </si>
  <si>
    <t>Sydney</t>
  </si>
  <si>
    <t>Mode</t>
  </si>
  <si>
    <t>Proportion of all trips</t>
  </si>
  <si>
    <t>Private vehicle</t>
  </si>
  <si>
    <t>Walk</t>
  </si>
  <si>
    <t>WAVE</t>
  </si>
  <si>
    <t>REGION_ID</t>
  </si>
  <si>
    <t>REGION_NAME</t>
  </si>
  <si>
    <t>MODE_LABEL</t>
  </si>
  <si>
    <t>WEIGHTED_TRIPS</t>
  </si>
  <si>
    <t>PCT_OF_RGN_WEIGHTED_TRIPS</t>
  </si>
  <si>
    <t>WEIGHTED_TOTAL_DISTANCE</t>
  </si>
  <si>
    <t>PCT_OF_RGN_WGTD_TOTAL_DISTANCE</t>
  </si>
  <si>
    <t>WEIGHTED_TRIPS_AVG_DISTANCE</t>
  </si>
  <si>
    <t>2017/18</t>
  </si>
  <si>
    <t>Vehicle Driver</t>
  </si>
  <si>
    <t>Vehicle Passenger</t>
  </si>
  <si>
    <t>Walk Only</t>
  </si>
  <si>
    <t>Hunter</t>
  </si>
  <si>
    <t>Illawarra</t>
  </si>
  <si>
    <t>2016/17</t>
  </si>
  <si>
    <t>2015/16</t>
  </si>
  <si>
    <t>2014/15</t>
  </si>
  <si>
    <t>2013/14</t>
  </si>
  <si>
    <t>2012/13</t>
  </si>
  <si>
    <t>2011/12</t>
  </si>
  <si>
    <t>2010/11</t>
  </si>
  <si>
    <t>2009/10</t>
  </si>
  <si>
    <t>2008/09</t>
  </si>
  <si>
    <t>2007/08</t>
  </si>
  <si>
    <t>Taxpayer spending'!A1</t>
  </si>
  <si>
    <t>Mode of travel'!A1</t>
  </si>
  <si>
    <t>External benefits'!A1</t>
  </si>
  <si>
    <t>Patronage since 2011-12'!A1</t>
  </si>
  <si>
    <t>Transport Performance and Analytics (TPA)</t>
  </si>
  <si>
    <t>Peak Train Load Estimates</t>
  </si>
  <si>
    <t>https://opendata.transport.nsw.gov.au/dataset/peak-train-load-estimates</t>
  </si>
  <si>
    <t>% of seats full</t>
  </si>
  <si>
    <t>Pre 2018 lines</t>
  </si>
  <si>
    <t>AM Peak busiest hour (08:00 to 9:00 at Central)</t>
  </si>
  <si>
    <t>PM Peak busiest hour  (17:00 to 18:00 at Central)</t>
  </si>
  <si>
    <t>Closest match to old lines</t>
  </si>
  <si>
    <t>New lines</t>
  </si>
  <si>
    <t>Capacity</t>
  </si>
  <si>
    <t>Average load factor</t>
  </si>
  <si>
    <t>T1 North Shore</t>
  </si>
  <si>
    <t>T1 Central Coast via Shore</t>
  </si>
  <si>
    <t>Central Coast via Shore</t>
  </si>
  <si>
    <t>T1 Northern via Strathfield</t>
  </si>
  <si>
    <t>T1 Northern via Macquarie Park</t>
  </si>
  <si>
    <t>T1 Western</t>
  </si>
  <si>
    <t>^</t>
  </si>
  <si>
    <t>T2 Airport</t>
  </si>
  <si>
    <t>T2 Inner West</t>
  </si>
  <si>
    <t>T2 Leppington</t>
  </si>
  <si>
    <t>T2 South</t>
  </si>
  <si>
    <t>T3 Bankstown</t>
  </si>
  <si>
    <t>T4 Eastern Suburbs</t>
  </si>
  <si>
    <t>T4 Illawarra</t>
  </si>
  <si>
    <t>^ ~</t>
  </si>
  <si>
    <t>Total suburban</t>
  </si>
  <si>
    <t>T8 Airport</t>
  </si>
  <si>
    <t>Blue Mountains</t>
  </si>
  <si>
    <t>T8 South</t>
  </si>
  <si>
    <t>Newcastle and Central Coast</t>
  </si>
  <si>
    <t>Total Suburban</t>
  </si>
  <si>
    <t>South Coast</t>
  </si>
  <si>
    <t>Total InterCity</t>
  </si>
  <si>
    <t>Total Network</t>
  </si>
  <si>
    <t>Total Intercity</t>
  </si>
  <si>
    <t>^ Loads on arrival. All other lines are loads on departure.</t>
  </si>
  <si>
    <t>* Trains heading towards Blacktown from Leppington.</t>
  </si>
  <si>
    <t>Rail crowding during AM peak, September 2016 compared to March 2018</t>
  </si>
  <si>
    <t>Rail crowding during AM peak, September 2016 compared to March 2018, ranked</t>
  </si>
  <si>
    <t>Load factor</t>
  </si>
  <si>
    <t>Load factor threshold</t>
  </si>
  <si>
    <t>rank on March-2018</t>
  </si>
  <si>
    <t xml:space="preserve">A load factor of 100 per cent means there is a seat for each customer. At 135 per cent, an additional 5 people are standing on each level and 15 in each vestibule. </t>
  </si>
  <si>
    <t>A load factor of 135 per cent is the benchmark beyond which customers experience crowding and service dwell times can impact on-time running.</t>
  </si>
  <si>
    <t>Average load factor = number of passengers / number of seats</t>
  </si>
  <si>
    <t>Central hour varies slightly for each line to accurately reflect the number of trains in the busiest hour of the peak as per the intent of the timetable.</t>
  </si>
  <si>
    <t>Peak load estimates are extracted from the Rail Opal Assignment Model (ROAM). This model assigns Opal journeys to services based on the rail daily working timetable and train punctuality data. The output is aggregated by train service to estimate the customer load at each station on a train's route.</t>
  </si>
  <si>
    <t>Stations are selected to capture the point of highest load on each line. The selected stations are defined as CBD, suburban or intercity cordon points. To enable consistent comparison , it is endeavoured to select the same station for each line, however timetabling changes may require new observation points to be selected over time. Care should be taken when comparing historical load factors by line.</t>
  </si>
  <si>
    <t>In 2017 new train line definitions were created. The analysis endeavours to match the old and new definitions as closely as possible, but not all new lines have been included, and data is not directly comparable. Different survey methodologies have also been used between years.</t>
  </si>
  <si>
    <t>Rail - capacity and crowding'!A1</t>
  </si>
  <si>
    <t>Annual change in farebox (nominal)</t>
  </si>
  <si>
    <t>Cumulative change in farebox by mode (real)</t>
  </si>
  <si>
    <t>Cumulative change in farebox (index - nominal)</t>
  </si>
  <si>
    <t>CPI index</t>
  </si>
  <si>
    <t>Cumulative change in farebox (index - real)</t>
  </si>
  <si>
    <t>Cumulative change in farebox (real, % for graphing)</t>
  </si>
  <si>
    <t>All caps</t>
  </si>
  <si>
    <t>Quarter-on-Quarter</t>
  </si>
  <si>
    <t>Dec-Dec</t>
  </si>
  <si>
    <t>2013 - 2014</t>
  </si>
  <si>
    <t>2014 - 2015</t>
  </si>
  <si>
    <t>2015 - 2016</t>
  </si>
  <si>
    <t>2016 - 2017</t>
  </si>
  <si>
    <t>2017 - 2018</t>
  </si>
  <si>
    <t>Revenue growth'!A1</t>
  </si>
  <si>
    <t>Link in this workbook for data sources</t>
  </si>
  <si>
    <t>Direct source</t>
  </si>
  <si>
    <t>Sydney Trains network trains punctuality</t>
  </si>
  <si>
    <t>AM peak</t>
  </si>
  <si>
    <t>All</t>
  </si>
  <si>
    <t>PM peak</t>
  </si>
  <si>
    <t>Intercity patronage</t>
  </si>
  <si>
    <t>Per cent</t>
  </si>
  <si>
    <t>Historical Trains Punctuality Performance</t>
  </si>
  <si>
    <t>Trips (millions per year)</t>
  </si>
  <si>
    <t>https://www.transport.nsw.gov.au/data-and-research/passenger-travel/sydney-trains-and-nsw-trainlink-intercity-performance-reports</t>
  </si>
  <si>
    <t>A train is punctual if it stops at the station it was listed to stop in the timetable (i.e. no skipped stops), and it arrived at its destination no later than its arrival time as listed in the timetable plus an on-time tolerance (5 mins for suburban services and 6 minutes for intercity services)</t>
  </si>
  <si>
    <t>All modes historical patronage - Top Level Chart</t>
  </si>
  <si>
    <t>Rail - Punctuality'!A1</t>
  </si>
  <si>
    <t>IPART</t>
  </si>
  <si>
    <t>Compliance statement</t>
  </si>
  <si>
    <t>Annual regulatory return</t>
  </si>
  <si>
    <t>2018-19 Budget - Budget Paper 1 - Appendix 1A - Statement of Finances</t>
  </si>
  <si>
    <t>Transport Performance and Analytics</t>
  </si>
  <si>
    <t>Household Travel survey  2007-08 - 2017-18 - Data by region</t>
  </si>
  <si>
    <t>Externality model</t>
  </si>
  <si>
    <t>% of trains running on time in the AM and PM peak</t>
  </si>
  <si>
    <t>Proportion of train seats full (AM peak) (September 2016 and March 2018)</t>
  </si>
  <si>
    <t>ABS</t>
  </si>
  <si>
    <t>2016 Census QuickStats - NSW</t>
  </si>
  <si>
    <t>https://quickstats.censusdata.abs.gov.au/census_services/getproduct/census/2016/quickstat/1?opendocument</t>
  </si>
  <si>
    <t xml:space="preserve">2016 Census Quickstats - NSW </t>
  </si>
  <si>
    <t>https://www.planning.nsw.gov.au/-/media/Files/DPE/Other/nsw-state-and-local-government-area-household-and-implied-dwelling-projections-2016-2017-09.xlsx?la=en</t>
  </si>
  <si>
    <t>2016 New South Wales State and Local Government Area Household Projections and Implied Dwelling Requirements</t>
  </si>
  <si>
    <t>NSW Planning &amp; Environment</t>
  </si>
  <si>
    <t>PROJECTED IMPLIED DWELLING REQUIREMENT</t>
  </si>
  <si>
    <t>Based on local government boundaries as at 1 July 2016.</t>
  </si>
  <si>
    <t>Sydney Metropolitan LGAs</t>
  </si>
  <si>
    <t>Blacktown (C)</t>
  </si>
  <si>
    <t>Blue Mountains (C)</t>
  </si>
  <si>
    <t>Botany Bay (C)</t>
  </si>
  <si>
    <t>Burwood (A)</t>
  </si>
  <si>
    <t>Camden (A)</t>
  </si>
  <si>
    <t>Campbelltown (C)</t>
  </si>
  <si>
    <t>Canada Bay (A)</t>
  </si>
  <si>
    <t>Canterbury-Bankstown (A)</t>
  </si>
  <si>
    <t>Cumberland (A)</t>
  </si>
  <si>
    <t>Fairfield (C)</t>
  </si>
  <si>
    <t>Georges River (A)</t>
  </si>
  <si>
    <t>Hawkesbury (C)</t>
  </si>
  <si>
    <t>Hornsby (A)</t>
  </si>
  <si>
    <t>Hunters Hill (A)</t>
  </si>
  <si>
    <t>Inner West (A)</t>
  </si>
  <si>
    <t>Ku-ring-gai (A)</t>
  </si>
  <si>
    <t>Lane Cove (A)</t>
  </si>
  <si>
    <t>Liverpool (C)</t>
  </si>
  <si>
    <t>Mosman (A)</t>
  </si>
  <si>
    <t>North Sydney (A)</t>
  </si>
  <si>
    <t>Northern Beaches (A)</t>
  </si>
  <si>
    <t>Parramatta (C)</t>
  </si>
  <si>
    <t>Penrith (C)</t>
  </si>
  <si>
    <t>Randwick (C)</t>
  </si>
  <si>
    <t>Rockdale (C)</t>
  </si>
  <si>
    <t>Ryde (C)</t>
  </si>
  <si>
    <t>Strathfield (A)</t>
  </si>
  <si>
    <t>Sutherland Shire (A)</t>
  </si>
  <si>
    <t>Sydney (C)</t>
  </si>
  <si>
    <t>The Hills Shire (A)</t>
  </si>
  <si>
    <t>Waverley (A)</t>
  </si>
  <si>
    <t>Willoughby (C)</t>
  </si>
  <si>
    <t>Wollondilly (A)</t>
  </si>
  <si>
    <t>Woollahra (A)</t>
  </si>
  <si>
    <t>Sydney Metropolitan Total</t>
  </si>
  <si>
    <t>Regional NSW LGAs</t>
  </si>
  <si>
    <t>Albury (C)</t>
  </si>
  <si>
    <t>Armidale Regional (A)</t>
  </si>
  <si>
    <t>Ballina (A)</t>
  </si>
  <si>
    <t>Balranald (A)</t>
  </si>
  <si>
    <t>Bathurst Regional (A)</t>
  </si>
  <si>
    <t>Bega Valley (A)</t>
  </si>
  <si>
    <t>Bellingen (A)</t>
  </si>
  <si>
    <t>Berrigan (A)</t>
  </si>
  <si>
    <t>Bland (A)</t>
  </si>
  <si>
    <t>Blayney (A)</t>
  </si>
  <si>
    <t>Bogan (A)</t>
  </si>
  <si>
    <t>Bourke (A)</t>
  </si>
  <si>
    <t>Brewarrina (A)</t>
  </si>
  <si>
    <t>Broken Hill (C)</t>
  </si>
  <si>
    <t>Byron (A)</t>
  </si>
  <si>
    <t>Cabonne (A)</t>
  </si>
  <si>
    <t>Carrathool (A)</t>
  </si>
  <si>
    <t>Central Coast (C)</t>
  </si>
  <si>
    <t>Central Darling (A)</t>
  </si>
  <si>
    <t>Cessnock (C)</t>
  </si>
  <si>
    <t>Clarence Valley (A)</t>
  </si>
  <si>
    <t>Cobar (A)</t>
  </si>
  <si>
    <t>Coffs Harbour (C)</t>
  </si>
  <si>
    <t>Coolamon (A)</t>
  </si>
  <si>
    <t>Coonamble (A)</t>
  </si>
  <si>
    <t>Cowra (A)</t>
  </si>
  <si>
    <t>Dungog (A)</t>
  </si>
  <si>
    <t>Edward River (A)</t>
  </si>
  <si>
    <t>Eurobodalla (A)</t>
  </si>
  <si>
    <t>Federation (A)</t>
  </si>
  <si>
    <t>Forbes (A)</t>
  </si>
  <si>
    <t>Gilgandra (A)</t>
  </si>
  <si>
    <t>Glen Innes Severn (A)</t>
  </si>
  <si>
    <t>Goulburn Mulwaree (A)</t>
  </si>
  <si>
    <t>Greater Hume Shire (A)</t>
  </si>
  <si>
    <t>Griffith (C)</t>
  </si>
  <si>
    <t>Gundagai (A)</t>
  </si>
  <si>
    <t>Gunnedah (A)</t>
  </si>
  <si>
    <t>Gwydir (A)</t>
  </si>
  <si>
    <t>Hay (A)</t>
  </si>
  <si>
    <t>Hilltops (A)</t>
  </si>
  <si>
    <t>Inverell (A)</t>
  </si>
  <si>
    <t>Junee (A)</t>
  </si>
  <si>
    <t>Kempsey (A)</t>
  </si>
  <si>
    <t>Kiama (A)</t>
  </si>
  <si>
    <t>Kyogle (A)</t>
  </si>
  <si>
    <t>Lachlan (A)</t>
  </si>
  <si>
    <t>Lake Macquarie (C)</t>
  </si>
  <si>
    <t>Leeton (A)</t>
  </si>
  <si>
    <t>Lismore (C)</t>
  </si>
  <si>
    <t>Lithgow (C)</t>
  </si>
  <si>
    <t>Liverpool Plains (A)</t>
  </si>
  <si>
    <t>Lockhart (A)</t>
  </si>
  <si>
    <t>Maitland (C)</t>
  </si>
  <si>
    <t>Mid-Coast (A)</t>
  </si>
  <si>
    <t>Mid-Western Regional (A)</t>
  </si>
  <si>
    <t>Moree Plains (A)</t>
  </si>
  <si>
    <t>Murray River (A)</t>
  </si>
  <si>
    <t>Murrumbidgee (A)</t>
  </si>
  <si>
    <t>Muswellbrook (A)</t>
  </si>
  <si>
    <t>Nambucca (A)</t>
  </si>
  <si>
    <t>Narrabri (A)</t>
  </si>
  <si>
    <t>Narrandera (A)</t>
  </si>
  <si>
    <t>Narromine (A)</t>
  </si>
  <si>
    <t>Newcastle (C)</t>
  </si>
  <si>
    <t>Oberon (A)</t>
  </si>
  <si>
    <t>Orange (C)</t>
  </si>
  <si>
    <t>Parkes (A)</t>
  </si>
  <si>
    <t>Port Macquarie-Hastings (A)</t>
  </si>
  <si>
    <t>Port Stephens (A)</t>
  </si>
  <si>
    <t>Queanbeyan-Palerang Regional (A)</t>
  </si>
  <si>
    <t>Richmond Valley (A)</t>
  </si>
  <si>
    <t>Shellharbour (C)</t>
  </si>
  <si>
    <t>Shoalhaven (C)</t>
  </si>
  <si>
    <t>Singleton (A)</t>
  </si>
  <si>
    <t>Snowy Monaro Regional (A)</t>
  </si>
  <si>
    <t>Snowy Valleys (A)</t>
  </si>
  <si>
    <t>Tamworth Regional (A)</t>
  </si>
  <si>
    <t>Temora (A)</t>
  </si>
  <si>
    <t>Tenterfield (A)</t>
  </si>
  <si>
    <t>Tweed (A)</t>
  </si>
  <si>
    <t>Upper Hunter Shire (A)</t>
  </si>
  <si>
    <t>Upper Lachlan Shire (A)</t>
  </si>
  <si>
    <t>Uralla (A)</t>
  </si>
  <si>
    <t>Wagga Wagga (C)</t>
  </si>
  <si>
    <t>Walcha (A)</t>
  </si>
  <si>
    <t>Walgett (A)</t>
  </si>
  <si>
    <t>Warren (A)</t>
  </si>
  <si>
    <t>Warrumbungle Shire (A)</t>
  </si>
  <si>
    <t>Weddin (A)</t>
  </si>
  <si>
    <t>Wentworth (A)</t>
  </si>
  <si>
    <t>Western Plains Regional (A)</t>
  </si>
  <si>
    <t>Wingecarribee (A)</t>
  </si>
  <si>
    <t>Wollongong (C)</t>
  </si>
  <si>
    <t>Yass Valley (A)</t>
  </si>
  <si>
    <t>Unincorporated NSW</t>
  </si>
  <si>
    <t>Regional NSW Total</t>
  </si>
  <si>
    <t>NEW SOUTH WALES</t>
  </si>
  <si>
    <t>Note:</t>
  </si>
  <si>
    <t>Household and dwelling projections are only available for the Local Government Areas proclaimed on 12 May 2016.</t>
  </si>
  <si>
    <t>Rail - punctuality</t>
  </si>
  <si>
    <t>Rail - capacity and crowding</t>
  </si>
  <si>
    <t>Revenue growth</t>
  </si>
  <si>
    <t>External benefits</t>
  </si>
  <si>
    <t>Taxpayer spending</t>
  </si>
  <si>
    <t>Sources used on this page</t>
  </si>
  <si>
    <t>Release Date</t>
  </si>
  <si>
    <t>Disclaimer</t>
  </si>
  <si>
    <t>While all care is taken in producing this work, no responsibility is taken or warranty made with respect to the accuracy of any information, data or representation.</t>
  </si>
  <si>
    <t>The authors (including copyright owners) expressly disclaim all liability in respect of anything done or omitted to be done and the consequences upon reliance of the contents of this information.</t>
  </si>
  <si>
    <t>Users are welcome to copy, reproduce and distribute the information contained in this file for non-commercial purposes only, provided acknowledgement is given to IPART as the source.</t>
  </si>
  <si>
    <t>Contact details</t>
  </si>
  <si>
    <t xml:space="preserve">If you have any questions or comments please contact the Energy and Transport Group, IPART, email transport@ipart.nsw.gov.au
</t>
  </si>
  <si>
    <t>Link in this document</t>
  </si>
  <si>
    <t>Household travel survey - Mode'!A1</t>
  </si>
  <si>
    <t xml:space="preserve">ALL CAPITALS Consumer Price Index </t>
  </si>
  <si>
    <t xml:space="preserve">Percentage rate of change </t>
  </si>
  <si>
    <t>Financial</t>
  </si>
  <si>
    <t xml:space="preserve">         Quarterly Index Numbers</t>
  </si>
  <si>
    <t xml:space="preserve">         Quarter-on-Quarter</t>
  </si>
  <si>
    <t xml:space="preserve">      Year-on-Year*</t>
  </si>
  <si>
    <t xml:space="preserve"> Year</t>
  </si>
  <si>
    <t>SEP</t>
  </si>
  <si>
    <t>DEC</t>
  </si>
  <si>
    <t>MAR</t>
  </si>
  <si>
    <t>JUN</t>
  </si>
  <si>
    <t>Sep-Sep</t>
  </si>
  <si>
    <t>Mar-Mar</t>
  </si>
  <si>
    <t>Jun-Jun</t>
  </si>
  <si>
    <t>1959 - 1960</t>
  </si>
  <si>
    <t>1948 - 1949</t>
  </si>
  <si>
    <t>ABS rebased the CPI to 100 in 2012 (see ABS note below)</t>
  </si>
  <si>
    <t>The previous rates are recorded in rows 6 - 111 (hidden)</t>
  </si>
  <si>
    <t>* Average of four quarters/average of four quarters</t>
  </si>
  <si>
    <t xml:space="preserve">Sydney Consumer Price Index </t>
  </si>
  <si>
    <t xml:space="preserve"> </t>
  </si>
  <si>
    <t>CPI including GST. For CPI excluding GST, see -GST (hidden sheet)</t>
  </si>
  <si>
    <t>Notes on rounding:</t>
  </si>
  <si>
    <t>This sheet is generally formatted to give CPI to 1 decimal places.</t>
  </si>
  <si>
    <t>CPI is used in accordance with IPART CPI-X regulation to 1 decimal place.</t>
  </si>
  <si>
    <t>The numbers on this sheet are NOT rounded.</t>
  </si>
  <si>
    <r>
      <t xml:space="preserve">Source: ABS </t>
    </r>
    <r>
      <rPr>
        <b/>
        <i/>
        <sz val="9"/>
        <rFont val="Arial"/>
        <family val="2"/>
      </rPr>
      <t>Consumer Price Index</t>
    </r>
    <r>
      <rPr>
        <b/>
        <sz val="9"/>
        <rFont val="Arial"/>
        <family val="2"/>
      </rPr>
      <t xml:space="preserve"> 6401.0</t>
    </r>
  </si>
  <si>
    <t>Updates also available from</t>
  </si>
  <si>
    <t>webpage:</t>
  </si>
  <si>
    <t>www.abs.gov.au</t>
  </si>
  <si>
    <t>Rebasing CPI to $2013-14 real</t>
  </si>
  <si>
    <t>Units table</t>
  </si>
  <si>
    <t>Infrastructure Statement 201-19 - Budget Paper No. 2</t>
  </si>
  <si>
    <t>NSW Budget 2018-19 - My Budget - Where the money goes</t>
  </si>
  <si>
    <t>2018-19 Budget - Budget Paper 1 - Chapter 6 - Expenditure</t>
  </si>
  <si>
    <t>https://www.ipart.nsw.gov.au/files/sharedassets/website/trimholdingbay/final_report_-_review_of_fares_for_sydney_ferries_in_nsw_-_from_2_january_2007.pdf</t>
  </si>
  <si>
    <t>D13/8586</t>
  </si>
  <si>
    <t>Sources</t>
  </si>
  <si>
    <t>Date of fare change</t>
  </si>
  <si>
    <t>km</t>
  </si>
  <si>
    <t>Worksheet</t>
  </si>
  <si>
    <t>Section 1-2</t>
  </si>
  <si>
    <t>section 3-5</t>
  </si>
  <si>
    <t>section 6-9</t>
  </si>
  <si>
    <t>Section 10-15</t>
  </si>
  <si>
    <t>16-21 Sections</t>
  </si>
  <si>
    <t>22-27 Sections</t>
  </si>
  <si>
    <t>Inner Zone 1</t>
  </si>
  <si>
    <t>Inner Zone 2</t>
  </si>
  <si>
    <t>Manly/Rydalmere</t>
  </si>
  <si>
    <t>Parramatta</t>
  </si>
  <si>
    <t>Jetcat</t>
  </si>
  <si>
    <t>(from)</t>
  </si>
  <si>
    <t>Newcastle</t>
  </si>
  <si>
    <t>Katoomba</t>
  </si>
  <si>
    <t>Gosford</t>
  </si>
  <si>
    <t>Strathfield</t>
  </si>
  <si>
    <t>North Sydney</t>
  </si>
  <si>
    <t>Distance</t>
  </si>
  <si>
    <t>Station</t>
  </si>
  <si>
    <t>D08/14089</t>
  </si>
  <si>
    <t>Final Report - Review of CityRail fares 2009-2012</t>
  </si>
  <si>
    <t>https://www.ipart.nsw.gov.au/files/sharedassets/website/trimholdingbay/final_report_-_review_of_cityrail_fares_2009-2012_-_december_2008_-_website_document.pdf</t>
  </si>
  <si>
    <t>Sections/destination</t>
  </si>
  <si>
    <t>Upper section bound</t>
  </si>
  <si>
    <t>D09/11463</t>
  </si>
  <si>
    <t>Cell ref</t>
  </si>
  <si>
    <t>Fare inputs</t>
  </si>
  <si>
    <t>I71:76</t>
  </si>
  <si>
    <t>Review of Fares for Sydney Ferries in NSW from 2 January 2007</t>
  </si>
  <si>
    <t>Working document - Information - Review of fares for Sydney Ferries 2011 -Fares over time from SF issues paper- updated May 2012 - May 2012</t>
  </si>
  <si>
    <t>https://www.ipart.nsw.gov.au/files/sharedassets/website/trimholdingbay/final_report_and_determination_-_review_of_fares_for_metropolitan_and_outer_metropolitan_bus_services_for_2009.pdf</t>
  </si>
  <si>
    <t>Review of fares for metropolitan and outer metropolitan bus services for 2009</t>
  </si>
  <si>
    <t>https://www.transport.nsw.gov.au/sites/default/files/media/documents/2017/Train%20Statistics%202014.pdf</t>
  </si>
  <si>
    <t>Train Statistics 2014</t>
  </si>
  <si>
    <t>Nominal fares by mode</t>
  </si>
  <si>
    <t>For inflating financial year data to $2018-19</t>
  </si>
  <si>
    <t>Blakehurst to Hurstville</t>
  </si>
  <si>
    <t>Brookvale to city</t>
  </si>
  <si>
    <t>Manly to Circular Quay</t>
  </si>
  <si>
    <t>Distance travelled</t>
  </si>
  <si>
    <t>Straight line</t>
  </si>
  <si>
    <t>Real fares changes for selected routes</t>
  </si>
  <si>
    <t>Rose Bay to Circular Quay</t>
  </si>
  <si>
    <t xml:space="preserve">IPART </t>
  </si>
  <si>
    <t>Working document - Review of metropolitan bus fares 2009 - Cost and fares model for draft report - 3 October 2009</t>
  </si>
  <si>
    <t>D19/4576</t>
  </si>
  <si>
    <t>D14/28677</t>
  </si>
  <si>
    <t>W13/2288</t>
  </si>
  <si>
    <t>D13/1513</t>
  </si>
  <si>
    <t>https://www.ipart.nsw.gov.au/files/sharedassets/website/trimholdingbay/compliance_statement_for_cityrail_sydney_ferries_metro_and_outer_metro_bus_services_from_january_2013.pdf</t>
  </si>
  <si>
    <t>https://www.ipart.nsw.gov.au/files/sharedassets/website/trimholdingbay/final_report_-_cityrail_and_metro_bus_prices_and_services_report_2011_-_december_2011.pdf</t>
  </si>
  <si>
    <t>https://www.ipart.nsw.gov.au/files/sharedassets/website/trimholdingbay/final_report_-_cityrail_prices_and_services_report_2009_-_december_2009_-_website_version.pdf</t>
  </si>
  <si>
    <t>D19/4577</t>
  </si>
  <si>
    <t>W12/1482</t>
  </si>
  <si>
    <t>D15/29830</t>
  </si>
  <si>
    <t>Source of fare change</t>
  </si>
  <si>
    <t>Fare change</t>
  </si>
  <si>
    <t>https://www.transport.nsw.gov.au/newsroom-and-events/media-releases/public-transport-fare-rise-half-iparts-recommendation</t>
  </si>
  <si>
    <t>https://www.ipart.nsw.gov.au/files/sharedassets/website/trimholdingbay/fact_sheet_-_review_of_fares_for_metropolitan_and_outer_metropolitan_bus_services_from_january_2010_-_december_2009_-_website_document.pdf</t>
  </si>
  <si>
    <t>Source of fare change date</t>
  </si>
  <si>
    <t>In 2016-17 Frontier expected the price change to be prices (3.0%) (ie average fare $2.49 to $2.57) due to conservative assumptions around paper ticket distribution. In later years, the actual ticket distribution resulted in a change of 0</t>
  </si>
  <si>
    <t>Note</t>
  </si>
  <si>
    <t>Source IPART average fare</t>
  </si>
  <si>
    <t>Paper</t>
  </si>
  <si>
    <t>Opal</t>
  </si>
  <si>
    <t>Financial year ending 30 June</t>
  </si>
  <si>
    <t>Opal starts June 2013</t>
  </si>
  <si>
    <t>Percentage changes in transport prices (nominal)</t>
  </si>
  <si>
    <t>Myzone introduced April 2010</t>
  </si>
  <si>
    <t>Frontier Economics</t>
  </si>
  <si>
    <t>QA of Transport for NSW pricing
proposal for compliance with IPART
Determination</t>
  </si>
  <si>
    <t>https://www.ipart.nsw.gov.au/files/3c8a3023-136c-4f5a-aae4-a29200d3471d/Compliance_Statement_-_Fares_for_CityRail_Sydney_Ferries_and_Metropolitan_and_Outer_Metropolitan_Bus_services_from_January_2014.pd</t>
  </si>
  <si>
    <t>Public transport fare rise half IPART's recommendation</t>
  </si>
  <si>
    <t>Compliance statement - Fares for CityRail, Sydney Ferries and Metropolitan and Outer Metropolitan Bus services from January 2014</t>
  </si>
  <si>
    <t>Compliance statement - Fares for CityRail, Sydney Ferries and Metropolitan and Outer Metropolitan Bus services from January 2013</t>
  </si>
  <si>
    <t>https://www.ipart.nsw.gov.au/files/sharedassets/website/trimholdingbay/compliance_statement_-_withdrawing_paper_tickets_from_january_2016.pdf</t>
  </si>
  <si>
    <t>Compliance statement Fares for Sydney Trains and NSW TrainLink intercity services, Sydney Ferries and metropolitan and outer metropolitan bus services from January 2016</t>
  </si>
  <si>
    <t>Letter from Transport for NSW</t>
  </si>
  <si>
    <t>Ticket withdrawal September 2014</t>
  </si>
  <si>
    <t>1 January 2016 withdrawal of paper tickets and modest price increase</t>
  </si>
  <si>
    <t>https://www.ipart.nsw.gov.au/files/sharedassets/website/trimholdingbay/ipart_statement_on_myzone_public_transport_fare_changes_-_1_april_2010.pdf</t>
  </si>
  <si>
    <t>Myzone fare changes</t>
  </si>
  <si>
    <t>Fact sheet - Review of fares for metropolitan and outer metropolitan bus services from January 2010</t>
  </si>
  <si>
    <t>CityRail prices and services report 2009</t>
  </si>
  <si>
    <t>1, 2, 3</t>
  </si>
  <si>
    <t>CityRail and Metropolitan and Outer Metropolitan Bus Services: Prices and Services Report 2011</t>
  </si>
  <si>
    <t>TRIM D09/12231</t>
  </si>
  <si>
    <t>Date of fare change (all modes)</t>
  </si>
  <si>
    <t>Source of fare change data (all modes)</t>
  </si>
  <si>
    <t>City Rail fare change</t>
  </si>
  <si>
    <t>Buses fare change</t>
  </si>
  <si>
    <t>Working document - TfNSW fare compliance model for 2014</t>
  </si>
  <si>
    <t>Working document - briefing - price compliance for fares January 2016</t>
  </si>
  <si>
    <t>1/01/20106</t>
  </si>
  <si>
    <t>Withdrawal of mymulti tickets. The 18 month period between Jan 2015 to June 2016 was assessed as an 18 month period, with fares found to 0.98% higher than the previous period (rather than 3.31% as found in September).  An adjustment has been made from 1 Jan 2016 so the fares over the period are 0.98% higher than the previous period to 1 Jan 2015.</t>
  </si>
  <si>
    <t xml:space="preserve">Compliance statement - Fares for Sydney Trains and NSW TrainLink Intercity services, Sydney Ferries and Metropolitan and Outer Metropolitan Bus services from 1 September 2014 </t>
  </si>
  <si>
    <t>https://www.ipart.nsw.gov.au/files/sharedassets/website/trimholdingbay/compliance_statement_-_fares_for_cityrail_sydney_ferries_and_metropolitan_and_outer_metropolitan_bus_services_-_august_2014.pdf</t>
  </si>
  <si>
    <t>Source of data change (train only)</t>
  </si>
  <si>
    <t>D09/12571.</t>
  </si>
  <si>
    <t>Difference sources</t>
  </si>
  <si>
    <t>IPART working document</t>
  </si>
  <si>
    <t>Working document - Prices and Service Report Metrobus 2012 - Final Bus Data - December 2012</t>
  </si>
  <si>
    <t>Pricing data wkg copy</t>
  </si>
  <si>
    <t>Ferry fare change</t>
  </si>
  <si>
    <t>No ferry fare change between 2006 and Myzone fare changes</t>
  </si>
  <si>
    <t>Percentage changes in transport prices - summary (nominal)</t>
  </si>
  <si>
    <t>Fare change date</t>
  </si>
  <si>
    <t>Fare as at 30 June</t>
  </si>
  <si>
    <t>Fare change index</t>
  </si>
  <si>
    <t>CPI inflator (to $2018-19)</t>
  </si>
  <si>
    <t>Financial year ending</t>
  </si>
  <si>
    <t>Rebasing CPI to $2008-09 real</t>
  </si>
  <si>
    <t>Fare change index'!A1</t>
  </si>
  <si>
    <t>Kilometres in a section</t>
  </si>
  <si>
    <t>Forecast</t>
  </si>
  <si>
    <t>Latest Bloomberg Mean Forecast</t>
  </si>
  <si>
    <t xml:space="preserve">Forecast updated </t>
  </si>
  <si>
    <t>IPART inputs</t>
  </si>
  <si>
    <t>Received 4 April 2019</t>
  </si>
  <si>
    <t>Transport price change index - nominal</t>
  </si>
  <si>
    <t>Transport price change index - real</t>
  </si>
  <si>
    <t>Percentage changes in transport prices - cumulative - real</t>
  </si>
  <si>
    <t>Note: includes spending on public transport across NSW, not just on Opal services.</t>
  </si>
  <si>
    <t>Farebox revenue</t>
  </si>
  <si>
    <t>Colour code</t>
  </si>
  <si>
    <t>This model uses standard IPART colour coding:</t>
  </si>
  <si>
    <t>Blue cells indicate inputs</t>
  </si>
  <si>
    <t>Pink font indicates calculation checks</t>
  </si>
  <si>
    <t>Green cells indicate sources</t>
  </si>
  <si>
    <t>Recurrent expenditure 2018-19</t>
  </si>
  <si>
    <t>Transport recurrent expenditure 2018-19</t>
  </si>
  <si>
    <t>State capital spending by sector 2018-19</t>
  </si>
  <si>
    <t>Total capital expenditure public transport 2018-19</t>
  </si>
  <si>
    <t>$'000</t>
  </si>
  <si>
    <t>Key outputs</t>
  </si>
  <si>
    <t>Rail corporation NSW</t>
  </si>
  <si>
    <t>Sydney Metro</t>
  </si>
  <si>
    <t>Capital expenditure ($m)</t>
  </si>
  <si>
    <t>Recurrent expenditure ($m)</t>
  </si>
  <si>
    <t>Category</t>
  </si>
  <si>
    <t>Spending ($m)</t>
  </si>
  <si>
    <t>Total expenditure ($m)</t>
  </si>
  <si>
    <t>Total expenditure per household ($)</t>
  </si>
  <si>
    <t>Externality</t>
  </si>
  <si>
    <t>Portion of total externalities generated</t>
  </si>
  <si>
    <t>Opal fare change (%)</t>
  </si>
  <si>
    <t>Annual patronage by mode ('000)</t>
  </si>
  <si>
    <t>Cumulative fare changes (real)</t>
  </si>
  <si>
    <t>*</t>
  </si>
  <si>
    <t>T5 Cumberland</t>
  </si>
  <si>
    <t>Total trains punctuality</t>
  </si>
  <si>
    <t>NSW Intercity trains punctuality</t>
  </si>
  <si>
    <t>Total trains punctuality for graphing</t>
  </si>
  <si>
    <t>Thousands</t>
  </si>
  <si>
    <t>Millions</t>
  </si>
  <si>
    <t>Patronage from 2010-11</t>
  </si>
  <si>
    <t>D19/14874</t>
  </si>
  <si>
    <t>D19/14610</t>
  </si>
  <si>
    <t>2019-20</t>
  </si>
  <si>
    <t>2019-2020</t>
  </si>
  <si>
    <t>For inflating financial year data to $2019-20</t>
  </si>
  <si>
    <t>cost growth</t>
  </si>
  <si>
    <t>2022-2023</t>
  </si>
  <si>
    <t>2020-2021</t>
  </si>
  <si>
    <t>2021-2022</t>
  </si>
  <si>
    <t>2023-2024</t>
  </si>
  <si>
    <t>NewcFerry</t>
  </si>
  <si>
    <t>Train and bus</t>
  </si>
  <si>
    <t>Other regions</t>
  </si>
  <si>
    <t>Sum of bus and train journeys by region</t>
  </si>
  <si>
    <t>Light rail, ferry</t>
  </si>
  <si>
    <t>Sydney transport journeys by mode</t>
  </si>
  <si>
    <t>Number</t>
  </si>
  <si>
    <t>to allocate trips to light rail and ferry</t>
  </si>
  <si>
    <t>Ferry &amp; light rail</t>
  </si>
  <si>
    <t>sum</t>
  </si>
  <si>
    <t>Annual</t>
  </si>
  <si>
    <t>~ The service from Thirroul is included in the T4 Illawarra Line, and excluded from the South Coast Line due to its stopping pattern.  </t>
  </si>
  <si>
    <r>
      <t>Change in patronage by mode - cumulative index from 2013-14</t>
    </r>
    <r>
      <rPr>
        <sz val="9"/>
        <rFont val="Arial"/>
        <family val="2"/>
      </rPr>
      <t xml:space="preserve"> (to match data on revenue growth)</t>
    </r>
  </si>
  <si>
    <t>Mode of travel (ferry and light rail ungrouped)</t>
  </si>
  <si>
    <t>Mode of travel (all public transport grouped)</t>
  </si>
  <si>
    <t>For inflating historical data to $2019</t>
  </si>
  <si>
    <t>Annual change</t>
  </si>
  <si>
    <t>IPART forecast</t>
  </si>
  <si>
    <t>CPI forecast</t>
  </si>
  <si>
    <t>Deflating 2023 fares to $2019 real</t>
  </si>
  <si>
    <t>2018 - 2019</t>
  </si>
  <si>
    <t>2019 - 2020</t>
  </si>
  <si>
    <t>2020- 2021</t>
  </si>
  <si>
    <t>Average fare</t>
  </si>
  <si>
    <t>Grand Total</t>
  </si>
  <si>
    <t>bus, light rail</t>
  </si>
  <si>
    <t>light rail</t>
  </si>
  <si>
    <t>Journey as a proportion of all journeys</t>
  </si>
  <si>
    <t>Fare lookup table</t>
  </si>
  <si>
    <t>Fare increasing in line with inflation</t>
  </si>
  <si>
    <t>Average determined maximum fare</t>
  </si>
  <si>
    <t>Average single fare</t>
  </si>
  <si>
    <t>lower than if fare had increased in line with inflation</t>
  </si>
  <si>
    <t>The average single fare is now around</t>
  </si>
  <si>
    <t>Newcastle ferry</t>
  </si>
  <si>
    <t>Annual average</t>
  </si>
  <si>
    <t>Cumulative</t>
  </si>
  <si>
    <t>Change 2019-2023</t>
  </si>
  <si>
    <t>Change 2009-2019</t>
  </si>
  <si>
    <t>Adjustment: ratio of straight line distance to route distance</t>
  </si>
  <si>
    <t xml:space="preserve">km </t>
  </si>
  <si>
    <t>Fare</t>
  </si>
  <si>
    <t>Section</t>
  </si>
  <si>
    <t>Route distance</t>
  </si>
  <si>
    <t>Inner1</t>
  </si>
  <si>
    <t>Inner2 (Meadowbank)</t>
  </si>
  <si>
    <t>Manly/Olympic/Rydal</t>
  </si>
  <si>
    <t>Fares</t>
  </si>
  <si>
    <t>Number of journeys</t>
  </si>
  <si>
    <t>Average 2009 ferry fare</t>
  </si>
  <si>
    <t>* Light rail only</t>
  </si>
  <si>
    <t>65+ km*</t>
  </si>
  <si>
    <t>35 - 65*</t>
  </si>
  <si>
    <t>20 - 35 km</t>
  </si>
  <si>
    <t>8 - 20 km</t>
  </si>
  <si>
    <t>3 - 8 km</t>
  </si>
  <si>
    <t>0- 3 km</t>
  </si>
  <si>
    <t xml:space="preserve">Maximum fare </t>
  </si>
  <si>
    <t xml:space="preserve">Current  </t>
  </si>
  <si>
    <t>Bus and light rail fares</t>
  </si>
  <si>
    <t>9+ km</t>
  </si>
  <si>
    <t>0 - 9 km</t>
  </si>
  <si>
    <t>Ferry fares</t>
  </si>
  <si>
    <t>65+ km</t>
  </si>
  <si>
    <t>35 - 65</t>
  </si>
  <si>
    <t>10 - 20 km</t>
  </si>
  <si>
    <t>0 - 10 km</t>
  </si>
  <si>
    <t>Prices before GST</t>
  </si>
  <si>
    <t>Cost recovery 2017-18</t>
  </si>
  <si>
    <t>Example 'cost recovering fare' (assuming current patronage, relativities between fares, and 2017-18 cost recovery level)</t>
  </si>
  <si>
    <t>Metro and train fares</t>
  </si>
  <si>
    <t>GST inclusive</t>
  </si>
  <si>
    <t>https://www.ipart.nsw.gov.au/files/sharedassets/website/trimholdingbay/final_report_and_determination_-_review_of_fares_for_private_ferry_services_and_the_stockton_ferry_service_for_2010_-_december_2009.pdf</t>
  </si>
  <si>
    <t>All modes</t>
  </si>
  <si>
    <t>Real $2019</t>
  </si>
  <si>
    <t xml:space="preserve">Note: calculation for bus distance changed from route to straight line with Opal </t>
  </si>
  <si>
    <t>Change from 2009 to 2009</t>
  </si>
  <si>
    <t>Cumulative change</t>
  </si>
  <si>
    <t>2009 to 2024</t>
  </si>
  <si>
    <t>Comparison of single adult fares 2009 - 2024</t>
  </si>
  <si>
    <t>Real fares by mode $2019</t>
  </si>
  <si>
    <t>Bus fare</t>
  </si>
  <si>
    <t>Route distance (straight line adjusted)</t>
  </si>
  <si>
    <t>2009 average bus fare</t>
  </si>
  <si>
    <t>Fares by distance by mode</t>
  </si>
  <si>
    <t>Change in single average fare</t>
  </si>
  <si>
    <t>11pm</t>
  </si>
  <si>
    <t>10pm</t>
  </si>
  <si>
    <t>9pm</t>
  </si>
  <si>
    <t>8pm</t>
  </si>
  <si>
    <t>7pm</t>
  </si>
  <si>
    <t>6pm</t>
  </si>
  <si>
    <t>5pm</t>
  </si>
  <si>
    <t>4pm</t>
  </si>
  <si>
    <t>3pm</t>
  </si>
  <si>
    <t>2pm</t>
  </si>
  <si>
    <t>1pm</t>
  </si>
  <si>
    <t>12pm</t>
  </si>
  <si>
    <t>11am</t>
  </si>
  <si>
    <t>10am</t>
  </si>
  <si>
    <t>9am</t>
  </si>
  <si>
    <t>8am</t>
  </si>
  <si>
    <t>7am</t>
  </si>
  <si>
    <t>6am</t>
  </si>
  <si>
    <t>5am</t>
  </si>
  <si>
    <t>4am</t>
  </si>
  <si>
    <t>3am</t>
  </si>
  <si>
    <t>2am</t>
  </si>
  <si>
    <t>1am</t>
  </si>
  <si>
    <t>12am</t>
  </si>
  <si>
    <t>Ferry
Sunday</t>
  </si>
  <si>
    <t>Ferry
Saturday</t>
  </si>
  <si>
    <t>Ferry
Weekday</t>
  </si>
  <si>
    <t>Light rail
Sunday</t>
  </si>
  <si>
    <t>Light rail
Saturday</t>
  </si>
  <si>
    <t>Light rail
Weekday</t>
  </si>
  <si>
    <t>Buses
Sunday</t>
  </si>
  <si>
    <t>Buses
Saturday</t>
  </si>
  <si>
    <t>Buses
Weekday</t>
  </si>
  <si>
    <t>Trains
Sunday</t>
  </si>
  <si>
    <t>Trains
Saturday</t>
  </si>
  <si>
    <t>Trains
Weekday</t>
  </si>
  <si>
    <t>Demand by time of day and mode</t>
  </si>
  <si>
    <t>Proportion of maximum demand</t>
  </si>
  <si>
    <t>Patronage</t>
  </si>
  <si>
    <t>Revenue</t>
  </si>
  <si>
    <t>Operating costs</t>
  </si>
  <si>
    <t>Revenue (ex GST)</t>
  </si>
  <si>
    <t>Overall change in operating costs and revenue</t>
  </si>
  <si>
    <t>Change in annual revenue, operating costs, patronage (index)</t>
  </si>
  <si>
    <t>Change in annual revenue, operating costs, patronage (annual)</t>
  </si>
  <si>
    <t>Revenue, operating costs, patronage (nominal, annual)</t>
  </si>
  <si>
    <t>Patronage  ('000s)</t>
  </si>
  <si>
    <t>Data set name</t>
  </si>
  <si>
    <t>Opal Assignment Models</t>
  </si>
  <si>
    <t>Provided by</t>
  </si>
  <si>
    <t xml:space="preserve">Transport Performance and Analytics (TPA) </t>
  </si>
  <si>
    <t>Date range</t>
  </si>
  <si>
    <t>Services for a typical weekday, Saturday and Sunday</t>
  </si>
  <si>
    <t>Description of Request</t>
  </si>
  <si>
    <t>The Maximum passengers in transit for each service, showing the fifteen minute interval, direction and service capacity for all Train, Ferry, Light Rail services and for the top 100 Bus routes by patronage for a typical weekday, a Saturday and Sunday.</t>
  </si>
  <si>
    <t>Measure</t>
  </si>
  <si>
    <t>Date provided</t>
  </si>
  <si>
    <t>Caution</t>
  </si>
  <si>
    <t xml:space="preserve">Only validated Entries and Exits with a valid Opal card are included. The data in this response is extracted from the Opal Assignment Models by mode. These models assign Opal journeys to services based on daily timetable and punctuality data.
The vehicle location data that underpins the allocation of Opal trips to the services can occasionally be missing or inaccurate. This can lead to the allocation of Opal trips to incorrect services and may result in over-allocation and apparent excessive loads. Use maximum loads with caution.
</t>
  </si>
  <si>
    <t>While all care is taken in producing this work (including information), no responsibility is taken or warranty made with respect to the accuracy of any information, data or representation. The authors (including copyright owners) of the information provided to you expressly disclaim all liability in respect of anything done or omitted to be done and the consequences upon reliance of the contents of this information.</t>
  </si>
  <si>
    <t xml:space="preserve">© 2016 Crown Copyright.  </t>
  </si>
  <si>
    <r>
      <t xml:space="preserve"> © State of New South Wales (Transport for NSW) 2016
The State of New South Wales, acting through the Transport for NSW, supports and encourages the reuse of its publicly funded information and endorses the use of the Australian Governments Open Access and Licensing Framework (AusGOAL). We request attribution as: © State of New South Wales (Transport for NSW). We also request that you observe and retain any copyright or related notices that may accompany this material as part of the attribution. 
</t>
    </r>
    <r>
      <rPr>
        <b/>
        <sz val="10"/>
        <rFont val="Arial"/>
        <family val="2"/>
      </rPr>
      <t>Material not licensed under the Creative Commons Licence</t>
    </r>
    <r>
      <rPr>
        <sz val="10"/>
        <rFont val="Arial"/>
        <family val="2"/>
      </rPr>
      <t xml:space="preserve">
The following material available from the https://www.transport.nsw.gov.au/data-and-research (Website) is not licensed under the Creative Commons Licence:
1. The State's Coat of Arms and any other symbols, logos or trademarks of the State of NSW or any Department or agency of the State (unless incidentally reproduced in using an unaltered document under the Creative Commons licence).
2. TfNSW brand logos and trademarks, including the NSW Waratah and the Transport Hop.
3. Any third party material, unless expressly stated to be published under the Creative Commons Licence.
4. Any photography, illustrations, animations and sound files used by TfNSW.
</t>
    </r>
  </si>
  <si>
    <t>Revenue - 12 months to May 2019 (GST inclusive)</t>
  </si>
  <si>
    <t>GST</t>
  </si>
  <si>
    <t>Change in patronage by mode - cumulative % from 2013-14 to 2017-18</t>
  </si>
  <si>
    <t>km travelled</t>
  </si>
  <si>
    <t>Current fares from 24 June 2019</t>
  </si>
  <si>
    <t>Current and determined fares</t>
  </si>
  <si>
    <t>Rail</t>
  </si>
  <si>
    <t>Relativities between bus and rail fares</t>
  </si>
  <si>
    <t>Discounted fare</t>
  </si>
  <si>
    <t>Pay as you go fare</t>
  </si>
  <si>
    <t>Price increase</t>
  </si>
  <si>
    <t>$20 pass + discounted fares</t>
  </si>
  <si>
    <t>8 x single journeys</t>
  </si>
  <si>
    <t>Current 8 x single journeys</t>
  </si>
  <si>
    <t>Upfront weekly payment</t>
  </si>
  <si>
    <t>Example subscription payments</t>
  </si>
  <si>
    <t>Number of single journeys in a week</t>
  </si>
  <si>
    <t>Comparison of options</t>
  </si>
  <si>
    <t>Example option</t>
  </si>
  <si>
    <t>Inputs</t>
  </si>
  <si>
    <t>Bus and light rail (and Newcastle ferry)</t>
  </si>
  <si>
    <t>Paper, pg number</t>
  </si>
  <si>
    <t>Final report page 4</t>
  </si>
  <si>
    <t>Change in average fare'!A1</t>
  </si>
  <si>
    <t>Change in operating costs'!A1</t>
  </si>
  <si>
    <t>Final report page 4, Issues paper ii</t>
  </si>
  <si>
    <t>Customer Satisfaction Index</t>
  </si>
  <si>
    <t>https://www.transport.nsw.gov.au/system/files/media/documents/2019/M1574_Combined_Customer_Satisfaction_Index%20accessible.pdf</t>
  </si>
  <si>
    <t>Newcastle/Stockton Ferry</t>
  </si>
  <si>
    <t>Note:  Some numbers changed slightly between the draft and final reports due to updated inflation forecasts.</t>
  </si>
  <si>
    <t>Change in single fares for sample journeys</t>
  </si>
  <si>
    <t>Train fares by distance travelled (historical, current, proposed)</t>
  </si>
  <si>
    <t>Final report page 4, 7; issues paper ii</t>
  </si>
  <si>
    <t>Cost per passenger km</t>
  </si>
  <si>
    <t>Cost per trip</t>
  </si>
  <si>
    <t>Service</t>
  </si>
  <si>
    <t>Year</t>
  </si>
  <si>
    <t>Revenue per trip</t>
  </si>
  <si>
    <t>Cost per trip km</t>
  </si>
  <si>
    <t>Revenue per trip km</t>
  </si>
  <si>
    <t>Fy</t>
  </si>
  <si>
    <t>$/trip</t>
  </si>
  <si>
    <t>$/trip km</t>
  </si>
  <si>
    <t>Metropolitan rail</t>
  </si>
  <si>
    <t>Intercity rail</t>
  </si>
  <si>
    <t>Light Rail</t>
  </si>
  <si>
    <t>Train (excludes
intercity 
services)</t>
  </si>
  <si>
    <t>Cost by mode</t>
  </si>
  <si>
    <t>All journeys</t>
  </si>
  <si>
    <t>Excluding Opal Gold journeys</t>
  </si>
  <si>
    <t>The CIE</t>
  </si>
  <si>
    <t>Average fare
 per trip</t>
  </si>
  <si>
    <t>Cost and revenue per trip and trip kilometre (Based on CIE estimates, nominal $, all years)</t>
  </si>
  <si>
    <t>3 to 5 km</t>
  </si>
  <si>
    <t>5 to 10 km</t>
  </si>
  <si>
    <t xml:space="preserve">10 to 20 km </t>
  </si>
  <si>
    <t>20 to 35 km</t>
  </si>
  <si>
    <t>35 to 65 km</t>
  </si>
  <si>
    <t>65 km+</t>
  </si>
  <si>
    <t>Distance travelled distribution</t>
  </si>
  <si>
    <t>Proportion of train customers travelling between 3 and 20 km</t>
  </si>
  <si>
    <t>Determined</t>
  </si>
  <si>
    <t>Day</t>
  </si>
  <si>
    <t>Weekday</t>
  </si>
  <si>
    <t>Wednesday</t>
  </si>
  <si>
    <t xml:space="preserve">F1 Manly                                 </t>
  </si>
  <si>
    <t>Inbound</t>
  </si>
  <si>
    <t>MANLY-08:00:00</t>
  </si>
  <si>
    <t>F1 Manly</t>
  </si>
  <si>
    <t>MANLY-07:30:00</t>
  </si>
  <si>
    <t>F2 Taronga Zoo</t>
  </si>
  <si>
    <t>MANLY-08:20:00</t>
  </si>
  <si>
    <t>F4 Cross Harbour</t>
  </si>
  <si>
    <t>F3 Parramatta</t>
  </si>
  <si>
    <t xml:space="preserve">F4 Cross Harbour                         </t>
  </si>
  <si>
    <t>ROSE BAY-07:59:00</t>
  </si>
  <si>
    <t>Sunday</t>
  </si>
  <si>
    <t>ROSE BAY-07:39:00</t>
  </si>
  <si>
    <t>ROSE BAY-08:39:00</t>
  </si>
  <si>
    <t>Outbound</t>
  </si>
  <si>
    <t xml:space="preserve">F2 Taronga Zoo                           </t>
  </si>
  <si>
    <t>MOSMAN BAY-08:06:00</t>
  </si>
  <si>
    <t>F1 Manly - Weekday</t>
  </si>
  <si>
    <t>F4 Cross Harbour - Weekday</t>
  </si>
  <si>
    <t>F4 Cross Harbour - Sunday</t>
  </si>
  <si>
    <t>F2 Taronga Zoo - Weekday</t>
  </si>
  <si>
    <t>F2 Taronga Zoo - Sunday</t>
  </si>
  <si>
    <t>F3 Parramatta - Weekday</t>
  </si>
  <si>
    <t>F3 Parramatta - Sunday</t>
  </si>
  <si>
    <t>TARONGA ZOO-17:12:00</t>
  </si>
  <si>
    <t>TARONGA ZOO-16:42:00</t>
  </si>
  <si>
    <t xml:space="preserve">F3 Parramatta River                      </t>
  </si>
  <si>
    <t>SYDNEY OLYMPIC PARK-07:36:00</t>
  </si>
  <si>
    <t>RYDALMERE-07:49:00</t>
  </si>
  <si>
    <t>BARANGAROO,  1-17:35:00</t>
  </si>
  <si>
    <t>PARRAMATTA-09:38:00</t>
  </si>
  <si>
    <t>MANLY-15:45:00</t>
  </si>
  <si>
    <t>MANLY-17:15:00</t>
  </si>
  <si>
    <t>MANLY-16:45:00</t>
  </si>
  <si>
    <t>PYRMONT BAY-09:45:00</t>
  </si>
  <si>
    <t>PYRMONT BAY-11:15:00</t>
  </si>
  <si>
    <t>PYRMONT BAY-10:15:00</t>
  </si>
  <si>
    <t>SYDNEY OLYMPIC PARK-10:38:00</t>
  </si>
  <si>
    <t>PARRAMATTA-09:28:00</t>
  </si>
  <si>
    <t>TARONGA ZOO-15:42:00</t>
  </si>
  <si>
    <t>CIRCULAR QUAY-09:40:00</t>
  </si>
  <si>
    <t>TARONGA ZOO-14:22:00</t>
  </si>
  <si>
    <r>
      <t xml:space="preserve">F1 Manly - </t>
    </r>
    <r>
      <rPr>
        <b/>
        <sz val="9"/>
        <color indexed="8"/>
        <rFont val="Arial"/>
        <family val="2"/>
      </rPr>
      <t>Sunday</t>
    </r>
  </si>
  <si>
    <t>Route</t>
  </si>
  <si>
    <t>Direction</t>
  </si>
  <si>
    <t>Time</t>
  </si>
  <si>
    <t>For graphing</t>
  </si>
  <si>
    <t>Average patronage on top 3 busiest services</t>
  </si>
  <si>
    <t>Top three busiest services by route - weekday versus Sunday</t>
  </si>
  <si>
    <t>Ferry patronage by day</t>
  </si>
  <si>
    <t>IPART data request - Opal Assignment Models - Maximum passengers in transit for each service, 18/06/2019</t>
  </si>
  <si>
    <t>Change in annual revenue, operating costs, patronage (nominal, cumulative)</t>
  </si>
  <si>
    <t>Note: Annual number of trips estimated by scaling up trips provided over 3 weeks: standard week, school holiday week, and public holiday week.</t>
  </si>
  <si>
    <t>Peak</t>
  </si>
  <si>
    <t>Off-peak</t>
  </si>
  <si>
    <t>Cost by mode 2017-18</t>
  </si>
  <si>
    <t>Sydney Trains &amp; NSW TrainLink1</t>
  </si>
  <si>
    <t>Metro and outer metro buses2</t>
  </si>
  <si>
    <t>Light rail3</t>
  </si>
  <si>
    <t>Review of fares for private ferry services and the Stockton ferry service for 2010</t>
  </si>
  <si>
    <t>Metro Transport</t>
  </si>
  <si>
    <t>Schedule of Fares - Light Rail</t>
  </si>
  <si>
    <t>Annual revenue - Email 12 June 2019</t>
  </si>
  <si>
    <t>Adult fares</t>
  </si>
  <si>
    <t>Opal Assignment Models, IPART data request provided 18 June 2019</t>
  </si>
  <si>
    <t>Cost recovery spreadsheet (model ) - 21 February 2020</t>
  </si>
  <si>
    <t>Cost and revenue per trip and trip kilometre (Based on CIE estimates and Opal patronage data, nominal $, 2017-18)</t>
  </si>
  <si>
    <t>Average price and cost per trip 2017-18 (Based on Transport for NSW cost data and patronage data)</t>
  </si>
  <si>
    <t>Trips (Transport for NSW published data)</t>
  </si>
  <si>
    <t>Trips (Opal data)</t>
  </si>
  <si>
    <t>Cost by mode'!A1</t>
  </si>
  <si>
    <t>Compliance statement: Opal fares for 2019-20</t>
  </si>
  <si>
    <t>Final report page 10</t>
  </si>
  <si>
    <t>Historical fare comparison'!A1</t>
  </si>
  <si>
    <t>Final report page 16</t>
  </si>
  <si>
    <t>Final report page 18</t>
  </si>
  <si>
    <t>Ferry patronage by day'!A1</t>
  </si>
  <si>
    <t>Final report page 14</t>
  </si>
  <si>
    <t>Demand by time of day'!A1</t>
  </si>
  <si>
    <t>Final report page 15</t>
  </si>
  <si>
    <t>Peak and off peak journeys'!A1</t>
  </si>
  <si>
    <t>Final report page 19</t>
  </si>
  <si>
    <t>Issues paper, p ii</t>
  </si>
  <si>
    <t>Issues paper, p iv</t>
  </si>
  <si>
    <t xml:space="preserve">Disclaimer
While every reasonable effort has been made to ensure that these projections are correct at the time of release, the State of New South Wales, its agents and employees, disclaim any and all liability to any person in respect of anything or the consequences of anything done or omitted to be done in reliance upon the whole or any part of these projections.
</t>
  </si>
  <si>
    <t>Opal fares 2020-24 - Data sources</t>
  </si>
  <si>
    <t>Blue text indicates inputs</t>
  </si>
  <si>
    <t>Purpose</t>
  </si>
  <si>
    <t>© 2020 Copyright (Free to share)</t>
  </si>
  <si>
    <t>Relativities between fares'!A1</t>
  </si>
  <si>
    <t>Trip distance distribution'!A1</t>
  </si>
  <si>
    <t>Distance (km)</t>
  </si>
  <si>
    <t>0-3 km</t>
  </si>
  <si>
    <t>Sum</t>
  </si>
  <si>
    <t>Proportion of journeys in the peak and off-peak by mode</t>
  </si>
  <si>
    <t>Journeys (Excludes Opal gold, and single trips)</t>
  </si>
  <si>
    <t>Actual</t>
  </si>
  <si>
    <t>Date from which fares apply</t>
  </si>
  <si>
    <t>Ferry (all)</t>
  </si>
  <si>
    <t>Average annual inflation 2009 to 2019</t>
  </si>
  <si>
    <t>Change in the average single fare</t>
  </si>
  <si>
    <t>Change in operating costs</t>
  </si>
  <si>
    <t>Average fare paid</t>
  </si>
  <si>
    <t>ex GST</t>
  </si>
  <si>
    <t>inc GST</t>
  </si>
  <si>
    <t>Proportion of all journeys by mode 2018-19 (excluding Opal Gold)</t>
  </si>
  <si>
    <t>Average single fare 2009 - 2023 by mode (nominal, including GST, based on 2018-19 journey patterns, excluding Opal Gold journeys)</t>
  </si>
  <si>
    <t>Average single fare and inflation 2009 to 2023 (nominal, including GST, based on 2018-19 journey patterns, excluding Opal Gold journeys)</t>
  </si>
  <si>
    <t>Trips by mode</t>
  </si>
  <si>
    <t>Number of trips ('000s)</t>
  </si>
  <si>
    <t>Number of trips by mode (all regions, '000s) 2018-19</t>
  </si>
  <si>
    <t>Annual average expenditure per household in NSW</t>
  </si>
  <si>
    <t>Customer satisfaction</t>
  </si>
  <si>
    <t>Change in fares for example routes</t>
  </si>
  <si>
    <t>Change in fares by distance travelled</t>
  </si>
  <si>
    <t>Demand by time of day by mode</t>
  </si>
  <si>
    <t>Number of ferry passengers on weekday versus Sunday</t>
  </si>
  <si>
    <t>Demand by time of day by day of the week</t>
  </si>
  <si>
    <t>Bus fare versus train fare by distance travelled</t>
  </si>
  <si>
    <t>Journey distance by mode</t>
  </si>
  <si>
    <t>External benefits by type</t>
  </si>
  <si>
    <t>Cumulative fare change (real)</t>
  </si>
  <si>
    <t xml:space="preserve">Change in patronage since </t>
  </si>
  <si>
    <t>Change in patronage - cumulative % from 2013-14 to 2017-18</t>
  </si>
  <si>
    <t>Change in costs</t>
  </si>
  <si>
    <t>Average cost per trip</t>
  </si>
  <si>
    <t>Demand by rail line</t>
  </si>
  <si>
    <t>Journey as a proportion of all journeys taken on that mode (excluding Opal Gold) (2018-19)</t>
  </si>
  <si>
    <t>Off peak versus peak journeys</t>
  </si>
  <si>
    <t>Opal data averaged across two standard weeks: week 1 in Jan-Jun 2019, and week 2 in Jul-Sep 2019.</t>
  </si>
  <si>
    <t>Opal data - standard week Jan to Jun 2019</t>
  </si>
  <si>
    <t>Fare by distance travelled (trips)</t>
  </si>
  <si>
    <t>Proportion of bus trips by distance</t>
  </si>
  <si>
    <t>% of trips (all)</t>
  </si>
  <si>
    <t>light rail &amp; ferry as a proportion of all public transport trips</t>
  </si>
  <si>
    <t>Opal data - IPART data request  - weekly data for sample weeks between Jan and June 2019</t>
  </si>
  <si>
    <t>Note: the average fare for 2009 is calculated using 2018-19 trip patterns. This shows for the current journey profiles, what customers would pay now if fares were set at 2009 levels. 
This data set uses 'trip' counts, which means that if two separate trips makes are a journey, they are counted twice in this data set. This is consistent with how fares were calculated under the Myzone system, where separate fares were paid each time that a passenger boarded a different bus.</t>
  </si>
  <si>
    <t>Average fare (excluding gold journeys)</t>
  </si>
  <si>
    <t>Note: the average fare for 2009 is calculated using 2019 trip patterns (based on one sample week). This shows for the current journey profiles, what customers would pay now if fares were set at 2009 levels. 
This data set uses trip counts, which means that if two separate trips makes are a journey, they are counted twice.</t>
  </si>
  <si>
    <t>Average fare 2019-20 (all trips)</t>
  </si>
  <si>
    <t>Note: In this data set, if a journey on one mode is made up of two separate trips (for example, changing from one bus to another), it is counted as one journey.  
The distance travelled by mode is based on the average travel patterns of one standard week between Jan and June 2019, and July and September 2019
If the journey is made across two modes, it is counted as two journeys - one on each mode.</t>
  </si>
  <si>
    <t>Published chart</t>
  </si>
  <si>
    <t>Contents and source list</t>
  </si>
  <si>
    <t>Journey as a proportion of all journeys (ex Opal Gold, free journeys, school children)</t>
  </si>
  <si>
    <t>This data set excludes journeys with missing destinations (ie, default journeys)</t>
  </si>
  <si>
    <t>June 2020</t>
  </si>
  <si>
    <t>Mode of Travel in Sydney</t>
  </si>
  <si>
    <t>Issues paper, p 26</t>
  </si>
  <si>
    <t>On-time running</t>
  </si>
  <si>
    <t>Demand on typical weekday by mode</t>
  </si>
  <si>
    <t>Train demand by day</t>
  </si>
  <si>
    <t>Ferry demand by day</t>
  </si>
  <si>
    <t xml:space="preserve">This data excludes trips with missing origin, missing destinations, missing tap-on times, and trips where the origin is the same as destination.
</t>
  </si>
  <si>
    <t>Cost by mode'!A106</t>
  </si>
  <si>
    <t>This model contains source and calculation information for the analysis contained in the Opal final report and issues paper 2020-2024</t>
  </si>
  <si>
    <t>Opal data - IPART data request - weekly data for sample weeks between July and September 2019</t>
  </si>
  <si>
    <t xml:space="preserve">Note: The average fare for a single journey in 2009 is calculated using 2018-19 journey patterns. This shows for the current journey profiles, what customers would pay now if fares were set at 2009 levels. 
Any discounted fare (for example, due to caps or travel rewards) are disregarded in this calculation - ie, all journeys are factored in at full single fare. This is different to the average fare (all trips) calculation which uses the fares actually paid for all trips, factoring in the price paid for discounted and free fares. </t>
  </si>
  <si>
    <t>housing and community amenities</t>
  </si>
  <si>
    <t>education</t>
  </si>
  <si>
    <t>click on the transport component for breakdown</t>
  </si>
  <si>
    <t>Mode of travel (ferry and light rail grouped in other)</t>
  </si>
  <si>
    <t>Other regions /Sydney</t>
  </si>
  <si>
    <t>to adjust Opal trips to Sydney only</t>
  </si>
  <si>
    <t>https://transportnsw.info/tickets-Opal/Opal/fares-payments/adult-fares</t>
  </si>
  <si>
    <t>Compliance statement 2018-19 fares for Opal services</t>
  </si>
  <si>
    <t>https://www.ipart.nsw.gov.au/files/sharedassets/website/shared-files/investigation-compliance-monitoring-transport-publications-fare-for-Opal-services-201819/compliance-statement-2018-19-fares-for-Opal-services.pdf</t>
  </si>
  <si>
    <t>https://www.ipart.nsw.gov.au/files/sharedassets/website/shared-files/investigation-compliance-monitoring-transport-publications-fares-for-Opal-services-201920/compliance-statement-Opal-fares-201920.pdf</t>
  </si>
  <si>
    <t>Proportion of peak/off-peak trips by mode (all passenger types excluding Opal gold)</t>
  </si>
  <si>
    <t>Distance travelled per journey 2019 (all passenger types, including Opal gold)</t>
  </si>
  <si>
    <t>Distance travelled per journey 2019 (by mode, all passenger types, including Opal gold)</t>
  </si>
  <si>
    <t>Distance travelled per journey by mode 2019 (all passenger types, including Opal gold)</t>
  </si>
  <si>
    <t>Average Opal fare ($) (ex GST)</t>
  </si>
  <si>
    <t>Compliance statement 2017-18 fares for Opal services</t>
  </si>
  <si>
    <t>https://www.ipart.nsw.gov.au/files/sharedassets/website/shared-files/investigation-compliance-monitoring-transport-publications-Opal-fares-compliance-201718/compliance-statement-201718-fares-for-Opal-services-june-2017.pdf</t>
  </si>
  <si>
    <t>https://www.ipart.nsw.gov.au/files/sharedassets/website/shared-files/pricing-reviews-compliance-publications-Opal-fares-compliance-201617/qa_of_transport_nsw_pricing_proposal_-_frontier_economics.pdf</t>
  </si>
  <si>
    <t>Sydney ferries, Newcastle ferries</t>
  </si>
  <si>
    <t>% trips (excluding Opal gold, free travel and school children)</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</si>
</sst>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8" formatCode="&quot;$&quot;#,##0.00;[Red]\-&quot;$&quot;#,##0.00"/>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_(* #,##0.0_);_(* \(#,##0.0\);_(* &quot;-&quot;??_);_(@_)"/>
    <numFmt numFmtId="168" formatCode="_-* #,##0_-;\-* #,##0_-;_-* &quot;-&quot;??_-;_-@_-"/>
    <numFmt numFmtId="169" formatCode="_(* #,##0.00_);_(* \(#,##0.00\);_(* &quot;-&quot;??_);_(@_)"/>
    <numFmt numFmtId="170" formatCode="_(* #,##0_);_(* \(#,##0\);_(* &quot;-&quot;??_);_(@_)"/>
    <numFmt numFmtId="171" formatCode="_-&quot;$&quot;* #,##0_-;\-&quot;$&quot;* #,##0_-;_-&quot;$&quot;* &quot;-&quot;??_-;_-@_-"/>
    <numFmt numFmtId="172" formatCode="0.000"/>
    <numFmt numFmtId="173" formatCode="&quot;$&quot;#,##0.00"/>
    <numFmt numFmtId="174" formatCode="mmm\-yyyy"/>
    <numFmt numFmtId="175" formatCode="\+0%"/>
    <numFmt numFmtId="176" formatCode="0.0000"/>
    <numFmt numFmtId="177" formatCode="yyyy"/>
    <numFmt numFmtId="178" formatCode="#,##0_ ;\-#,##0\ "/>
    <numFmt numFmtId="179" formatCode="_-* #,##0.0_-;\-* #,##0.0_-;_-* &quot;-&quot;_-;_-@_-"/>
    <numFmt numFmtId="180" formatCode="0.0"/>
    <numFmt numFmtId="181" formatCode="[$-C09]dd\-mmm\-yy;@"/>
    <numFmt numFmtId="182" formatCode="\+0%;\-0%;0%"/>
    <numFmt numFmtId="183" formatCode="#,##0.00_ ;\-#,##0.00\ "/>
    <numFmt numFmtId="184" formatCode="#,##0.0000"/>
    <numFmt numFmtId="185" formatCode="_-* #,##0.0_-;\-* #,##0.0_-;_-* &quot;-&quot;??_-;_-@_-"/>
    <numFmt numFmtId="186" formatCode="0.000000%"/>
    <numFmt numFmtId="187" formatCode="0.000%"/>
    <numFmt numFmtId="188" formatCode="_-* #,##0.00_-;\-* #,##0.00_-;_-* &quot;-&quot;_-;_-@_-"/>
    <numFmt numFmtId="189" formatCode="_-&quot;$&quot;* #,##0.0_-;\-&quot;$&quot;* #,##0.0_-;_-&quot;$&quot;* &quot;-&quot;??_-;_-@_-"/>
    <numFmt numFmtId="190" formatCode="d/mm/yyyy;@"/>
  </numFmts>
  <fonts count="102" x14ac:knownFonts="1">
    <font>
      <sz val="9"/>
      <name val="Arial"/>
      <family val="2"/>
    </font>
    <font>
      <sz val="11"/>
      <color theme="1"/>
      <name val="Book Antiqua"/>
      <family val="2"/>
      <scheme val="minor"/>
    </font>
    <font>
      <sz val="11"/>
      <color theme="1"/>
      <name val="Book Antiqua"/>
      <family val="2"/>
      <scheme val="minor"/>
    </font>
    <font>
      <sz val="11"/>
      <color theme="1"/>
      <name val="Book Antiqua"/>
      <family val="2"/>
      <scheme val="minor"/>
    </font>
    <font>
      <sz val="11"/>
      <color theme="1"/>
      <name val="Book Antiqua"/>
      <family val="2"/>
      <scheme val="minor"/>
    </font>
    <font>
      <sz val="11"/>
      <color theme="1"/>
      <name val="Book Antiqua"/>
      <family val="2"/>
      <scheme val="minor"/>
    </font>
    <font>
      <sz val="11"/>
      <color theme="1"/>
      <name val="Book Antiqua"/>
      <family val="2"/>
      <scheme val="minor"/>
    </font>
    <font>
      <sz val="9"/>
      <name val="Arial"/>
      <family val="2"/>
    </font>
    <font>
      <sz val="9"/>
      <color indexed="10"/>
      <name val="Arial"/>
      <family val="2"/>
    </font>
    <font>
      <sz val="10"/>
      <name val="Arial"/>
      <family val="2"/>
    </font>
    <font>
      <sz val="9"/>
      <color indexed="12"/>
      <name val="Arial"/>
      <family val="2"/>
    </font>
    <font>
      <b/>
      <sz val="9"/>
      <color indexed="9"/>
      <name val="Arial"/>
      <family val="2"/>
    </font>
    <font>
      <b/>
      <sz val="9"/>
      <color indexed="57"/>
      <name val="Arial"/>
      <family val="2"/>
    </font>
    <font>
      <b/>
      <sz val="10"/>
      <name val="Arial"/>
      <family val="2"/>
    </font>
    <font>
      <sz val="11"/>
      <name val="Arial"/>
      <family val="2"/>
    </font>
    <font>
      <b/>
      <sz val="12"/>
      <name val="Arial"/>
      <family val="2"/>
    </font>
    <font>
      <b/>
      <sz val="9"/>
      <name val="Arial"/>
      <family val="2"/>
    </font>
    <font>
      <b/>
      <sz val="16"/>
      <name val="Arial"/>
      <family val="2"/>
    </font>
    <font>
      <u/>
      <sz val="9"/>
      <color theme="10"/>
      <name val="Arial"/>
      <family val="2"/>
    </font>
    <font>
      <b/>
      <sz val="9"/>
      <color rgb="FFFF0000"/>
      <name val="Arial"/>
      <family val="2"/>
    </font>
    <font>
      <sz val="8"/>
      <name val="Arial"/>
      <family val="2"/>
    </font>
    <font>
      <sz val="8"/>
      <color indexed="14"/>
      <name val="Arial"/>
      <family val="2"/>
    </font>
    <font>
      <b/>
      <sz val="11"/>
      <color theme="1"/>
      <name val="Book Antiqua"/>
      <family val="2"/>
      <scheme val="minor"/>
    </font>
    <font>
      <sz val="11"/>
      <color theme="1"/>
      <name val="Arial"/>
      <family val="2"/>
    </font>
    <font>
      <sz val="9"/>
      <color rgb="FFFF0000"/>
      <name val="Arial"/>
      <family val="2"/>
    </font>
    <font>
      <sz val="11"/>
      <color theme="3"/>
      <name val="Arial"/>
      <family val="2"/>
    </font>
    <font>
      <sz val="12"/>
      <color theme="3"/>
      <name val="Arial"/>
      <family val="2"/>
    </font>
    <font>
      <sz val="10"/>
      <color indexed="8"/>
      <name val="Arial"/>
      <family val="2"/>
    </font>
    <font>
      <sz val="10"/>
      <color theme="1"/>
      <name val="Arial"/>
      <family val="2"/>
    </font>
    <font>
      <sz val="9"/>
      <color theme="3"/>
      <name val="Arial"/>
      <family val="2"/>
    </font>
    <font>
      <b/>
      <sz val="10"/>
      <color rgb="FF000000"/>
      <name val="Arial"/>
      <family val="2"/>
    </font>
    <font>
      <sz val="10"/>
      <color rgb="FF000000"/>
      <name val="Arial"/>
      <family val="2"/>
    </font>
    <font>
      <b/>
      <sz val="15"/>
      <color theme="3"/>
      <name val="Book Antiqua"/>
      <family val="2"/>
      <scheme val="minor"/>
    </font>
    <font>
      <b/>
      <sz val="13"/>
      <color theme="3"/>
      <name val="Book Antiqua"/>
      <family val="2"/>
      <scheme val="minor"/>
    </font>
    <font>
      <b/>
      <sz val="11"/>
      <color theme="3"/>
      <name val="Book Antiqua"/>
      <family val="2"/>
      <scheme val="minor"/>
    </font>
    <font>
      <sz val="11"/>
      <color rgb="FF006100"/>
      <name val="Book Antiqua"/>
      <family val="2"/>
      <scheme val="minor"/>
    </font>
    <font>
      <sz val="11"/>
      <color rgb="FF9C0006"/>
      <name val="Book Antiqua"/>
      <family val="2"/>
      <scheme val="minor"/>
    </font>
    <font>
      <sz val="11"/>
      <color rgb="FF9C6500"/>
      <name val="Book Antiqua"/>
      <family val="2"/>
      <scheme val="minor"/>
    </font>
    <font>
      <sz val="11"/>
      <color rgb="FF3F3F76"/>
      <name val="Book Antiqua"/>
      <family val="2"/>
      <scheme val="minor"/>
    </font>
    <font>
      <b/>
      <sz val="11"/>
      <color rgb="FF3F3F3F"/>
      <name val="Book Antiqua"/>
      <family val="2"/>
      <scheme val="minor"/>
    </font>
    <font>
      <b/>
      <sz val="11"/>
      <color rgb="FFFA7D00"/>
      <name val="Book Antiqua"/>
      <family val="2"/>
      <scheme val="minor"/>
    </font>
    <font>
      <sz val="11"/>
      <color rgb="FFFA7D00"/>
      <name val="Book Antiqua"/>
      <family val="2"/>
      <scheme val="minor"/>
    </font>
    <font>
      <b/>
      <sz val="11"/>
      <color theme="0"/>
      <name val="Book Antiqua"/>
      <family val="2"/>
      <scheme val="minor"/>
    </font>
    <font>
      <sz val="11"/>
      <color rgb="FFFF0000"/>
      <name val="Book Antiqua"/>
      <family val="2"/>
      <scheme val="minor"/>
    </font>
    <font>
      <i/>
      <sz val="11"/>
      <color rgb="FF7F7F7F"/>
      <name val="Book Antiqua"/>
      <family val="2"/>
      <scheme val="minor"/>
    </font>
    <font>
      <sz val="11"/>
      <color theme="0"/>
      <name val="Book Antiqua"/>
      <family val="2"/>
      <scheme val="minor"/>
    </font>
    <font>
      <b/>
      <sz val="8"/>
      <name val="Arial"/>
      <family val="2"/>
    </font>
    <font>
      <sz val="9"/>
      <color theme="6" tint="-0.499984740745262"/>
      <name val="Arial"/>
      <family val="2"/>
    </font>
    <font>
      <sz val="12"/>
      <color indexed="30"/>
      <name val="Arial"/>
      <family val="2"/>
    </font>
    <font>
      <i/>
      <sz val="9"/>
      <color indexed="10"/>
      <name val="Arial"/>
      <family val="2"/>
    </font>
    <font>
      <sz val="10"/>
      <color rgb="FFFF0000"/>
      <name val="Arial"/>
      <family val="2"/>
    </font>
    <font>
      <b/>
      <sz val="8"/>
      <name val="Helv"/>
    </font>
    <font>
      <b/>
      <sz val="10"/>
      <color theme="0" tint="-0.34998626667073579"/>
      <name val="Arial"/>
      <family val="2"/>
    </font>
    <font>
      <b/>
      <sz val="9"/>
      <color theme="0" tint="-0.34998626667073579"/>
      <name val="Arial"/>
      <family val="2"/>
    </font>
    <font>
      <b/>
      <sz val="8"/>
      <color theme="0" tint="-0.34998626667073579"/>
      <name val="Arial"/>
      <family val="2"/>
    </font>
    <font>
      <b/>
      <sz val="9"/>
      <color theme="0"/>
      <name val="Arial"/>
      <family val="2"/>
    </font>
    <font>
      <b/>
      <sz val="8"/>
      <color theme="0" tint="-0.499984740745262"/>
      <name val="Arial"/>
      <family val="2"/>
    </font>
    <font>
      <b/>
      <i/>
      <sz val="9"/>
      <name val="Arial"/>
      <family val="2"/>
    </font>
    <font>
      <sz val="9"/>
      <color indexed="81"/>
      <name val="Tahoma"/>
      <family val="2"/>
    </font>
    <font>
      <b/>
      <sz val="9"/>
      <color indexed="81"/>
      <name val="Tahoma"/>
      <family val="2"/>
    </font>
    <font>
      <u/>
      <sz val="10"/>
      <name val="Arial"/>
      <family val="2"/>
    </font>
    <font>
      <i/>
      <u/>
      <sz val="9"/>
      <color theme="10"/>
      <name val="Arial"/>
      <family val="2"/>
    </font>
    <font>
      <i/>
      <sz val="10"/>
      <name val="Arial"/>
      <family val="2"/>
    </font>
    <font>
      <u/>
      <sz val="8"/>
      <color theme="10"/>
      <name val="Arial"/>
      <family val="2"/>
    </font>
    <font>
      <b/>
      <u/>
      <sz val="12"/>
      <name val="Arial"/>
      <family val="2"/>
    </font>
    <font>
      <b/>
      <sz val="9"/>
      <color theme="3"/>
      <name val="Arial"/>
      <family val="2"/>
    </font>
    <font>
      <b/>
      <sz val="16"/>
      <color theme="3"/>
      <name val="Arial"/>
      <family val="2"/>
    </font>
    <font>
      <sz val="9"/>
      <color theme="1"/>
      <name val="Arial"/>
      <family val="2"/>
    </font>
    <font>
      <b/>
      <sz val="9"/>
      <color theme="1"/>
      <name val="Arial"/>
      <family val="2"/>
    </font>
    <font>
      <sz val="9"/>
      <color indexed="14"/>
      <name val="Arial"/>
      <family val="2"/>
    </font>
    <font>
      <sz val="11"/>
      <color indexed="8"/>
      <name val="Arial"/>
      <family val="2"/>
    </font>
    <font>
      <b/>
      <sz val="10"/>
      <color indexed="12"/>
      <name val="Arial"/>
      <family val="2"/>
    </font>
    <font>
      <b/>
      <sz val="11"/>
      <color theme="1"/>
      <name val="Arial"/>
      <family val="2"/>
    </font>
    <font>
      <sz val="16"/>
      <color theme="1"/>
      <name val="Arial"/>
      <family val="2"/>
    </font>
    <font>
      <b/>
      <i/>
      <sz val="10"/>
      <color rgb="FFFF0000"/>
      <name val="Arial"/>
      <family val="2"/>
    </font>
    <font>
      <sz val="9"/>
      <color indexed="8"/>
      <name val="Arial"/>
      <family val="2"/>
    </font>
    <font>
      <b/>
      <sz val="9"/>
      <color indexed="8"/>
      <name val="Arial"/>
      <family val="2"/>
    </font>
    <font>
      <sz val="10"/>
      <name val="MS Sans Serif"/>
      <family val="2"/>
    </font>
    <font>
      <b/>
      <sz val="14"/>
      <name val="Arial"/>
      <family val="2"/>
    </font>
    <font>
      <sz val="10"/>
      <color indexed="12"/>
      <name val="Arial"/>
      <family val="2"/>
    </font>
    <font>
      <b/>
      <sz val="10"/>
      <color indexed="57"/>
      <name val="Arial"/>
      <family val="2"/>
    </font>
    <font>
      <sz val="9"/>
      <color theme="0"/>
      <name val="Arial"/>
      <family val="2"/>
    </font>
    <font>
      <b/>
      <sz val="10"/>
      <color theme="1"/>
      <name val="Arial"/>
      <family val="2"/>
    </font>
    <font>
      <sz val="9.5"/>
      <color theme="0"/>
      <name val="Arial"/>
      <family val="2"/>
    </font>
    <font>
      <sz val="12"/>
      <color theme="0"/>
      <name val="Arial"/>
      <family val="2"/>
    </font>
    <font>
      <sz val="10"/>
      <color theme="0"/>
      <name val="Arial"/>
      <family val="2"/>
    </font>
    <font>
      <u/>
      <sz val="9"/>
      <color theme="0"/>
      <name val="Arial"/>
      <family val="2"/>
    </font>
    <font>
      <sz val="9.5"/>
      <name val="Arial"/>
      <family val="2"/>
    </font>
    <font>
      <sz val="12"/>
      <name val="Arial"/>
      <family val="2"/>
    </font>
    <font>
      <sz val="9.4"/>
      <name val="Arial"/>
      <family val="2"/>
    </font>
    <font>
      <b/>
      <sz val="10"/>
      <color rgb="FFFF0000"/>
      <name val="Arial"/>
      <family val="2"/>
    </font>
    <font>
      <sz val="11"/>
      <color indexed="8"/>
      <name val="Book Antiqua"/>
      <family val="2"/>
      <scheme val="minor"/>
    </font>
    <font>
      <sz val="11"/>
      <name val="Book Antiqua"/>
      <family val="2"/>
      <scheme val="minor"/>
    </font>
    <font>
      <u/>
      <sz val="10"/>
      <color indexed="12"/>
      <name val="Arial"/>
      <family val="2"/>
    </font>
    <font>
      <b/>
      <sz val="9"/>
      <name val="Raleway"/>
      <family val="2"/>
    </font>
    <font>
      <sz val="9"/>
      <name val="Raleway"/>
      <family val="2"/>
    </font>
    <font>
      <b/>
      <sz val="11"/>
      <color theme="0"/>
      <name val="MS Sans Serif"/>
    </font>
    <font>
      <sz val="18"/>
      <color theme="3"/>
      <name val="Book Antiqua"/>
      <family val="2"/>
      <scheme val="major"/>
    </font>
    <font>
      <sz val="9"/>
      <color theme="4"/>
      <name val="Arial"/>
      <family val="2"/>
    </font>
    <font>
      <sz val="10"/>
      <color indexed="9"/>
      <name val="Arial"/>
      <family val="2"/>
    </font>
    <font>
      <sz val="9"/>
      <color rgb="FF212122"/>
      <name val="Arial"/>
      <family val="2"/>
    </font>
    <font>
      <b/>
      <sz val="11"/>
      <color indexed="8"/>
      <name val="Arial"/>
      <family val="2"/>
    </font>
  </fonts>
  <fills count="48">
    <fill>
      <patternFill patternType="none"/>
    </fill>
    <fill>
      <patternFill patternType="gray125"/>
    </fill>
    <fill>
      <patternFill patternType="lightGray">
        <fgColor indexed="13"/>
      </patternFill>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15"/>
      </patternFill>
    </fill>
    <fill>
      <patternFill patternType="solid">
        <fgColor theme="0" tint="-0.14999847407452621"/>
        <bgColor indexed="64"/>
      </patternFill>
    </fill>
    <fill>
      <patternFill patternType="solid">
        <fgColor rgb="FF99CCFF"/>
        <bgColor indexed="64"/>
      </patternFill>
    </fill>
    <fill>
      <patternFill patternType="solid">
        <fgColor theme="6" tint="0.79998168889431442"/>
        <bgColor rgb="FF00FFFF"/>
      </patternFill>
    </fill>
    <fill>
      <patternFill patternType="solid">
        <fgColor theme="0"/>
        <bgColor rgb="FF00FFFF"/>
      </patternFill>
    </fill>
    <fill>
      <patternFill patternType="solid">
        <fgColor rgb="FF99CCFF"/>
        <bgColor rgb="FF00FFFF"/>
      </patternFill>
    </fill>
    <fill>
      <patternFill patternType="solid">
        <fgColor indexed="20"/>
        <bgColor indexed="64"/>
      </patternFill>
    </fill>
    <fill>
      <patternFill patternType="solid">
        <fgColor rgb="FFFFFFCC"/>
      </patternFill>
    </fill>
  </fills>
  <borders count="51">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uble">
        <color rgb="FFFF000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rgb="FFFF0000"/>
      </bottom>
      <diagonal/>
    </border>
    <border>
      <left style="medium">
        <color indexed="64"/>
      </left>
      <right/>
      <top/>
      <bottom style="medium">
        <color rgb="FFFF0000"/>
      </bottom>
      <diagonal/>
    </border>
    <border>
      <left/>
      <right/>
      <top/>
      <bottom style="medium">
        <color rgb="FFFF0000"/>
      </bottom>
      <diagonal/>
    </border>
    <border>
      <left/>
      <right style="medium">
        <color indexed="64"/>
      </right>
      <top/>
      <bottom style="medium">
        <color rgb="FFFF0000"/>
      </bottom>
      <diagonal/>
    </border>
    <border>
      <left style="medium">
        <color indexed="64"/>
      </left>
      <right/>
      <top style="medium">
        <color rgb="FFFF0000"/>
      </top>
      <bottom/>
      <diagonal/>
    </border>
    <border>
      <left/>
      <right/>
      <top style="medium">
        <color rgb="FFFF0000"/>
      </top>
      <bottom/>
      <diagonal/>
    </border>
    <border>
      <left/>
      <right style="medium">
        <color indexed="64"/>
      </right>
      <top style="medium">
        <color rgb="FFFF0000"/>
      </top>
      <bottom/>
      <diagonal/>
    </border>
    <border>
      <left/>
      <right/>
      <top style="thick">
        <color auto="1"/>
      </top>
      <bottom/>
      <diagonal/>
    </border>
    <border>
      <left/>
      <right style="double">
        <color theme="6"/>
      </right>
      <top/>
      <bottom/>
      <diagonal/>
    </border>
    <border>
      <left style="thin">
        <color rgb="FFB2B2B2"/>
      </left>
      <right style="thin">
        <color rgb="FFB2B2B2"/>
      </right>
      <top style="thin">
        <color rgb="FFB2B2B2"/>
      </top>
      <bottom style="thin">
        <color rgb="FFB2B2B2"/>
      </bottom>
      <diagonal/>
    </border>
  </borders>
  <cellStyleXfs count="724">
    <xf numFmtId="0" fontId="0" fillId="0" borderId="0"/>
    <xf numFmtId="43" fontId="7" fillId="0" borderId="0" applyFont="0" applyFill="0" applyBorder="0" applyAlignment="0" applyProtection="0"/>
    <xf numFmtId="41" fontId="7" fillId="0" borderId="0" applyFont="0" applyFill="0" applyBorder="0" applyAlignment="0" applyProtection="0"/>
    <xf numFmtId="0" fontId="7" fillId="0" borderId="19" applyNumberFormat="0" applyFont="0" applyFill="0" applyAlignment="0" applyProtection="0"/>
    <xf numFmtId="164" fontId="21" fillId="0" borderId="0" applyNumberFormat="0" applyFill="0" applyBorder="0" applyAlignment="0">
      <alignment horizontal="left"/>
    </xf>
    <xf numFmtId="0" fontId="8" fillId="0" borderId="0" applyNumberFormat="0" applyFill="0" applyBorder="0" applyAlignment="0"/>
    <xf numFmtId="4" fontId="7" fillId="4" borderId="0" applyBorder="0" applyAlignment="0">
      <alignment horizontal="right"/>
      <protection locked="0"/>
    </xf>
    <xf numFmtId="165" fontId="7" fillId="4" borderId="0" applyBorder="0" applyAlignment="0">
      <alignment horizontal="right"/>
      <protection locked="0"/>
    </xf>
    <xf numFmtId="3" fontId="10" fillId="0" borderId="0" applyNumberFormat="0" applyFill="0" applyBorder="0" applyAlignment="0" applyProtection="0">
      <protection locked="0"/>
    </xf>
    <xf numFmtId="41" fontId="11" fillId="5" borderId="0" applyNumberFormat="0" applyBorder="0" applyAlignment="0"/>
    <xf numFmtId="0" fontId="12" fillId="0" borderId="0" applyNumberFormat="0" applyFill="0" applyBorder="0" applyAlignment="0" applyProtection="0"/>
    <xf numFmtId="0" fontId="18" fillId="0" borderId="0" applyNumberFormat="0" applyFill="0" applyBorder="0" applyAlignment="0" applyProtection="0"/>
    <xf numFmtId="166" fontId="7" fillId="2" borderId="0" applyBorder="0" applyAlignment="0">
      <alignment horizontal="right"/>
      <protection locked="0"/>
    </xf>
    <xf numFmtId="165" fontId="7" fillId="3" borderId="0" applyBorder="0" applyAlignment="0">
      <protection locked="0"/>
    </xf>
    <xf numFmtId="0" fontId="19" fillId="7" borderId="0" applyNumberFormat="0" applyBorder="0" applyAlignment="0" applyProtection="0"/>
    <xf numFmtId="165" fontId="7" fillId="2" borderId="0" applyBorder="0" applyAlignment="0">
      <alignment horizontal="left"/>
      <protection locked="0"/>
    </xf>
    <xf numFmtId="166" fontId="7" fillId="3" borderId="1" applyBorder="0" applyAlignment="0">
      <alignment horizontal="right"/>
      <protection locked="0"/>
    </xf>
    <xf numFmtId="9" fontId="7" fillId="0" borderId="0" applyFont="0" applyFill="0" applyBorder="0" applyAlignment="0" applyProtection="0"/>
    <xf numFmtId="44" fontId="7" fillId="0" borderId="0" applyFont="0" applyFill="0" applyBorder="0" applyAlignment="0" applyProtection="0"/>
    <xf numFmtId="0" fontId="32" fillId="0" borderId="22" applyNumberFormat="0" applyFill="0" applyAlignment="0" applyProtection="0"/>
    <xf numFmtId="0" fontId="33" fillId="0" borderId="23" applyNumberFormat="0" applyFill="0" applyAlignment="0" applyProtection="0"/>
    <xf numFmtId="0" fontId="34" fillId="0" borderId="24" applyNumberFormat="0" applyFill="0" applyAlignment="0" applyProtection="0"/>
    <xf numFmtId="0" fontId="34" fillId="0" borderId="0" applyNumberFormat="0" applyFill="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0" applyNumberFormat="0" applyBorder="0" applyAlignment="0" applyProtection="0"/>
    <xf numFmtId="0" fontId="38" fillId="12" borderId="25" applyNumberFormat="0" applyAlignment="0" applyProtection="0"/>
    <xf numFmtId="0" fontId="39" fillId="13" borderId="26" applyNumberFormat="0" applyAlignment="0" applyProtection="0"/>
    <xf numFmtId="0" fontId="40" fillId="13" borderId="25" applyNumberFormat="0" applyAlignment="0" applyProtection="0"/>
    <xf numFmtId="0" fontId="41" fillId="0" borderId="27" applyNumberFormat="0" applyFill="0" applyAlignment="0" applyProtection="0"/>
    <xf numFmtId="0" fontId="42" fillId="14" borderId="28"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22" fillId="0" borderId="29" applyNumberFormat="0" applyFill="0" applyAlignment="0" applyProtection="0"/>
    <xf numFmtId="0" fontId="45"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5" fillId="38" borderId="0" applyNumberFormat="0" applyBorder="0" applyAlignment="0" applyProtection="0"/>
    <xf numFmtId="0" fontId="18" fillId="0" borderId="0" applyNumberFormat="0" applyFill="0" applyBorder="0" applyAlignment="0" applyProtection="0"/>
    <xf numFmtId="0" fontId="77" fillId="0" borderId="0"/>
    <xf numFmtId="41" fontId="7" fillId="4" borderId="0" applyBorder="0" applyAlignment="0">
      <alignment horizontal="right"/>
      <protection locked="0"/>
    </xf>
    <xf numFmtId="9" fontId="6" fillId="0" borderId="0" applyFont="0" applyFill="0" applyBorder="0" applyAlignment="0" applyProtection="0"/>
    <xf numFmtId="9" fontId="6" fillId="0" borderId="0" applyFont="0" applyFill="0" applyBorder="0" applyAlignment="0" applyProtection="0"/>
    <xf numFmtId="10" fontId="7" fillId="4" borderId="0" applyBorder="0">
      <alignment horizontal="right"/>
      <protection locked="0"/>
    </xf>
    <xf numFmtId="43" fontId="7" fillId="0" borderId="0" applyFont="0" applyFill="0" applyBorder="0" applyAlignment="0" applyProtection="0"/>
    <xf numFmtId="0" fontId="7" fillId="0" borderId="49"/>
    <xf numFmtId="164" fontId="69" fillId="0" borderId="0">
      <alignment horizontal="left"/>
    </xf>
    <xf numFmtId="0" fontId="8" fillId="0" borderId="0"/>
    <xf numFmtId="41" fontId="7" fillId="2" borderId="0">
      <alignment horizontal="left"/>
      <protection locked="0"/>
    </xf>
    <xf numFmtId="165" fontId="7" fillId="2" borderId="0">
      <alignment horizontal="right"/>
      <protection locked="0"/>
    </xf>
    <xf numFmtId="0" fontId="17" fillId="0" borderId="0" applyNumberFormat="0" applyFill="0" applyBorder="0" applyAlignment="0"/>
    <xf numFmtId="0" fontId="78" fillId="0" borderId="0" applyNumberFormat="0" applyFill="0" applyBorder="0" applyAlignment="0"/>
    <xf numFmtId="0" fontId="15" fillId="0" borderId="13" applyNumberFormat="0" applyFill="0" applyBorder="0" applyAlignment="0"/>
    <xf numFmtId="41" fontId="9" fillId="3" borderId="1" applyNumberFormat="0" applyFont="0" applyBorder="0" applyAlignment="0">
      <alignment horizontal="right"/>
      <protection locked="0"/>
    </xf>
    <xf numFmtId="165" fontId="9" fillId="3" borderId="0" applyFont="0" applyBorder="0" applyAlignment="0">
      <protection locked="0"/>
    </xf>
    <xf numFmtId="41" fontId="7" fillId="4" borderId="0" applyBorder="0" applyAlignment="0">
      <alignment horizontal="right"/>
      <protection locked="0"/>
    </xf>
    <xf numFmtId="3" fontId="79" fillId="0" borderId="0">
      <protection locked="0"/>
    </xf>
    <xf numFmtId="165" fontId="79" fillId="0" borderId="0">
      <protection locked="0"/>
    </xf>
    <xf numFmtId="41" fontId="11" fillId="5" borderId="0"/>
    <xf numFmtId="41" fontId="13" fillId="0" borderId="17" applyBorder="0" applyProtection="0"/>
    <xf numFmtId="0" fontId="80" fillId="0" borderId="0"/>
    <xf numFmtId="0" fontId="11" fillId="46" borderId="0" applyNumberFormat="0" applyAlignment="0"/>
    <xf numFmtId="0" fontId="9" fillId="0" borderId="0"/>
    <xf numFmtId="0" fontId="6" fillId="0" borderId="0"/>
    <xf numFmtId="9" fontId="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1" fillId="0" borderId="0"/>
    <xf numFmtId="9" fontId="99" fillId="0" borderId="0" applyFont="0" applyBorder="0" applyAlignment="0" applyProtection="0"/>
    <xf numFmtId="0" fontId="5" fillId="0" borderId="0"/>
    <xf numFmtId="0" fontId="5" fillId="0" borderId="0"/>
    <xf numFmtId="0" fontId="9" fillId="0" borderId="0"/>
    <xf numFmtId="0" fontId="93" fillId="0" borderId="0" applyNumberFormat="0" applyFill="0" applyBorder="0" applyAlignment="0" applyProtection="0">
      <alignment vertical="top"/>
      <protection locked="0"/>
    </xf>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7" fillId="0" borderId="0" applyNumberFormat="0" applyFill="0" applyBorder="0" applyAlignment="0" applyProtection="0"/>
    <xf numFmtId="0" fontId="4" fillId="0" borderId="0"/>
    <xf numFmtId="0" fontId="4" fillId="47" borderId="50"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11" fillId="5" borderId="0" applyNumberFormat="0" applyBorder="0" applyAlignment="0"/>
    <xf numFmtId="9" fontId="99" fillId="0" borderId="0" applyFont="0" applyBorder="0" applyAlignment="0" applyProtection="0"/>
    <xf numFmtId="9" fontId="99" fillId="0" borderId="0" applyFon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1379">
    <xf numFmtId="0" fontId="0" fillId="0" borderId="0" xfId="0"/>
    <xf numFmtId="0" fontId="15" fillId="0" borderId="0" xfId="0" applyFont="1"/>
    <xf numFmtId="0" fontId="0" fillId="6" borderId="0" xfId="0" applyFont="1" applyFill="1"/>
    <xf numFmtId="0" fontId="7" fillId="6" borderId="0" xfId="0" applyFont="1" applyFill="1"/>
    <xf numFmtId="0" fontId="7" fillId="0" borderId="0" xfId="0" applyFont="1"/>
    <xf numFmtId="0" fontId="16" fillId="6" borderId="0" xfId="0" applyFont="1" applyFill="1"/>
    <xf numFmtId="0" fontId="0" fillId="0" borderId="2" xfId="0" applyFont="1" applyBorder="1" applyAlignment="1">
      <alignment wrapText="1"/>
    </xf>
    <xf numFmtId="0" fontId="0" fillId="0" borderId="1" xfId="0" applyFont="1" applyBorder="1" applyAlignment="1">
      <alignment wrapText="1"/>
    </xf>
    <xf numFmtId="0" fontId="0" fillId="0" borderId="0" xfId="0" applyFont="1" applyAlignment="1"/>
    <xf numFmtId="0" fontId="0" fillId="0" borderId="0" xfId="0" applyFont="1" applyBorder="1"/>
    <xf numFmtId="0" fontId="16" fillId="0" borderId="0" xfId="0" applyFont="1"/>
    <xf numFmtId="0" fontId="0" fillId="0" borderId="15" xfId="0" applyBorder="1"/>
    <xf numFmtId="0" fontId="16" fillId="0" borderId="15" xfId="0" applyFont="1" applyFill="1" applyBorder="1"/>
    <xf numFmtId="0" fontId="16" fillId="0" borderId="0" xfId="0" applyFont="1" applyFill="1"/>
    <xf numFmtId="0" fontId="0" fillId="0" borderId="13" xfId="0" applyBorder="1"/>
    <xf numFmtId="0" fontId="0" fillId="0" borderId="14" xfId="0" applyBorder="1"/>
    <xf numFmtId="170" fontId="0" fillId="0" borderId="0" xfId="0" applyNumberFormat="1" applyFont="1"/>
    <xf numFmtId="0" fontId="23" fillId="0" borderId="0" xfId="0" applyFont="1"/>
    <xf numFmtId="0" fontId="24" fillId="0" borderId="0" xfId="0" applyFont="1"/>
    <xf numFmtId="0" fontId="24" fillId="0" borderId="0" xfId="0" applyFont="1" applyFill="1"/>
    <xf numFmtId="0" fontId="25" fillId="0" borderId="0" xfId="0" applyFont="1" applyBorder="1"/>
    <xf numFmtId="0" fontId="25" fillId="0" borderId="13" xfId="0" applyFont="1" applyBorder="1"/>
    <xf numFmtId="0" fontId="0" fillId="0" borderId="15" xfId="0" applyFont="1" applyBorder="1"/>
    <xf numFmtId="0" fontId="0" fillId="0" borderId="17" xfId="0" applyFont="1" applyBorder="1"/>
    <xf numFmtId="0" fontId="0" fillId="0" borderId="17" xfId="0" applyBorder="1"/>
    <xf numFmtId="0" fontId="23" fillId="0" borderId="15" xfId="0" applyFont="1" applyBorder="1"/>
    <xf numFmtId="43" fontId="0" fillId="0" borderId="16" xfId="1" applyFont="1" applyFill="1" applyBorder="1"/>
    <xf numFmtId="0" fontId="0" fillId="0" borderId="0" xfId="0" applyAlignment="1">
      <alignment wrapText="1"/>
    </xf>
    <xf numFmtId="0" fontId="0" fillId="0" borderId="0" xfId="0" applyFont="1" applyFill="1"/>
    <xf numFmtId="0" fontId="0" fillId="0" borderId="0" xfId="0" applyFont="1" applyFill="1" applyAlignment="1">
      <alignment horizontal="left" wrapText="1"/>
    </xf>
    <xf numFmtId="0" fontId="0" fillId="0" borderId="2" xfId="0" applyFont="1" applyFill="1" applyBorder="1"/>
    <xf numFmtId="168" fontId="0" fillId="0" borderId="0" xfId="1" applyNumberFormat="1" applyFont="1" applyFill="1" applyBorder="1"/>
    <xf numFmtId="0" fontId="0" fillId="0" borderId="0" xfId="0" applyFont="1" applyFill="1" applyBorder="1"/>
    <xf numFmtId="0" fontId="0" fillId="0" borderId="16" xfId="0" applyFont="1" applyFill="1" applyBorder="1"/>
    <xf numFmtId="0" fontId="0" fillId="0" borderId="17" xfId="0" applyFont="1" applyFill="1" applyBorder="1"/>
    <xf numFmtId="17" fontId="0" fillId="0" borderId="0" xfId="0" applyNumberFormat="1" applyFont="1" applyFill="1" applyBorder="1"/>
    <xf numFmtId="0" fontId="0" fillId="0" borderId="0" xfId="0" applyBorder="1"/>
    <xf numFmtId="0" fontId="26" fillId="0" borderId="13" xfId="0" applyFont="1" applyBorder="1" applyAlignment="1">
      <alignment wrapText="1"/>
    </xf>
    <xf numFmtId="0" fontId="26" fillId="0" borderId="14" xfId="0" applyFont="1" applyBorder="1" applyAlignment="1">
      <alignment wrapText="1"/>
    </xf>
    <xf numFmtId="0" fontId="26" fillId="0" borderId="2" xfId="0" applyFont="1" applyBorder="1" applyAlignment="1">
      <alignment wrapText="1"/>
    </xf>
    <xf numFmtId="0" fontId="26" fillId="0" borderId="15" xfId="0" applyFont="1" applyBorder="1" applyAlignment="1">
      <alignment wrapText="1"/>
    </xf>
    <xf numFmtId="0" fontId="26" fillId="0" borderId="16" xfId="0" applyFont="1" applyBorder="1" applyAlignment="1">
      <alignment wrapText="1"/>
    </xf>
    <xf numFmtId="0" fontId="26" fillId="0" borderId="0" xfId="0" applyFont="1" applyBorder="1" applyAlignment="1">
      <alignment wrapText="1"/>
    </xf>
    <xf numFmtId="0" fontId="26" fillId="0" borderId="17" xfId="0" applyFont="1" applyBorder="1" applyAlignment="1">
      <alignment wrapText="1"/>
    </xf>
    <xf numFmtId="0" fontId="26" fillId="0" borderId="1" xfId="0" applyFont="1" applyBorder="1" applyAlignment="1">
      <alignment wrapText="1"/>
    </xf>
    <xf numFmtId="0" fontId="26" fillId="0" borderId="18" xfId="0" applyFont="1" applyBorder="1" applyAlignment="1">
      <alignment wrapText="1"/>
    </xf>
    <xf numFmtId="9" fontId="0" fillId="0" borderId="0" xfId="17" applyFont="1" applyBorder="1"/>
    <xf numFmtId="0" fontId="0" fillId="0" borderId="16" xfId="0" applyFont="1" applyBorder="1"/>
    <xf numFmtId="0" fontId="16" fillId="0" borderId="17" xfId="0" applyFont="1" applyBorder="1"/>
    <xf numFmtId="0" fontId="0" fillId="0" borderId="18" xfId="0" applyFont="1" applyBorder="1"/>
    <xf numFmtId="0" fontId="0" fillId="0" borderId="16" xfId="0" applyFont="1" applyBorder="1" applyAlignment="1">
      <alignment vertical="top" wrapText="1"/>
    </xf>
    <xf numFmtId="0" fontId="0" fillId="0" borderId="14" xfId="0" applyFont="1" applyBorder="1"/>
    <xf numFmtId="0" fontId="0" fillId="0" borderId="1" xfId="0" applyFont="1" applyBorder="1" applyAlignment="1">
      <alignment vertical="top" wrapText="1"/>
    </xf>
    <xf numFmtId="0" fontId="29" fillId="0" borderId="0" xfId="0" applyFont="1" applyBorder="1" applyAlignment="1">
      <alignment wrapText="1"/>
    </xf>
    <xf numFmtId="0" fontId="29" fillId="0" borderId="14" xfId="0" applyFont="1" applyBorder="1" applyAlignment="1">
      <alignment wrapText="1"/>
    </xf>
    <xf numFmtId="0" fontId="29" fillId="0" borderId="16" xfId="0" applyFont="1" applyBorder="1" applyAlignment="1">
      <alignment wrapText="1"/>
    </xf>
    <xf numFmtId="0" fontId="0" fillId="0" borderId="16" xfId="0" applyFont="1" applyBorder="1" applyAlignment="1">
      <alignment wrapText="1"/>
    </xf>
    <xf numFmtId="0" fontId="0" fillId="0" borderId="18" xfId="0" applyFont="1" applyBorder="1" applyAlignment="1">
      <alignment wrapText="1"/>
    </xf>
    <xf numFmtId="0" fontId="7" fillId="0" borderId="2" xfId="0" applyFont="1" applyBorder="1"/>
    <xf numFmtId="0" fontId="7" fillId="0" borderId="17" xfId="0" applyFont="1" applyBorder="1"/>
    <xf numFmtId="0" fontId="7" fillId="0" borderId="1" xfId="0" applyFont="1" applyBorder="1"/>
    <xf numFmtId="0" fontId="28" fillId="0" borderId="0" xfId="0" applyFont="1" applyBorder="1"/>
    <xf numFmtId="0" fontId="28" fillId="0" borderId="0" xfId="0" applyFont="1" applyFill="1" applyBorder="1"/>
    <xf numFmtId="0" fontId="7" fillId="0" borderId="13" xfId="0" applyFont="1" applyBorder="1"/>
    <xf numFmtId="174" fontId="28" fillId="0" borderId="0" xfId="0" applyNumberFormat="1" applyFont="1" applyFill="1" applyBorder="1"/>
    <xf numFmtId="0" fontId="0" fillId="0" borderId="2" xfId="0" applyFont="1" applyBorder="1"/>
    <xf numFmtId="0" fontId="25" fillId="0" borderId="17" xfId="0" applyFont="1" applyBorder="1"/>
    <xf numFmtId="165" fontId="0" fillId="0" borderId="0" xfId="0" applyNumberFormat="1" applyFont="1"/>
    <xf numFmtId="9" fontId="0" fillId="6" borderId="0" xfId="17" applyFont="1" applyFill="1"/>
    <xf numFmtId="0" fontId="0" fillId="0" borderId="14" xfId="0" applyFont="1" applyBorder="1" applyAlignment="1">
      <alignment wrapText="1"/>
    </xf>
    <xf numFmtId="0" fontId="0" fillId="0" borderId="0" xfId="0" applyFont="1" applyFill="1" applyAlignment="1">
      <alignment wrapText="1"/>
    </xf>
    <xf numFmtId="0" fontId="9" fillId="0" borderId="0" xfId="0" applyFont="1" applyFill="1"/>
    <xf numFmtId="0" fontId="17" fillId="0" borderId="0" xfId="0" applyFont="1" applyFill="1" applyBorder="1"/>
    <xf numFmtId="0" fontId="47" fillId="0" borderId="0" xfId="0" applyFont="1"/>
    <xf numFmtId="0" fontId="0" fillId="8" borderId="0" xfId="0" applyFont="1" applyFill="1"/>
    <xf numFmtId="0" fontId="26" fillId="0" borderId="0" xfId="0" applyFont="1" applyFill="1" applyBorder="1" applyAlignment="1"/>
    <xf numFmtId="0" fontId="29" fillId="0" borderId="0" xfId="0" applyFont="1" applyFill="1"/>
    <xf numFmtId="0" fontId="17" fillId="0" borderId="1" xfId="0" applyFont="1" applyBorder="1"/>
    <xf numFmtId="0" fontId="20" fillId="0" borderId="1" xfId="0" applyFont="1" applyFill="1" applyBorder="1" applyAlignment="1"/>
    <xf numFmtId="0" fontId="0" fillId="0" borderId="1" xfId="0" applyFont="1" applyFill="1" applyBorder="1"/>
    <xf numFmtId="0" fontId="0" fillId="0" borderId="1" xfId="0" applyFont="1" applyFill="1" applyBorder="1" applyAlignment="1">
      <alignment wrapText="1"/>
    </xf>
    <xf numFmtId="0" fontId="9" fillId="0" borderId="1" xfId="0" applyFont="1" applyFill="1" applyBorder="1"/>
    <xf numFmtId="0" fontId="48" fillId="0" borderId="0" xfId="0" applyFont="1"/>
    <xf numFmtId="0" fontId="48" fillId="0" borderId="0" xfId="0" applyFont="1" applyFill="1"/>
    <xf numFmtId="0" fontId="9" fillId="8" borderId="0" xfId="0" applyFont="1" applyFill="1"/>
    <xf numFmtId="17" fontId="0" fillId="8" borderId="0" xfId="0" applyNumberFormat="1" applyFont="1" applyFill="1"/>
    <xf numFmtId="0" fontId="49" fillId="39" borderId="0" xfId="0" applyFont="1" applyFill="1" applyAlignment="1">
      <alignment horizontal="left"/>
    </xf>
    <xf numFmtId="0" fontId="13" fillId="39" borderId="30" xfId="0" applyFont="1" applyFill="1" applyBorder="1" applyAlignment="1">
      <alignment horizontal="left" vertical="top" wrapText="1"/>
    </xf>
    <xf numFmtId="49" fontId="13" fillId="0" borderId="30" xfId="0" applyNumberFormat="1" applyFont="1" applyFill="1" applyBorder="1" applyAlignment="1">
      <alignment horizontal="left" vertical="center" wrapText="1"/>
    </xf>
    <xf numFmtId="0" fontId="50" fillId="39" borderId="0" xfId="0" applyFont="1" applyFill="1"/>
    <xf numFmtId="0" fontId="49" fillId="39" borderId="0" xfId="0" applyFont="1" applyFill="1" applyAlignment="1">
      <alignment horizontal="left" vertical="center"/>
    </xf>
    <xf numFmtId="0" fontId="13" fillId="39" borderId="32" xfId="0" applyFont="1" applyFill="1" applyBorder="1" applyAlignment="1">
      <alignment horizontal="left" vertical="center" wrapText="1"/>
    </xf>
    <xf numFmtId="0" fontId="9" fillId="39" borderId="32" xfId="0" applyFont="1" applyFill="1" applyBorder="1" applyAlignment="1">
      <alignment horizontal="left" vertical="center" wrapText="1"/>
    </xf>
    <xf numFmtId="0" fontId="13" fillId="39" borderId="30" xfId="0" applyFont="1" applyFill="1" applyBorder="1" applyAlignment="1">
      <alignment horizontal="left" vertical="center" wrapText="1"/>
    </xf>
    <xf numFmtId="0" fontId="9" fillId="39" borderId="30" xfId="0" applyFont="1" applyFill="1" applyBorder="1" applyAlignment="1">
      <alignment horizontal="left" vertical="center" wrapText="1"/>
    </xf>
    <xf numFmtId="0" fontId="13" fillId="39" borderId="31" xfId="0" quotePrefix="1" applyFont="1" applyFill="1" applyBorder="1" applyAlignment="1">
      <alignment horizontal="left" vertical="center"/>
    </xf>
    <xf numFmtId="0" fontId="13" fillId="39" borderId="31" xfId="0" quotePrefix="1" applyFont="1" applyFill="1" applyBorder="1" applyAlignment="1">
      <alignment horizontal="left" vertical="center" wrapText="1"/>
    </xf>
    <xf numFmtId="0" fontId="9" fillId="39" borderId="31" xfId="0" applyFont="1" applyFill="1" applyBorder="1" applyAlignment="1">
      <alignment horizontal="left" vertical="center" wrapText="1"/>
    </xf>
    <xf numFmtId="0" fontId="13" fillId="39" borderId="0" xfId="0" applyFont="1" applyFill="1" applyBorder="1" applyAlignment="1">
      <alignment horizontal="left" vertical="top" wrapText="1"/>
    </xf>
    <xf numFmtId="49" fontId="9" fillId="0" borderId="0" xfId="0" applyNumberFormat="1" applyFont="1" applyFill="1" applyBorder="1" applyAlignment="1">
      <alignment horizontal="left" vertical="center" wrapText="1"/>
    </xf>
    <xf numFmtId="0" fontId="26" fillId="8" borderId="0" xfId="0" applyFont="1" applyFill="1" applyBorder="1" applyAlignment="1">
      <alignment horizontal="left" vertical="top"/>
    </xf>
    <xf numFmtId="0" fontId="20" fillId="0" borderId="8" xfId="0" applyFont="1" applyBorder="1" applyAlignment="1">
      <alignment horizontal="center"/>
    </xf>
    <xf numFmtId="0" fontId="20" fillId="0" borderId="10" xfId="0" applyFont="1" applyBorder="1" applyAlignment="1">
      <alignment horizontal="center"/>
    </xf>
    <xf numFmtId="0" fontId="52" fillId="0" borderId="33" xfId="0" applyFont="1" applyBorder="1"/>
    <xf numFmtId="179" fontId="53" fillId="0" borderId="9" xfId="0" applyNumberFormat="1" applyFont="1" applyBorder="1" applyAlignment="1"/>
    <xf numFmtId="179" fontId="53" fillId="0" borderId="8" xfId="0" applyNumberFormat="1" applyFont="1" applyBorder="1" applyAlignment="1"/>
    <xf numFmtId="179" fontId="53" fillId="0" borderId="10" xfId="0" applyNumberFormat="1" applyFont="1" applyBorder="1" applyAlignment="1"/>
    <xf numFmtId="0" fontId="53" fillId="0" borderId="0" xfId="0" applyFont="1" applyBorder="1"/>
    <xf numFmtId="179" fontId="53" fillId="0" borderId="39" xfId="0" applyNumberFormat="1" applyFont="1" applyBorder="1" applyAlignment="1"/>
    <xf numFmtId="179" fontId="53" fillId="0" borderId="0" xfId="0" applyNumberFormat="1" applyFont="1" applyBorder="1" applyAlignment="1"/>
    <xf numFmtId="179" fontId="53" fillId="0" borderId="40" xfId="0" applyNumberFormat="1" applyFont="1" applyBorder="1" applyAlignment="1"/>
    <xf numFmtId="165" fontId="53" fillId="5" borderId="0" xfId="0" applyNumberFormat="1" applyFont="1" applyFill="1" applyBorder="1"/>
    <xf numFmtId="165" fontId="54" fillId="6" borderId="39" xfId="0" applyNumberFormat="1" applyFont="1" applyFill="1" applyBorder="1"/>
    <xf numFmtId="165" fontId="54" fillId="6" borderId="0" xfId="0" applyNumberFormat="1" applyFont="1" applyFill="1" applyBorder="1"/>
    <xf numFmtId="165" fontId="54" fillId="40" borderId="40" xfId="0" applyNumberFormat="1" applyFont="1" applyFill="1" applyBorder="1"/>
    <xf numFmtId="165" fontId="54" fillId="40" borderId="39" xfId="0" applyNumberFormat="1" applyFont="1" applyFill="1" applyBorder="1"/>
    <xf numFmtId="165" fontId="54" fillId="40" borderId="0" xfId="0" applyNumberFormat="1" applyFont="1" applyFill="1" applyBorder="1"/>
    <xf numFmtId="179" fontId="53" fillId="0" borderId="42" xfId="0" applyNumberFormat="1" applyFont="1" applyBorder="1" applyAlignment="1"/>
    <xf numFmtId="179" fontId="53" fillId="0" borderId="43" xfId="0" applyNumberFormat="1" applyFont="1" applyBorder="1" applyAlignment="1"/>
    <xf numFmtId="179" fontId="53" fillId="0" borderId="44" xfId="0" applyNumberFormat="1" applyFont="1" applyBorder="1" applyAlignment="1"/>
    <xf numFmtId="165" fontId="53" fillId="5" borderId="43" xfId="0" applyNumberFormat="1" applyFont="1" applyFill="1" applyBorder="1"/>
    <xf numFmtId="165" fontId="54" fillId="40" borderId="45" xfId="0" applyNumberFormat="1" applyFont="1" applyFill="1" applyBorder="1"/>
    <xf numFmtId="165" fontId="54" fillId="40" borderId="46" xfId="0" applyNumberFormat="1" applyFont="1" applyFill="1" applyBorder="1"/>
    <xf numFmtId="165" fontId="54" fillId="40" borderId="47" xfId="0" applyNumberFormat="1" applyFont="1" applyFill="1" applyBorder="1"/>
    <xf numFmtId="179" fontId="16" fillId="0" borderId="39" xfId="0" applyNumberFormat="1" applyFont="1" applyBorder="1" applyAlignment="1"/>
    <xf numFmtId="179" fontId="16" fillId="0" borderId="0" xfId="0" applyNumberFormat="1" applyFont="1" applyBorder="1" applyAlignment="1"/>
    <xf numFmtId="179" fontId="16" fillId="0" borderId="40" xfId="0" applyNumberFormat="1" applyFont="1" applyBorder="1" applyAlignment="1"/>
    <xf numFmtId="165" fontId="55" fillId="5" borderId="39" xfId="0" applyNumberFormat="1" applyFont="1" applyFill="1" applyBorder="1"/>
    <xf numFmtId="165" fontId="11" fillId="5" borderId="0" xfId="0" applyNumberFormat="1" applyFont="1" applyFill="1" applyBorder="1"/>
    <xf numFmtId="165" fontId="46" fillId="40" borderId="39" xfId="0" applyNumberFormat="1" applyFont="1" applyFill="1" applyBorder="1"/>
    <xf numFmtId="165" fontId="46" fillId="40" borderId="0" xfId="0" applyNumberFormat="1" applyFont="1" applyFill="1" applyBorder="1"/>
    <xf numFmtId="165" fontId="46" fillId="40" borderId="40" xfId="0" applyNumberFormat="1" applyFont="1" applyFill="1" applyBorder="1"/>
    <xf numFmtId="165" fontId="55" fillId="5" borderId="0" xfId="0" applyNumberFormat="1" applyFont="1" applyFill="1" applyBorder="1"/>
    <xf numFmtId="165" fontId="56" fillId="40" borderId="39" xfId="0" applyNumberFormat="1" applyFont="1" applyFill="1" applyBorder="1"/>
    <xf numFmtId="165" fontId="56" fillId="40" borderId="0" xfId="0" applyNumberFormat="1" applyFont="1" applyFill="1" applyBorder="1"/>
    <xf numFmtId="165" fontId="56" fillId="40" borderId="40" xfId="0" applyNumberFormat="1" applyFont="1" applyFill="1" applyBorder="1"/>
    <xf numFmtId="10" fontId="13" fillId="0" borderId="48" xfId="0" applyNumberFormat="1" applyFont="1" applyBorder="1"/>
    <xf numFmtId="0" fontId="13" fillId="0" borderId="48" xfId="0" applyNumberFormat="1" applyFont="1" applyBorder="1"/>
    <xf numFmtId="10" fontId="13" fillId="0" borderId="0" xfId="0" applyNumberFormat="1" applyFont="1" applyBorder="1"/>
    <xf numFmtId="165" fontId="13" fillId="0" borderId="0" xfId="0" applyNumberFormat="1" applyFont="1" applyBorder="1"/>
    <xf numFmtId="0" fontId="13" fillId="0" borderId="0" xfId="0" applyNumberFormat="1" applyFont="1" applyBorder="1"/>
    <xf numFmtId="0" fontId="53" fillId="0" borderId="9" xfId="0" applyFont="1" applyBorder="1"/>
    <xf numFmtId="0" fontId="53" fillId="0" borderId="8" xfId="0" applyFont="1" applyBorder="1"/>
    <xf numFmtId="0" fontId="53" fillId="0" borderId="10" xfId="0" applyFont="1" applyBorder="1"/>
    <xf numFmtId="165" fontId="53" fillId="5" borderId="39" xfId="0" applyNumberFormat="1" applyFont="1" applyFill="1" applyBorder="1"/>
    <xf numFmtId="165" fontId="53" fillId="5" borderId="40" xfId="0" applyNumberFormat="1" applyFont="1" applyFill="1" applyBorder="1"/>
    <xf numFmtId="165" fontId="53" fillId="5" borderId="42" xfId="0" applyNumberFormat="1" applyFont="1" applyFill="1" applyBorder="1"/>
    <xf numFmtId="165" fontId="53" fillId="5" borderId="44" xfId="0" applyNumberFormat="1" applyFont="1" applyFill="1" applyBorder="1"/>
    <xf numFmtId="165" fontId="54" fillId="40" borderId="43" xfId="0" applyNumberFormat="1" applyFont="1" applyFill="1" applyBorder="1"/>
    <xf numFmtId="165" fontId="54" fillId="40" borderId="44" xfId="0" applyNumberFormat="1" applyFont="1" applyFill="1" applyBorder="1"/>
    <xf numFmtId="165" fontId="11" fillId="5" borderId="39" xfId="0" applyNumberFormat="1" applyFont="1" applyFill="1" applyBorder="1"/>
    <xf numFmtId="165" fontId="11" fillId="5" borderId="40" xfId="0" applyNumberFormat="1" applyFont="1" applyFill="1" applyBorder="1"/>
    <xf numFmtId="165" fontId="55" fillId="5" borderId="40" xfId="0" applyNumberFormat="1" applyFont="1" applyFill="1" applyBorder="1"/>
    <xf numFmtId="10" fontId="0" fillId="0" borderId="0" xfId="0" applyNumberFormat="1" applyFont="1"/>
    <xf numFmtId="0" fontId="16" fillId="41" borderId="0" xfId="0" applyFont="1" applyFill="1"/>
    <xf numFmtId="0" fontId="0" fillId="41" borderId="0" xfId="0" applyFont="1" applyFill="1"/>
    <xf numFmtId="4" fontId="16" fillId="0" borderId="0" xfId="0" applyNumberFormat="1" applyFont="1" applyFill="1"/>
    <xf numFmtId="4" fontId="16" fillId="0" borderId="0" xfId="0" applyNumberFormat="1" applyFont="1"/>
    <xf numFmtId="0" fontId="16" fillId="0" borderId="0" xfId="0" applyNumberFormat="1" applyFont="1"/>
    <xf numFmtId="0" fontId="16" fillId="0" borderId="15" xfId="0" applyFont="1" applyBorder="1"/>
    <xf numFmtId="0" fontId="16" fillId="0" borderId="15" xfId="0" applyFont="1" applyBorder="1" applyAlignment="1">
      <alignment wrapText="1"/>
    </xf>
    <xf numFmtId="0" fontId="26" fillId="0" borderId="13" xfId="0" applyFont="1" applyBorder="1" applyAlignment="1"/>
    <xf numFmtId="0" fontId="9" fillId="0" borderId="0" xfId="0" applyFont="1"/>
    <xf numFmtId="0" fontId="9" fillId="0" borderId="0" xfId="0" applyFont="1" applyFill="1" applyBorder="1"/>
    <xf numFmtId="0" fontId="9" fillId="0" borderId="16" xfId="0" applyFont="1" applyFill="1" applyBorder="1"/>
    <xf numFmtId="10" fontId="9" fillId="0" borderId="16" xfId="0" applyNumberFormat="1" applyFont="1" applyFill="1" applyBorder="1"/>
    <xf numFmtId="0" fontId="9" fillId="0" borderId="15" xfId="0" applyFont="1" applyFill="1" applyBorder="1"/>
    <xf numFmtId="0" fontId="9" fillId="0" borderId="16" xfId="0" applyFont="1" applyBorder="1"/>
    <xf numFmtId="0" fontId="9" fillId="0" borderId="15" xfId="0" applyFont="1" applyBorder="1"/>
    <xf numFmtId="0" fontId="0" fillId="0" borderId="15" xfId="0" applyFont="1" applyFill="1" applyBorder="1" applyAlignment="1">
      <alignment horizontal="left"/>
    </xf>
    <xf numFmtId="14" fontId="0" fillId="0" borderId="0" xfId="0" applyNumberFormat="1" applyFont="1" applyFill="1" applyBorder="1" applyAlignment="1">
      <alignment horizontal="center"/>
    </xf>
    <xf numFmtId="14" fontId="9" fillId="0" borderId="16" xfId="0" applyNumberFormat="1" applyFont="1" applyFill="1" applyBorder="1"/>
    <xf numFmtId="0" fontId="9" fillId="8" borderId="15" xfId="0" applyFont="1" applyFill="1" applyBorder="1"/>
    <xf numFmtId="0" fontId="9" fillId="8" borderId="16" xfId="0" applyFont="1" applyFill="1" applyBorder="1"/>
    <xf numFmtId="0" fontId="9" fillId="8" borderId="0" xfId="0" applyFont="1" applyFill="1" applyBorder="1"/>
    <xf numFmtId="0" fontId="0" fillId="8" borderId="0" xfId="0" applyFont="1" applyFill="1" applyBorder="1" applyAlignment="1">
      <alignment horizontal="center"/>
    </xf>
    <xf numFmtId="0" fontId="60" fillId="0" borderId="15" xfId="0" applyFont="1" applyBorder="1"/>
    <xf numFmtId="0" fontId="60" fillId="0" borderId="15" xfId="0" applyFont="1" applyFill="1" applyBorder="1"/>
    <xf numFmtId="0" fontId="60" fillId="8" borderId="15" xfId="0" applyFont="1" applyFill="1" applyBorder="1"/>
    <xf numFmtId="0" fontId="9" fillId="0" borderId="2" xfId="0" applyFont="1" applyFill="1" applyBorder="1"/>
    <xf numFmtId="1" fontId="16" fillId="0" borderId="0" xfId="0" applyNumberFormat="1" applyFont="1" applyFill="1" applyBorder="1" applyAlignment="1">
      <alignment horizontal="right"/>
    </xf>
    <xf numFmtId="1" fontId="16" fillId="0" borderId="16" xfId="0" applyNumberFormat="1" applyFont="1" applyFill="1" applyBorder="1" applyAlignment="1">
      <alignment horizontal="right"/>
    </xf>
    <xf numFmtId="1" fontId="16" fillId="0" borderId="2" xfId="0" applyNumberFormat="1" applyFont="1" applyFill="1" applyBorder="1" applyAlignment="1">
      <alignment horizontal="right"/>
    </xf>
    <xf numFmtId="0" fontId="62" fillId="6" borderId="15" xfId="0" applyFont="1" applyFill="1" applyBorder="1"/>
    <xf numFmtId="1" fontId="16" fillId="0" borderId="7" xfId="0" applyNumberFormat="1" applyFont="1" applyFill="1" applyBorder="1" applyAlignment="1">
      <alignment horizontal="right"/>
    </xf>
    <xf numFmtId="1" fontId="16" fillId="0" borderId="21" xfId="0" applyNumberFormat="1" applyFont="1" applyFill="1" applyBorder="1" applyAlignment="1">
      <alignment horizontal="right"/>
    </xf>
    <xf numFmtId="0" fontId="9" fillId="6" borderId="15" xfId="0" applyFont="1" applyFill="1" applyBorder="1"/>
    <xf numFmtId="0" fontId="9" fillId="6" borderId="0" xfId="0" applyFont="1" applyFill="1" applyBorder="1"/>
    <xf numFmtId="0" fontId="9" fillId="6" borderId="16" xfId="0" applyFont="1" applyFill="1" applyBorder="1"/>
    <xf numFmtId="0" fontId="16" fillId="8" borderId="0" xfId="0" applyFont="1" applyFill="1"/>
    <xf numFmtId="0" fontId="0" fillId="8" borderId="0" xfId="0" applyFont="1" applyFill="1" applyAlignment="1"/>
    <xf numFmtId="14" fontId="0" fillId="8" borderId="0" xfId="0" applyNumberFormat="1" applyFont="1" applyFill="1"/>
    <xf numFmtId="0" fontId="60" fillId="8" borderId="15" xfId="0" applyFont="1" applyFill="1" applyBorder="1" applyAlignment="1">
      <alignment wrapText="1"/>
    </xf>
    <xf numFmtId="0" fontId="9" fillId="8" borderId="0" xfId="0" applyFont="1" applyFill="1" applyBorder="1" applyAlignment="1">
      <alignment wrapText="1"/>
    </xf>
    <xf numFmtId="0" fontId="9" fillId="8" borderId="16" xfId="0" applyFont="1" applyFill="1" applyBorder="1" applyAlignment="1">
      <alignment wrapText="1"/>
    </xf>
    <xf numFmtId="0" fontId="0" fillId="8" borderId="15" xfId="0" applyFont="1" applyFill="1" applyBorder="1" applyAlignment="1">
      <alignment horizontal="left" wrapText="1"/>
    </xf>
    <xf numFmtId="14" fontId="9" fillId="8" borderId="16" xfId="0" applyNumberFormat="1" applyFont="1" applyFill="1" applyBorder="1" applyAlignment="1">
      <alignment wrapText="1"/>
    </xf>
    <xf numFmtId="14" fontId="0" fillId="8" borderId="0" xfId="0" applyNumberFormat="1" applyFont="1" applyFill="1" applyBorder="1" applyAlignment="1">
      <alignment horizontal="center" wrapText="1"/>
    </xf>
    <xf numFmtId="0" fontId="60" fillId="6" borderId="15" xfId="0" applyFont="1" applyFill="1" applyBorder="1"/>
    <xf numFmtId="0" fontId="64" fillId="0" borderId="15" xfId="0" applyFont="1" applyBorder="1"/>
    <xf numFmtId="0" fontId="9" fillId="0" borderId="0" xfId="0" applyFont="1" applyBorder="1"/>
    <xf numFmtId="14" fontId="9" fillId="0" borderId="0" xfId="0" applyNumberFormat="1" applyFont="1" applyFill="1" applyBorder="1"/>
    <xf numFmtId="14" fontId="9" fillId="8" borderId="0" xfId="0" applyNumberFormat="1" applyFont="1" applyFill="1" applyBorder="1" applyAlignment="1">
      <alignment wrapText="1"/>
    </xf>
    <xf numFmtId="1" fontId="16" fillId="0" borderId="15" xfId="0" applyNumberFormat="1" applyFont="1" applyFill="1" applyBorder="1" applyAlignment="1">
      <alignment horizontal="right"/>
    </xf>
    <xf numFmtId="14" fontId="9" fillId="0" borderId="15" xfId="0" applyNumberFormat="1" applyFont="1" applyFill="1" applyBorder="1"/>
    <xf numFmtId="0" fontId="9" fillId="8" borderId="15" xfId="0" applyFont="1" applyFill="1" applyBorder="1" applyAlignment="1">
      <alignment wrapText="1"/>
    </xf>
    <xf numFmtId="16" fontId="0" fillId="6" borderId="15" xfId="0" applyNumberFormat="1" applyFont="1" applyFill="1" applyBorder="1" applyAlignment="1">
      <alignment horizontal="center"/>
    </xf>
    <xf numFmtId="16" fontId="0" fillId="0" borderId="15" xfId="0" applyNumberFormat="1" applyFont="1" applyFill="1" applyBorder="1" applyAlignment="1">
      <alignment horizontal="center"/>
    </xf>
    <xf numFmtId="16" fontId="0" fillId="8" borderId="15" xfId="0" applyNumberFormat="1" applyFont="1" applyFill="1" applyBorder="1" applyAlignment="1">
      <alignment horizontal="center" wrapText="1"/>
    </xf>
    <xf numFmtId="14" fontId="0" fillId="8" borderId="15" xfId="0" applyNumberFormat="1" applyFont="1" applyFill="1" applyBorder="1" applyAlignment="1">
      <alignment horizontal="center" wrapText="1"/>
    </xf>
    <xf numFmtId="14" fontId="0" fillId="0" borderId="15" xfId="0" applyNumberFormat="1" applyFont="1" applyFill="1" applyBorder="1" applyAlignment="1">
      <alignment horizontal="center"/>
    </xf>
    <xf numFmtId="0" fontId="9" fillId="0" borderId="2" xfId="0" applyFont="1" applyFill="1" applyBorder="1" applyAlignment="1">
      <alignment horizontal="left"/>
    </xf>
    <xf numFmtId="0" fontId="9" fillId="0" borderId="21" xfId="0" applyFont="1" applyFill="1" applyBorder="1" applyAlignment="1">
      <alignment wrapText="1"/>
    </xf>
    <xf numFmtId="0" fontId="9" fillId="0" borderId="14" xfId="0" applyFont="1" applyFill="1" applyBorder="1"/>
    <xf numFmtId="0" fontId="20" fillId="8" borderId="0" xfId="0" applyFont="1" applyFill="1" applyBorder="1"/>
    <xf numFmtId="0" fontId="0" fillId="6" borderId="0" xfId="0" applyFont="1" applyFill="1" applyBorder="1"/>
    <xf numFmtId="0" fontId="18" fillId="6" borderId="0" xfId="0" applyFont="1" applyFill="1" applyBorder="1" applyAlignment="1">
      <alignment wrapText="1"/>
    </xf>
    <xf numFmtId="0" fontId="20" fillId="6" borderId="0" xfId="0" applyFont="1" applyFill="1" applyBorder="1" applyAlignment="1">
      <alignment wrapText="1"/>
    </xf>
    <xf numFmtId="0" fontId="61" fillId="6" borderId="0" xfId="0" applyFont="1" applyFill="1" applyBorder="1" applyAlignment="1">
      <alignment wrapText="1"/>
    </xf>
    <xf numFmtId="0" fontId="61" fillId="6" borderId="16" xfId="0" applyFont="1" applyFill="1" applyBorder="1" applyAlignment="1">
      <alignment wrapText="1"/>
    </xf>
    <xf numFmtId="14" fontId="0" fillId="0" borderId="16" xfId="0" applyNumberFormat="1" applyFont="1" applyFill="1" applyBorder="1" applyAlignment="1">
      <alignment horizontal="center"/>
    </xf>
    <xf numFmtId="10" fontId="9" fillId="0" borderId="0" xfId="17" applyNumberFormat="1" applyFont="1" applyFill="1" applyBorder="1"/>
    <xf numFmtId="10" fontId="9" fillId="0" borderId="16" xfId="17" applyNumberFormat="1" applyFont="1" applyFill="1" applyBorder="1"/>
    <xf numFmtId="14" fontId="0" fillId="8" borderId="16" xfId="0" applyNumberFormat="1" applyFont="1" applyFill="1" applyBorder="1" applyAlignment="1">
      <alignment horizontal="center" wrapText="1"/>
    </xf>
    <xf numFmtId="0" fontId="20" fillId="0" borderId="0" xfId="0" applyFont="1" applyFill="1" applyBorder="1" applyAlignment="1">
      <alignment wrapText="1"/>
    </xf>
    <xf numFmtId="14" fontId="9" fillId="8" borderId="0" xfId="0" applyNumberFormat="1" applyFont="1" applyFill="1" applyBorder="1"/>
    <xf numFmtId="14" fontId="0" fillId="0" borderId="0" xfId="0" applyNumberFormat="1" applyFont="1" applyFill="1" applyBorder="1"/>
    <xf numFmtId="0" fontId="0" fillId="6" borderId="15" xfId="0" applyFont="1" applyFill="1" applyBorder="1" applyAlignment="1">
      <alignment horizontal="left" wrapText="1"/>
    </xf>
    <xf numFmtId="0" fontId="9" fillId="6" borderId="0" xfId="0" applyFont="1" applyFill="1" applyBorder="1" applyAlignment="1">
      <alignment wrapText="1"/>
    </xf>
    <xf numFmtId="0" fontId="9" fillId="6" borderId="16" xfId="0" applyFont="1" applyFill="1" applyBorder="1" applyAlignment="1">
      <alignment wrapText="1"/>
    </xf>
    <xf numFmtId="14" fontId="9" fillId="6" borderId="16" xfId="0" applyNumberFormat="1" applyFont="1" applyFill="1" applyBorder="1" applyAlignment="1">
      <alignment wrapText="1"/>
    </xf>
    <xf numFmtId="14" fontId="0" fillId="6" borderId="0" xfId="0" applyNumberFormat="1" applyFont="1" applyFill="1" applyBorder="1" applyAlignment="1">
      <alignment horizontal="center" wrapText="1"/>
    </xf>
    <xf numFmtId="14" fontId="9" fillId="6" borderId="0" xfId="0" applyNumberFormat="1" applyFont="1" applyFill="1" applyBorder="1" applyAlignment="1">
      <alignment wrapText="1"/>
    </xf>
    <xf numFmtId="14" fontId="0" fillId="6" borderId="16" xfId="0" applyNumberFormat="1" applyFont="1" applyFill="1" applyBorder="1" applyAlignment="1">
      <alignment horizontal="center" wrapText="1"/>
    </xf>
    <xf numFmtId="0" fontId="62" fillId="6" borderId="17" xfId="0" applyFont="1" applyFill="1" applyBorder="1"/>
    <xf numFmtId="0" fontId="9" fillId="0" borderId="1" xfId="0" applyFont="1" applyBorder="1"/>
    <xf numFmtId="0" fontId="20" fillId="0" borderId="1" xfId="0" applyFont="1" applyBorder="1" applyAlignment="1">
      <alignment wrapText="1"/>
    </xf>
    <xf numFmtId="0" fontId="9" fillId="0" borderId="18" xfId="0" applyFont="1" applyBorder="1"/>
    <xf numFmtId="1" fontId="16" fillId="0" borderId="13" xfId="0" applyNumberFormat="1" applyFont="1" applyFill="1" applyBorder="1" applyAlignment="1">
      <alignment horizontal="right"/>
    </xf>
    <xf numFmtId="1" fontId="16" fillId="0" borderId="14" xfId="0" applyNumberFormat="1" applyFont="1" applyFill="1" applyBorder="1" applyAlignment="1">
      <alignment horizontal="right"/>
    </xf>
    <xf numFmtId="16" fontId="0" fillId="6" borderId="15" xfId="0" applyNumberFormat="1" applyFont="1" applyFill="1" applyBorder="1" applyAlignment="1">
      <alignment horizontal="center" wrapText="1"/>
    </xf>
    <xf numFmtId="0" fontId="9" fillId="0" borderId="17" xfId="0" applyFont="1" applyBorder="1"/>
    <xf numFmtId="1" fontId="16" fillId="0" borderId="20" xfId="0" applyNumberFormat="1" applyFont="1" applyFill="1" applyBorder="1" applyAlignment="1">
      <alignment horizontal="right"/>
    </xf>
    <xf numFmtId="14" fontId="0" fillId="6" borderId="15" xfId="0" applyNumberFormat="1" applyFont="1" applyFill="1" applyBorder="1" applyAlignment="1">
      <alignment horizontal="center" wrapText="1"/>
    </xf>
    <xf numFmtId="1" fontId="16" fillId="0" borderId="17" xfId="0" applyNumberFormat="1" applyFont="1" applyFill="1" applyBorder="1" applyAlignment="1">
      <alignment horizontal="right"/>
    </xf>
    <xf numFmtId="9" fontId="0" fillId="0" borderId="0" xfId="17" applyFont="1" applyFill="1" applyBorder="1" applyAlignment="1">
      <alignment horizontal="right"/>
    </xf>
    <xf numFmtId="9" fontId="0" fillId="0" borderId="1" xfId="17" applyFont="1" applyFill="1" applyBorder="1" applyAlignment="1">
      <alignment horizontal="right"/>
    </xf>
    <xf numFmtId="0" fontId="9" fillId="0" borderId="13" xfId="0" applyFont="1" applyFill="1" applyBorder="1" applyAlignment="1">
      <alignment horizontal="left"/>
    </xf>
    <xf numFmtId="9" fontId="0" fillId="0" borderId="16" xfId="17" applyFont="1" applyFill="1" applyBorder="1" applyAlignment="1">
      <alignment horizontal="right"/>
    </xf>
    <xf numFmtId="9" fontId="0" fillId="0" borderId="18" xfId="17" applyFont="1" applyFill="1" applyBorder="1" applyAlignment="1">
      <alignment horizontal="right"/>
    </xf>
    <xf numFmtId="9" fontId="0" fillId="0" borderId="15" xfId="17" applyFont="1" applyFill="1" applyBorder="1" applyAlignment="1">
      <alignment horizontal="right"/>
    </xf>
    <xf numFmtId="9" fontId="0" fillId="0" borderId="17" xfId="17" applyFont="1" applyFill="1" applyBorder="1" applyAlignment="1">
      <alignment horizontal="right"/>
    </xf>
    <xf numFmtId="14" fontId="0" fillId="0" borderId="0" xfId="17" applyNumberFormat="1" applyFont="1" applyFill="1" applyBorder="1" applyAlignment="1">
      <alignment horizontal="right"/>
    </xf>
    <xf numFmtId="14" fontId="0" fillId="0" borderId="16" xfId="17" applyNumberFormat="1" applyFont="1" applyFill="1" applyBorder="1" applyAlignment="1">
      <alignment horizontal="right"/>
    </xf>
    <xf numFmtId="14" fontId="0" fillId="0" borderId="15" xfId="17" applyNumberFormat="1" applyFont="1" applyFill="1" applyBorder="1" applyAlignment="1">
      <alignment horizontal="right"/>
    </xf>
    <xf numFmtId="0" fontId="13" fillId="0" borderId="15" xfId="0" applyFont="1" applyFill="1" applyBorder="1"/>
    <xf numFmtId="0" fontId="13" fillId="0" borderId="17" xfId="0" applyFont="1" applyBorder="1"/>
    <xf numFmtId="0" fontId="13" fillId="0" borderId="0" xfId="0" applyFont="1" applyBorder="1"/>
    <xf numFmtId="0" fontId="0" fillId="0" borderId="20" xfId="0" applyFont="1" applyFill="1" applyBorder="1"/>
    <xf numFmtId="0" fontId="9" fillId="0" borderId="13" xfId="0" applyFont="1" applyBorder="1"/>
    <xf numFmtId="0" fontId="13" fillId="0" borderId="13" xfId="0" applyFont="1" applyFill="1" applyBorder="1"/>
    <xf numFmtId="0" fontId="0" fillId="0" borderId="13" xfId="0" applyFont="1" applyFill="1" applyBorder="1"/>
    <xf numFmtId="1" fontId="0" fillId="0" borderId="15" xfId="0" applyNumberFormat="1" applyFont="1" applyFill="1" applyBorder="1" applyAlignment="1">
      <alignment horizontal="right"/>
    </xf>
    <xf numFmtId="1" fontId="0" fillId="0" borderId="17" xfId="0" applyNumberFormat="1" applyFont="1" applyFill="1" applyBorder="1" applyAlignment="1">
      <alignment horizontal="right"/>
    </xf>
    <xf numFmtId="17" fontId="16" fillId="0" borderId="20" xfId="0" applyNumberFormat="1" applyFont="1" applyFill="1" applyBorder="1" applyAlignment="1">
      <alignment horizontal="right"/>
    </xf>
    <xf numFmtId="17" fontId="16" fillId="0" borderId="7" xfId="0" applyNumberFormat="1" applyFont="1" applyFill="1" applyBorder="1" applyAlignment="1">
      <alignment horizontal="right"/>
    </xf>
    <xf numFmtId="17" fontId="16" fillId="0" borderId="21" xfId="0" applyNumberFormat="1" applyFont="1" applyFill="1" applyBorder="1" applyAlignment="1">
      <alignment horizontal="right"/>
    </xf>
    <xf numFmtId="4" fontId="0" fillId="0" borderId="16" xfId="1" applyNumberFormat="1" applyFont="1" applyFill="1" applyBorder="1" applyAlignment="1">
      <alignment wrapText="1"/>
    </xf>
    <xf numFmtId="0" fontId="65" fillId="0" borderId="0" xfId="0" applyFont="1"/>
    <xf numFmtId="14" fontId="29" fillId="0" borderId="0" xfId="0" applyNumberFormat="1" applyFont="1" applyFill="1"/>
    <xf numFmtId="0" fontId="66" fillId="0" borderId="0" xfId="0" applyFont="1"/>
    <xf numFmtId="0" fontId="66" fillId="0" borderId="0" xfId="0" applyFont="1" applyFill="1"/>
    <xf numFmtId="0" fontId="66" fillId="0" borderId="0" xfId="0" applyFont="1" applyBorder="1"/>
    <xf numFmtId="170" fontId="23" fillId="0" borderId="0" xfId="0" applyNumberFormat="1" applyFont="1"/>
    <xf numFmtId="0" fontId="20" fillId="43" borderId="0" xfId="0" applyFont="1" applyFill="1" applyBorder="1" applyAlignment="1"/>
    <xf numFmtId="14" fontId="20" fillId="43" borderId="0" xfId="0" applyNumberFormat="1" applyFont="1" applyFill="1" applyBorder="1" applyAlignment="1"/>
    <xf numFmtId="171" fontId="0" fillId="0" borderId="16" xfId="18" applyNumberFormat="1" applyFont="1" applyFill="1" applyBorder="1"/>
    <xf numFmtId="171" fontId="0" fillId="0" borderId="16" xfId="18" applyNumberFormat="1" applyFont="1" applyFill="1" applyBorder="1" applyAlignment="1">
      <alignment horizontal="right"/>
    </xf>
    <xf numFmtId="43" fontId="16" fillId="0" borderId="16" xfId="1" applyFont="1" applyFill="1" applyBorder="1"/>
    <xf numFmtId="0" fontId="24" fillId="0" borderId="0" xfId="0" applyFont="1" applyFill="1" applyAlignment="1">
      <alignment horizontal="left"/>
    </xf>
    <xf numFmtId="0" fontId="23" fillId="0" borderId="0" xfId="0" applyFont="1" applyFill="1"/>
    <xf numFmtId="0" fontId="0" fillId="0" borderId="0" xfId="0" applyFont="1" applyFill="1" applyBorder="1" applyAlignment="1">
      <alignment horizontal="left" vertical="top"/>
    </xf>
    <xf numFmtId="4" fontId="0" fillId="4" borderId="0" xfId="6" applyFont="1" applyBorder="1" applyAlignment="1">
      <alignment horizontal="left"/>
      <protection locked="0"/>
    </xf>
    <xf numFmtId="0" fontId="23" fillId="0" borderId="17" xfId="0" applyFont="1" applyFill="1" applyBorder="1"/>
    <xf numFmtId="167" fontId="69" fillId="0" borderId="0" xfId="4" applyNumberFormat="1" applyFont="1" applyFill="1" applyBorder="1" applyAlignment="1">
      <alignment horizontal="left"/>
    </xf>
    <xf numFmtId="167" fontId="69" fillId="0" borderId="0" xfId="1" applyNumberFormat="1" applyFont="1" applyFill="1" applyBorder="1" applyAlignment="1">
      <alignment horizontal="left"/>
    </xf>
    <xf numFmtId="0" fontId="0" fillId="43" borderId="0" xfId="0" applyFont="1" applyFill="1" applyBorder="1" applyAlignment="1"/>
    <xf numFmtId="0" fontId="0" fillId="0" borderId="15" xfId="0" applyFont="1" applyBorder="1" applyAlignment="1">
      <alignment wrapText="1"/>
    </xf>
    <xf numFmtId="0" fontId="0" fillId="0" borderId="17" xfId="0" applyFont="1" applyBorder="1" applyAlignment="1">
      <alignment wrapText="1"/>
    </xf>
    <xf numFmtId="0" fontId="68" fillId="0" borderId="0" xfId="0" applyFont="1"/>
    <xf numFmtId="0" fontId="67" fillId="0" borderId="0" xfId="0" applyFont="1"/>
    <xf numFmtId="170" fontId="0" fillId="0" borderId="0" xfId="0" applyNumberFormat="1" applyFont="1" applyFill="1"/>
    <xf numFmtId="170" fontId="68" fillId="0" borderId="0" xfId="0" applyNumberFormat="1" applyFont="1" applyFill="1"/>
    <xf numFmtId="4" fontId="7" fillId="4" borderId="21" xfId="6" applyBorder="1" applyAlignment="1">
      <protection locked="0"/>
    </xf>
    <xf numFmtId="0" fontId="0" fillId="0" borderId="0" xfId="0" applyFont="1" applyBorder="1" applyAlignment="1">
      <alignment wrapText="1"/>
    </xf>
    <xf numFmtId="0" fontId="0" fillId="0" borderId="0" xfId="0" applyFont="1" applyFill="1" applyBorder="1" applyAlignment="1">
      <alignment wrapText="1"/>
    </xf>
    <xf numFmtId="0" fontId="0" fillId="0" borderId="16" xfId="0" applyBorder="1"/>
    <xf numFmtId="0" fontId="16" fillId="0" borderId="16" xfId="0" applyFont="1" applyBorder="1" applyAlignment="1">
      <alignment wrapText="1"/>
    </xf>
    <xf numFmtId="9" fontId="0" fillId="0" borderId="16" xfId="17" applyFont="1" applyBorder="1" applyAlignment="1">
      <alignment wrapText="1"/>
    </xf>
    <xf numFmtId="1" fontId="0" fillId="42" borderId="15" xfId="0" applyNumberFormat="1" applyFont="1" applyFill="1" applyBorder="1" applyAlignment="1">
      <alignment horizontal="right"/>
    </xf>
    <xf numFmtId="1" fontId="0" fillId="42" borderId="17" xfId="0" applyNumberFormat="1" applyFont="1" applyFill="1" applyBorder="1" applyAlignment="1">
      <alignment horizontal="right"/>
    </xf>
    <xf numFmtId="0" fontId="63" fillId="43" borderId="16" xfId="0" applyFont="1" applyFill="1" applyBorder="1" applyAlignment="1">
      <alignment wrapText="1"/>
    </xf>
    <xf numFmtId="0" fontId="63" fillId="44" borderId="0" xfId="0" applyFont="1" applyFill="1" applyBorder="1" applyAlignment="1">
      <alignment horizontal="left" wrapText="1"/>
    </xf>
    <xf numFmtId="10" fontId="9" fillId="44" borderId="0" xfId="17" applyNumberFormat="1" applyFont="1" applyFill="1" applyBorder="1"/>
    <xf numFmtId="0" fontId="20" fillId="43" borderId="0" xfId="0" applyFont="1" applyFill="1" applyBorder="1" applyAlignment="1">
      <alignment wrapText="1"/>
    </xf>
    <xf numFmtId="14" fontId="9" fillId="43" borderId="0" xfId="0" applyNumberFormat="1" applyFont="1" applyFill="1" applyBorder="1" applyAlignment="1">
      <alignment wrapText="1"/>
    </xf>
    <xf numFmtId="10" fontId="9" fillId="43" borderId="0" xfId="0" applyNumberFormat="1" applyFont="1" applyFill="1" applyBorder="1" applyAlignment="1">
      <alignment wrapText="1"/>
    </xf>
    <xf numFmtId="10" fontId="9" fillId="43" borderId="16" xfId="0" applyNumberFormat="1" applyFont="1" applyFill="1" applyBorder="1" applyAlignment="1">
      <alignment wrapText="1"/>
    </xf>
    <xf numFmtId="14" fontId="9" fillId="42" borderId="16" xfId="0" applyNumberFormat="1" applyFont="1" applyFill="1" applyBorder="1" applyAlignment="1">
      <alignment horizontal="right"/>
    </xf>
    <xf numFmtId="14" fontId="9" fillId="42" borderId="15" xfId="0" applyNumberFormat="1" applyFont="1" applyFill="1" applyBorder="1" applyAlignment="1">
      <alignment horizontal="right"/>
    </xf>
    <xf numFmtId="14" fontId="9" fillId="42" borderId="0" xfId="0" applyNumberFormat="1" applyFont="1" applyFill="1" applyBorder="1" applyAlignment="1">
      <alignment horizontal="right"/>
    </xf>
    <xf numFmtId="14" fontId="0" fillId="42" borderId="0" xfId="0" applyNumberFormat="1" applyFont="1" applyFill="1" applyBorder="1" applyAlignment="1">
      <alignment horizontal="right"/>
    </xf>
    <xf numFmtId="14" fontId="0" fillId="42" borderId="16" xfId="0" applyNumberFormat="1" applyFont="1" applyFill="1" applyBorder="1" applyAlignment="1">
      <alignment horizontal="right"/>
    </xf>
    <xf numFmtId="10" fontId="9" fillId="42" borderId="16" xfId="0" applyNumberFormat="1" applyFont="1" applyFill="1" applyBorder="1"/>
    <xf numFmtId="10" fontId="9" fillId="42" borderId="0" xfId="0" applyNumberFormat="1" applyFont="1" applyFill="1" applyBorder="1"/>
    <xf numFmtId="173" fontId="0" fillId="42" borderId="0" xfId="18" applyNumberFormat="1" applyFont="1" applyFill="1" applyBorder="1" applyAlignment="1">
      <alignment wrapText="1"/>
    </xf>
    <xf numFmtId="0" fontId="25" fillId="0" borderId="0" xfId="0" applyFont="1" applyFill="1" applyBorder="1" applyAlignment="1"/>
    <xf numFmtId="3" fontId="0" fillId="0" borderId="0" xfId="18" applyNumberFormat="1" applyFont="1" applyFill="1" applyBorder="1" applyAlignment="1">
      <alignment wrapText="1"/>
    </xf>
    <xf numFmtId="3" fontId="0" fillId="0" borderId="1" xfId="18" applyNumberFormat="1" applyFont="1" applyFill="1" applyBorder="1" applyAlignment="1">
      <alignment wrapText="1"/>
    </xf>
    <xf numFmtId="44" fontId="0" fillId="0" borderId="0" xfId="18" applyFont="1" applyFill="1" applyBorder="1"/>
    <xf numFmtId="15" fontId="0" fillId="0" borderId="16" xfId="0" applyNumberFormat="1" applyFont="1" applyFill="1" applyBorder="1"/>
    <xf numFmtId="0" fontId="16" fillId="0" borderId="15" xfId="0" applyFont="1" applyFill="1" applyBorder="1" applyAlignment="1">
      <alignment wrapText="1"/>
    </xf>
    <xf numFmtId="44" fontId="0" fillId="42" borderId="0" xfId="18" applyNumberFormat="1" applyFont="1" applyFill="1" applyBorder="1"/>
    <xf numFmtId="44" fontId="0" fillId="0" borderId="15" xfId="18" applyFont="1" applyFill="1" applyBorder="1" applyAlignment="1">
      <alignment horizontal="left"/>
    </xf>
    <xf numFmtId="0" fontId="0" fillId="0" borderId="15" xfId="0" applyFont="1" applyFill="1" applyBorder="1"/>
    <xf numFmtId="183" fontId="0" fillId="0" borderId="0" xfId="18" applyNumberFormat="1" applyFont="1" applyFill="1" applyBorder="1"/>
    <xf numFmtId="183" fontId="0" fillId="0" borderId="1" xfId="18" applyNumberFormat="1" applyFont="1" applyFill="1" applyBorder="1"/>
    <xf numFmtId="2" fontId="0" fillId="42" borderId="0" xfId="0" applyNumberFormat="1" applyFont="1" applyFill="1" applyBorder="1" applyProtection="1"/>
    <xf numFmtId="2" fontId="0" fillId="42" borderId="16" xfId="0" applyNumberFormat="1" applyFont="1" applyFill="1" applyBorder="1" applyProtection="1"/>
    <xf numFmtId="0" fontId="16" fillId="0" borderId="0" xfId="0" applyFont="1" applyFill="1" applyBorder="1"/>
    <xf numFmtId="0" fontId="16" fillId="0" borderId="0" xfId="0" applyFont="1" applyFill="1" applyBorder="1" applyAlignment="1">
      <alignment wrapText="1"/>
    </xf>
    <xf numFmtId="165" fontId="0" fillId="42" borderId="0" xfId="17" applyNumberFormat="1" applyFont="1" applyFill="1" applyBorder="1"/>
    <xf numFmtId="165" fontId="0" fillId="42" borderId="16" xfId="17" applyNumberFormat="1" applyFont="1" applyFill="1" applyBorder="1"/>
    <xf numFmtId="165" fontId="0" fillId="42" borderId="1" xfId="17" applyNumberFormat="1" applyFont="1" applyFill="1" applyBorder="1"/>
    <xf numFmtId="165" fontId="0" fillId="42" borderId="18" xfId="17" applyNumberFormat="1" applyFont="1" applyFill="1" applyBorder="1"/>
    <xf numFmtId="0" fontId="0" fillId="0" borderId="0" xfId="0" applyFont="1" applyFill="1" applyBorder="1" applyAlignment="1">
      <alignment horizontal="center" wrapText="1"/>
    </xf>
    <xf numFmtId="49" fontId="0" fillId="0" borderId="16" xfId="0" quotePrefix="1" applyNumberFormat="1" applyFont="1" applyFill="1" applyBorder="1"/>
    <xf numFmtId="0" fontId="25" fillId="0" borderId="0" xfId="0" applyFont="1" applyFill="1" applyBorder="1"/>
    <xf numFmtId="3" fontId="0" fillId="0" borderId="16" xfId="0" applyNumberFormat="1" applyFont="1" applyBorder="1"/>
    <xf numFmtId="3" fontId="0" fillId="0" borderId="18" xfId="0" applyNumberFormat="1" applyFont="1" applyBorder="1"/>
    <xf numFmtId="184" fontId="0" fillId="0" borderId="1" xfId="0" applyNumberFormat="1" applyFont="1" applyBorder="1"/>
    <xf numFmtId="165" fontId="0" fillId="0" borderId="0" xfId="17" applyNumberFormat="1" applyFont="1" applyFill="1" applyBorder="1"/>
    <xf numFmtId="165" fontId="0" fillId="0" borderId="16" xfId="17" applyNumberFormat="1" applyFont="1" applyFill="1" applyBorder="1"/>
    <xf numFmtId="165" fontId="0" fillId="0" borderId="1" xfId="17" applyNumberFormat="1" applyFont="1" applyFill="1" applyBorder="1"/>
    <xf numFmtId="165" fontId="0" fillId="0" borderId="18" xfId="17" applyNumberFormat="1" applyFont="1" applyFill="1" applyBorder="1"/>
    <xf numFmtId="173" fontId="0" fillId="0" borderId="0" xfId="18" applyNumberFormat="1" applyFont="1" applyFill="1" applyBorder="1" applyAlignment="1">
      <alignment wrapText="1"/>
    </xf>
    <xf numFmtId="173" fontId="0" fillId="0" borderId="1" xfId="18" applyNumberFormat="1" applyFont="1" applyFill="1" applyBorder="1" applyAlignment="1">
      <alignment wrapText="1"/>
    </xf>
    <xf numFmtId="0" fontId="13" fillId="39" borderId="30" xfId="0" quotePrefix="1" applyFont="1" applyFill="1" applyBorder="1" applyAlignment="1">
      <alignment horizontal="left" vertical="center"/>
    </xf>
    <xf numFmtId="0" fontId="13" fillId="39" borderId="30" xfId="0" quotePrefix="1" applyFont="1" applyFill="1" applyBorder="1" applyAlignment="1">
      <alignment horizontal="left" vertical="center" wrapText="1"/>
    </xf>
    <xf numFmtId="0" fontId="0" fillId="0" borderId="2" xfId="0" applyFont="1" applyFill="1" applyBorder="1" applyAlignment="1">
      <alignment wrapText="1"/>
    </xf>
    <xf numFmtId="0" fontId="0" fillId="0" borderId="0" xfId="0" applyFont="1" applyFill="1" applyBorder="1" applyAlignment="1">
      <alignment horizontal="left" wrapText="1"/>
    </xf>
    <xf numFmtId="0" fontId="0" fillId="0" borderId="0" xfId="0" applyFont="1" applyAlignment="1">
      <alignment wrapText="1"/>
    </xf>
    <xf numFmtId="0" fontId="0" fillId="0" borderId="0" xfId="0" applyFont="1"/>
    <xf numFmtId="0" fontId="0" fillId="0" borderId="0" xfId="0" applyFont="1" applyAlignment="1">
      <alignment horizontal="left"/>
    </xf>
    <xf numFmtId="0" fontId="20" fillId="8" borderId="16" xfId="0" applyFont="1" applyFill="1" applyBorder="1"/>
    <xf numFmtId="44" fontId="7" fillId="4" borderId="0" xfId="18" applyFill="1" applyBorder="1" applyAlignment="1" applyProtection="1">
      <protection locked="0"/>
    </xf>
    <xf numFmtId="165" fontId="0" fillId="0" borderId="16" xfId="17" applyNumberFormat="1" applyFont="1" applyFill="1" applyBorder="1" applyAlignment="1">
      <alignment horizontal="right"/>
    </xf>
    <xf numFmtId="15" fontId="0" fillId="0" borderId="0" xfId="0" applyNumberFormat="1" applyFont="1" applyFill="1" applyBorder="1"/>
    <xf numFmtId="44" fontId="0" fillId="0" borderId="0" xfId="0" applyNumberFormat="1"/>
    <xf numFmtId="9" fontId="0" fillId="0" borderId="0" xfId="17" applyFont="1" applyFill="1"/>
    <xf numFmtId="43" fontId="0" fillId="0" borderId="0" xfId="1" applyFont="1" applyFill="1"/>
    <xf numFmtId="168" fontId="0" fillId="0" borderId="0" xfId="1" applyNumberFormat="1" applyFont="1" applyFill="1"/>
    <xf numFmtId="0" fontId="16" fillId="0" borderId="0" xfId="0" applyFont="1" applyFill="1" applyBorder="1" applyAlignment="1">
      <alignment horizontal="right"/>
    </xf>
    <xf numFmtId="165" fontId="0" fillId="0" borderId="0" xfId="17" applyNumberFormat="1" applyFont="1"/>
    <xf numFmtId="185" fontId="0" fillId="0" borderId="0" xfId="1" applyNumberFormat="1" applyFont="1" applyFill="1"/>
    <xf numFmtId="165" fontId="0" fillId="0" borderId="0" xfId="17" applyNumberFormat="1" applyFont="1" applyFill="1"/>
    <xf numFmtId="9" fontId="0" fillId="0" borderId="0" xfId="17" applyNumberFormat="1" applyFont="1" applyBorder="1"/>
    <xf numFmtId="0" fontId="18" fillId="8" borderId="0" xfId="0" quotePrefix="1" applyFont="1" applyFill="1"/>
    <xf numFmtId="0" fontId="70" fillId="0" borderId="0" xfId="0" applyFont="1"/>
    <xf numFmtId="14" fontId="0" fillId="0" borderId="0" xfId="0" applyNumberFormat="1" applyFont="1" applyFill="1"/>
    <xf numFmtId="0" fontId="70" fillId="0" borderId="0" xfId="0" applyFont="1" applyFill="1"/>
    <xf numFmtId="14" fontId="70" fillId="0" borderId="0" xfId="0" applyNumberFormat="1" applyFont="1" applyFill="1"/>
    <xf numFmtId="0" fontId="0" fillId="0" borderId="0" xfId="0" applyFont="1" applyFill="1" applyAlignment="1">
      <alignment horizontal="center"/>
    </xf>
    <xf numFmtId="0" fontId="66" fillId="0" borderId="0" xfId="0" applyFont="1" applyFill="1" applyAlignment="1">
      <alignment horizontal="left" indent="1"/>
    </xf>
    <xf numFmtId="0" fontId="0" fillId="0" borderId="1" xfId="0" applyFont="1" applyFill="1" applyBorder="1" applyAlignment="1">
      <alignment horizontal="center"/>
    </xf>
    <xf numFmtId="0" fontId="70" fillId="0" borderId="0" xfId="0" applyFont="1" applyBorder="1"/>
    <xf numFmtId="0" fontId="70" fillId="0" borderId="0" xfId="0" applyFont="1" applyFill="1" applyBorder="1"/>
    <xf numFmtId="0" fontId="0" fillId="0" borderId="13" xfId="0" applyFont="1" applyBorder="1"/>
    <xf numFmtId="9" fontId="0" fillId="0" borderId="1" xfId="0" applyNumberFormat="1" applyFont="1" applyBorder="1"/>
    <xf numFmtId="0" fontId="0" fillId="0" borderId="0" xfId="0" applyFont="1" applyFill="1" applyBorder="1" applyAlignment="1">
      <alignment horizontal="center"/>
    </xf>
    <xf numFmtId="0" fontId="0" fillId="0" borderId="16" xfId="0" applyFont="1" applyFill="1" applyBorder="1" applyAlignment="1">
      <alignment horizontal="center"/>
    </xf>
    <xf numFmtId="0" fontId="0" fillId="6" borderId="0" xfId="0" applyFont="1" applyFill="1" applyAlignment="1"/>
    <xf numFmtId="0" fontId="66" fillId="0" borderId="0" xfId="0" applyFont="1" applyFill="1" applyBorder="1" applyAlignment="1">
      <alignment horizontal="left" indent="1"/>
    </xf>
    <xf numFmtId="0" fontId="17" fillId="0" borderId="1" xfId="0" applyFont="1" applyFill="1" applyBorder="1"/>
    <xf numFmtId="0" fontId="0" fillId="39" borderId="0" xfId="0" applyFont="1" applyFill="1" applyAlignment="1">
      <alignment vertical="center"/>
    </xf>
    <xf numFmtId="167" fontId="11" fillId="5" borderId="0" xfId="9" applyNumberFormat="1" applyFont="1" applyBorder="1" applyAlignment="1">
      <alignment horizontal="left"/>
    </xf>
    <xf numFmtId="0" fontId="13" fillId="0" borderId="33" xfId="0" applyFont="1" applyBorder="1" applyAlignment="1">
      <alignment horizontal="center"/>
    </xf>
    <xf numFmtId="0" fontId="17" fillId="0" borderId="34" xfId="0" applyFont="1" applyBorder="1" applyAlignment="1">
      <alignment horizontal="center"/>
    </xf>
    <xf numFmtId="0" fontId="17" fillId="0" borderId="35" xfId="0" applyFont="1" applyBorder="1" applyAlignment="1">
      <alignment horizontal="center"/>
    </xf>
    <xf numFmtId="0" fontId="0" fillId="0" borderId="35" xfId="0" applyFont="1" applyBorder="1"/>
    <xf numFmtId="0" fontId="17" fillId="0" borderId="36" xfId="0" applyFont="1" applyBorder="1" applyAlignment="1">
      <alignment horizontal="center"/>
    </xf>
    <xf numFmtId="0" fontId="13" fillId="0" borderId="37" xfId="0" applyFont="1" applyBorder="1" applyAlignment="1">
      <alignment horizontal="center"/>
    </xf>
    <xf numFmtId="0" fontId="13" fillId="0" borderId="34" xfId="0" applyFont="1" applyBorder="1" applyAlignment="1">
      <alignment horizontal="center"/>
    </xf>
    <xf numFmtId="0" fontId="13" fillId="0" borderId="35" xfId="0" applyFont="1" applyBorder="1" applyAlignment="1">
      <alignment horizontal="center"/>
    </xf>
    <xf numFmtId="0" fontId="13" fillId="0" borderId="36" xfId="0" applyFont="1" applyBorder="1" applyAlignment="1">
      <alignment horizontal="center"/>
    </xf>
    <xf numFmtId="0" fontId="0" fillId="0" borderId="9" xfId="0" applyFont="1" applyBorder="1"/>
    <xf numFmtId="0" fontId="16" fillId="0" borderId="9" xfId="0" applyFont="1" applyBorder="1" applyAlignment="1">
      <alignment horizontal="center"/>
    </xf>
    <xf numFmtId="0" fontId="16" fillId="0" borderId="8" xfId="0" applyFont="1" applyBorder="1" applyAlignment="1">
      <alignment horizontal="center"/>
    </xf>
    <xf numFmtId="0" fontId="16" fillId="0" borderId="10" xfId="0" applyFont="1" applyBorder="1" applyAlignment="1">
      <alignment horizontal="center"/>
    </xf>
    <xf numFmtId="0" fontId="0" fillId="0" borderId="8" xfId="0" applyFont="1" applyBorder="1" applyAlignment="1">
      <alignment horizontal="center"/>
    </xf>
    <xf numFmtId="0" fontId="46" fillId="0" borderId="9" xfId="0" applyFont="1" applyBorder="1" applyAlignment="1">
      <alignment horizontal="center"/>
    </xf>
    <xf numFmtId="0" fontId="13" fillId="0" borderId="38" xfId="0" applyFont="1" applyBorder="1" applyAlignment="1">
      <alignment horizontal="center"/>
    </xf>
    <xf numFmtId="0" fontId="16" fillId="0" borderId="11" xfId="0" applyFont="1" applyBorder="1" applyAlignment="1">
      <alignment horizontal="right"/>
    </xf>
    <xf numFmtId="0" fontId="16" fillId="0" borderId="6" xfId="0" applyFont="1" applyBorder="1" applyAlignment="1">
      <alignment horizontal="right"/>
    </xf>
    <xf numFmtId="0" fontId="16" fillId="0" borderId="12" xfId="0" applyFont="1" applyBorder="1" applyAlignment="1">
      <alignment horizontal="right"/>
    </xf>
    <xf numFmtId="0" fontId="16" fillId="0" borderId="6" xfId="0" applyFont="1" applyFill="1" applyBorder="1" applyAlignment="1">
      <alignment horizontal="center"/>
    </xf>
    <xf numFmtId="0" fontId="46" fillId="0" borderId="11" xfId="0" applyFont="1" applyFill="1" applyBorder="1" applyAlignment="1">
      <alignment horizontal="center"/>
    </xf>
    <xf numFmtId="0" fontId="46" fillId="0" borderId="6" xfId="0" applyFont="1" applyFill="1" applyBorder="1" applyAlignment="1">
      <alignment horizontal="center"/>
    </xf>
    <xf numFmtId="0" fontId="46" fillId="0" borderId="12" xfId="0" applyFont="1" applyFill="1" applyBorder="1" applyAlignment="1">
      <alignment horizontal="center"/>
    </xf>
    <xf numFmtId="0" fontId="20" fillId="0" borderId="0" xfId="0" applyFont="1"/>
    <xf numFmtId="0" fontId="54" fillId="0" borderId="9" xfId="0" applyFont="1" applyFill="1" applyBorder="1"/>
    <xf numFmtId="0" fontId="54" fillId="0" borderId="8" xfId="0" applyFont="1" applyFill="1" applyBorder="1"/>
    <xf numFmtId="0" fontId="54" fillId="0" borderId="10" xfId="0" applyFont="1" applyFill="1" applyBorder="1"/>
    <xf numFmtId="0" fontId="54" fillId="0" borderId="37" xfId="0" applyFont="1" applyFill="1" applyBorder="1"/>
    <xf numFmtId="0" fontId="54" fillId="0" borderId="41" xfId="0" applyFont="1" applyFill="1" applyBorder="1"/>
    <xf numFmtId="0" fontId="46" fillId="0" borderId="37" xfId="0" applyFont="1" applyFill="1" applyBorder="1"/>
    <xf numFmtId="0" fontId="46" fillId="0" borderId="39" xfId="0" applyFont="1" applyFill="1" applyBorder="1"/>
    <xf numFmtId="14" fontId="0" fillId="0" borderId="0" xfId="0" applyNumberFormat="1" applyFont="1"/>
    <xf numFmtId="10" fontId="0" fillId="0" borderId="48" xfId="0" applyNumberFormat="1" applyFont="1" applyBorder="1"/>
    <xf numFmtId="10" fontId="0" fillId="0" borderId="0" xfId="0" applyNumberFormat="1" applyFont="1" applyBorder="1"/>
    <xf numFmtId="0" fontId="13" fillId="0" borderId="0" xfId="0" applyFont="1" applyFill="1" applyBorder="1"/>
    <xf numFmtId="180" fontId="71" fillId="0" borderId="0" xfId="0" applyNumberFormat="1" applyFont="1" applyFill="1" applyBorder="1"/>
    <xf numFmtId="10" fontId="71" fillId="0" borderId="0" xfId="0" applyNumberFormat="1" applyFont="1" applyFill="1" applyBorder="1"/>
    <xf numFmtId="0" fontId="54" fillId="0" borderId="39" xfId="0" applyFont="1" applyFill="1" applyBorder="1"/>
    <xf numFmtId="0" fontId="54" fillId="0" borderId="42" xfId="0" applyFont="1" applyFill="1" applyBorder="1"/>
    <xf numFmtId="0" fontId="13" fillId="0" borderId="0" xfId="0" applyFont="1" applyFill="1"/>
    <xf numFmtId="180" fontId="13" fillId="0" borderId="0" xfId="0" applyNumberFormat="1" applyFont="1" applyFill="1" applyBorder="1"/>
    <xf numFmtId="10" fontId="0" fillId="0" borderId="8" xfId="0" applyNumberFormat="1" applyFont="1" applyBorder="1"/>
    <xf numFmtId="180" fontId="16" fillId="0" borderId="0" xfId="0" applyNumberFormat="1" applyFont="1" applyFill="1" applyBorder="1"/>
    <xf numFmtId="180" fontId="0" fillId="0" borderId="0" xfId="0" applyNumberFormat="1" applyFont="1"/>
    <xf numFmtId="0" fontId="13" fillId="0" borderId="0" xfId="0" applyFont="1"/>
    <xf numFmtId="0" fontId="25" fillId="8" borderId="0" xfId="0" applyFont="1" applyFill="1"/>
    <xf numFmtId="0" fontId="25" fillId="0" borderId="0" xfId="0" applyFont="1" applyFill="1"/>
    <xf numFmtId="0" fontId="23" fillId="0" borderId="0" xfId="0" applyFont="1" applyFill="1" applyBorder="1"/>
    <xf numFmtId="0" fontId="14" fillId="0" borderId="0" xfId="0" applyFont="1" applyFill="1" applyBorder="1"/>
    <xf numFmtId="0" fontId="73" fillId="0" borderId="0" xfId="0" applyFont="1" applyFill="1" applyBorder="1"/>
    <xf numFmtId="0" fontId="72" fillId="0" borderId="0" xfId="0" applyFont="1" applyFill="1" applyBorder="1"/>
    <xf numFmtId="0" fontId="72" fillId="0" borderId="0" xfId="0" applyFont="1" applyFill="1" applyBorder="1" applyAlignment="1">
      <alignment horizontal="center" vertical="center"/>
    </xf>
    <xf numFmtId="0" fontId="23" fillId="8" borderId="0" xfId="0" applyFont="1" applyFill="1" applyBorder="1"/>
    <xf numFmtId="0" fontId="23" fillId="8" borderId="0" xfId="0" applyFont="1" applyFill="1" applyAlignment="1">
      <alignment horizontal="left" vertical="top"/>
    </xf>
    <xf numFmtId="0" fontId="74" fillId="0" borderId="0" xfId="0" applyFont="1" applyFill="1" applyAlignment="1">
      <alignment wrapText="1"/>
    </xf>
    <xf numFmtId="2" fontId="0" fillId="0" borderId="0" xfId="0" applyNumberFormat="1" applyFont="1" applyFill="1" applyBorder="1"/>
    <xf numFmtId="10" fontId="0" fillId="0" borderId="0" xfId="0" applyNumberFormat="1" applyFont="1" applyFill="1"/>
    <xf numFmtId="9" fontId="0" fillId="0" borderId="0" xfId="0" applyNumberFormat="1" applyFont="1" applyFill="1"/>
    <xf numFmtId="10" fontId="0" fillId="0" borderId="0" xfId="0" applyNumberFormat="1" applyFont="1" applyFill="1" applyBorder="1"/>
    <xf numFmtId="0" fontId="21" fillId="0" borderId="0" xfId="4" applyNumberFormat="1" applyFont="1" applyAlignment="1"/>
    <xf numFmtId="171" fontId="21" fillId="0" borderId="0" xfId="4" applyNumberFormat="1" applyFont="1" applyAlignment="1"/>
    <xf numFmtId="0" fontId="0" fillId="43" borderId="0" xfId="0" applyFont="1" applyFill="1"/>
    <xf numFmtId="14" fontId="0" fillId="43" borderId="0" xfId="0" applyNumberFormat="1" applyFont="1" applyFill="1"/>
    <xf numFmtId="0" fontId="0" fillId="0" borderId="0" xfId="0" applyFont="1" applyFill="1" applyBorder="1" applyAlignment="1"/>
    <xf numFmtId="0" fontId="66" fillId="0" borderId="0" xfId="0" applyFont="1" applyAlignment="1">
      <alignment horizontal="left" indent="1"/>
    </xf>
    <xf numFmtId="9" fontId="0" fillId="0" borderId="0" xfId="17" applyFont="1" applyFill="1" applyBorder="1"/>
    <xf numFmtId="1" fontId="0" fillId="0" borderId="0" xfId="0" applyNumberFormat="1" applyFont="1" applyFill="1" applyBorder="1"/>
    <xf numFmtId="3" fontId="0" fillId="0" borderId="16" xfId="0" applyNumberFormat="1" applyFont="1" applyFill="1" applyBorder="1"/>
    <xf numFmtId="9" fontId="0" fillId="0" borderId="1" xfId="17" applyFont="1" applyFill="1" applyBorder="1"/>
    <xf numFmtId="1" fontId="0" fillId="0" borderId="1" xfId="0" applyNumberFormat="1" applyFont="1" applyFill="1" applyBorder="1"/>
    <xf numFmtId="3" fontId="0" fillId="0" borderId="18" xfId="0" applyNumberFormat="1" applyFont="1" applyFill="1" applyBorder="1"/>
    <xf numFmtId="0" fontId="0" fillId="0" borderId="0" xfId="0" applyFont="1" applyBorder="1" applyAlignment="1"/>
    <xf numFmtId="0" fontId="0" fillId="0" borderId="16" xfId="0" applyFont="1" applyBorder="1" applyAlignment="1"/>
    <xf numFmtId="174" fontId="0" fillId="0" borderId="0" xfId="0" applyNumberFormat="1" applyFont="1" applyBorder="1"/>
    <xf numFmtId="174" fontId="0" fillId="0" borderId="0" xfId="0" applyNumberFormat="1" applyFont="1" applyBorder="1" applyAlignment="1"/>
    <xf numFmtId="174" fontId="0" fillId="0" borderId="16" xfId="0" applyNumberFormat="1" applyFont="1" applyBorder="1" applyAlignment="1"/>
    <xf numFmtId="9" fontId="0" fillId="42" borderId="0" xfId="17" applyFont="1" applyFill="1" applyBorder="1" applyAlignment="1"/>
    <xf numFmtId="9" fontId="0" fillId="42" borderId="16" xfId="17" applyFont="1" applyFill="1" applyBorder="1" applyAlignment="1"/>
    <xf numFmtId="9" fontId="0" fillId="42" borderId="0" xfId="17" applyFont="1" applyFill="1" applyBorder="1"/>
    <xf numFmtId="9" fontId="0" fillId="42" borderId="16" xfId="17" applyFont="1" applyFill="1" applyBorder="1"/>
    <xf numFmtId="9" fontId="0" fillId="42" borderId="1" xfId="17" applyFont="1" applyFill="1" applyBorder="1" applyAlignment="1"/>
    <xf numFmtId="9" fontId="0" fillId="42" borderId="18" xfId="17" applyFont="1" applyFill="1" applyBorder="1" applyAlignment="1"/>
    <xf numFmtId="9" fontId="0" fillId="42" borderId="1" xfId="17" applyFont="1" applyFill="1" applyBorder="1"/>
    <xf numFmtId="9" fontId="0" fillId="42" borderId="18" xfId="17" applyFont="1" applyFill="1" applyBorder="1"/>
    <xf numFmtId="0" fontId="0" fillId="42" borderId="16" xfId="0" applyFont="1" applyFill="1" applyBorder="1"/>
    <xf numFmtId="9" fontId="0" fillId="0" borderId="1" xfId="17" applyFont="1" applyBorder="1"/>
    <xf numFmtId="0" fontId="0" fillId="0" borderId="1" xfId="0" applyFont="1" applyBorder="1"/>
    <xf numFmtId="0" fontId="0" fillId="0" borderId="14" xfId="0" applyFont="1" applyFill="1" applyBorder="1" applyAlignment="1">
      <alignment wrapText="1"/>
    </xf>
    <xf numFmtId="0" fontId="0" fillId="0" borderId="15" xfId="0" applyFont="1" applyFill="1" applyBorder="1" applyAlignment="1">
      <alignment wrapText="1"/>
    </xf>
    <xf numFmtId="0" fontId="0" fillId="8" borderId="0" xfId="0" applyFont="1" applyFill="1" applyBorder="1"/>
    <xf numFmtId="173" fontId="0" fillId="0" borderId="0" xfId="0" applyNumberFormat="1" applyFont="1" applyFill="1" applyBorder="1" applyAlignment="1">
      <alignment wrapText="1"/>
    </xf>
    <xf numFmtId="3" fontId="0" fillId="0" borderId="16" xfId="0" applyNumberFormat="1" applyFont="1" applyFill="1" applyBorder="1" applyAlignment="1">
      <alignment wrapText="1"/>
    </xf>
    <xf numFmtId="3" fontId="0" fillId="0" borderId="18" xfId="0" applyNumberFormat="1" applyFont="1" applyFill="1" applyBorder="1" applyAlignment="1">
      <alignment wrapText="1"/>
    </xf>
    <xf numFmtId="168" fontId="0" fillId="0" borderId="0" xfId="0" applyNumberFormat="1" applyFont="1" applyFill="1" applyBorder="1"/>
    <xf numFmtId="168" fontId="0" fillId="0" borderId="0" xfId="0" applyNumberFormat="1" applyFont="1" applyFill="1"/>
    <xf numFmtId="0" fontId="0" fillId="6" borderId="0" xfId="0" applyFont="1" applyFill="1" applyAlignment="1">
      <alignment horizontal="center"/>
    </xf>
    <xf numFmtId="17" fontId="0" fillId="0" borderId="16" xfId="0" applyNumberFormat="1" applyFont="1" applyFill="1" applyBorder="1"/>
    <xf numFmtId="4" fontId="0" fillId="4" borderId="16" xfId="6" applyFont="1" applyBorder="1" applyAlignment="1">
      <protection locked="0"/>
    </xf>
    <xf numFmtId="4" fontId="0" fillId="4" borderId="18" xfId="6" applyFont="1" applyBorder="1" applyAlignment="1">
      <protection locked="0"/>
    </xf>
    <xf numFmtId="168" fontId="0" fillId="0" borderId="16" xfId="1" applyNumberFormat="1" applyFont="1" applyFill="1" applyBorder="1"/>
    <xf numFmtId="168" fontId="0" fillId="0" borderId="1" xfId="1" applyNumberFormat="1" applyFont="1" applyFill="1" applyBorder="1"/>
    <xf numFmtId="168" fontId="0" fillId="0" borderId="18" xfId="1" applyNumberFormat="1" applyFont="1" applyFill="1" applyBorder="1"/>
    <xf numFmtId="0" fontId="0" fillId="0" borderId="14" xfId="0" applyFont="1" applyFill="1" applyBorder="1"/>
    <xf numFmtId="9" fontId="0" fillId="0" borderId="16" xfId="17" applyFont="1" applyFill="1" applyBorder="1"/>
    <xf numFmtId="9" fontId="0" fillId="0" borderId="18" xfId="17" applyFont="1" applyFill="1" applyBorder="1"/>
    <xf numFmtId="184" fontId="0" fillId="0" borderId="0" xfId="0" applyNumberFormat="1" applyFont="1" applyFill="1" applyBorder="1"/>
    <xf numFmtId="184" fontId="0" fillId="0" borderId="16" xfId="0" applyNumberFormat="1" applyFont="1" applyFill="1" applyBorder="1"/>
    <xf numFmtId="184" fontId="0" fillId="0" borderId="1" xfId="0" applyNumberFormat="1" applyFont="1" applyFill="1" applyBorder="1"/>
    <xf numFmtId="184" fontId="0" fillId="0" borderId="18" xfId="0" applyNumberFormat="1" applyFont="1" applyFill="1" applyBorder="1"/>
    <xf numFmtId="175" fontId="0" fillId="0" borderId="16" xfId="17" applyNumberFormat="1" applyFont="1" applyFill="1" applyBorder="1"/>
    <xf numFmtId="175" fontId="0" fillId="0" borderId="18" xfId="17" applyNumberFormat="1" applyFont="1" applyFill="1" applyBorder="1"/>
    <xf numFmtId="0" fontId="0" fillId="0" borderId="0" xfId="0" applyFont="1" applyFill="1" applyBorder="1" applyAlignment="1">
      <alignment horizontal="left"/>
    </xf>
    <xf numFmtId="0" fontId="14" fillId="0" borderId="1" xfId="0" applyFont="1" applyFill="1" applyBorder="1"/>
    <xf numFmtId="184" fontId="0" fillId="0" borderId="0" xfId="0" applyNumberFormat="1" applyFont="1" applyBorder="1"/>
    <xf numFmtId="9" fontId="0" fillId="6" borderId="0" xfId="17" applyFont="1" applyFill="1" applyBorder="1"/>
    <xf numFmtId="175" fontId="0" fillId="6" borderId="0" xfId="17" applyNumberFormat="1" applyFont="1" applyFill="1" applyBorder="1"/>
    <xf numFmtId="0" fontId="0" fillId="43" borderId="0" xfId="0" applyFont="1" applyFill="1" applyBorder="1" applyAlignment="1">
      <alignment horizontal="left" wrapText="1"/>
    </xf>
    <xf numFmtId="0" fontId="0" fillId="8" borderId="0" xfId="0" applyFont="1" applyFill="1" applyBorder="1" applyAlignment="1">
      <alignment wrapText="1"/>
    </xf>
    <xf numFmtId="15" fontId="0" fillId="0" borderId="0" xfId="0" applyNumberFormat="1" applyFont="1" applyBorder="1"/>
    <xf numFmtId="0" fontId="0" fillId="43" borderId="0" xfId="0" applyFont="1" applyFill="1" applyBorder="1" applyAlignment="1">
      <alignment horizontal="left" vertical="top" wrapText="1"/>
    </xf>
    <xf numFmtId="0" fontId="0" fillId="8" borderId="0" xfId="0" applyFont="1" applyFill="1" applyBorder="1" applyAlignment="1">
      <alignment horizontal="left" vertical="top" wrapText="1"/>
    </xf>
    <xf numFmtId="0" fontId="0" fillId="42" borderId="0" xfId="0" applyFont="1" applyFill="1" applyBorder="1"/>
    <xf numFmtId="44" fontId="0" fillId="0" borderId="16" xfId="0" applyNumberFormat="1" applyFont="1" applyFill="1" applyBorder="1"/>
    <xf numFmtId="0" fontId="0" fillId="43" borderId="0" xfId="0" applyFont="1" applyFill="1" applyBorder="1" applyAlignment="1">
      <alignment wrapText="1"/>
    </xf>
    <xf numFmtId="0" fontId="0" fillId="0" borderId="18" xfId="0" applyFont="1" applyFill="1" applyBorder="1"/>
    <xf numFmtId="2" fontId="0" fillId="0" borderId="16" xfId="0" applyNumberFormat="1" applyFont="1" applyFill="1" applyBorder="1"/>
    <xf numFmtId="0" fontId="0" fillId="45" borderId="0" xfId="0" applyFont="1" applyFill="1" applyBorder="1"/>
    <xf numFmtId="0" fontId="0" fillId="0" borderId="2" xfId="0" applyFont="1" applyBorder="1" applyAlignment="1"/>
    <xf numFmtId="0" fontId="0" fillId="0" borderId="2" xfId="0" applyFont="1" applyFill="1" applyBorder="1" applyAlignment="1"/>
    <xf numFmtId="2" fontId="0" fillId="42" borderId="0" xfId="0" applyNumberFormat="1" applyFont="1" applyFill="1" applyBorder="1"/>
    <xf numFmtId="0" fontId="0" fillId="43" borderId="0" xfId="0" applyFont="1" applyFill="1" applyBorder="1"/>
    <xf numFmtId="0" fontId="0" fillId="6" borderId="15" xfId="0" applyFont="1" applyFill="1" applyBorder="1"/>
    <xf numFmtId="168" fontId="0" fillId="42" borderId="16" xfId="1" applyNumberFormat="1" applyFont="1" applyFill="1" applyBorder="1" applyAlignment="1">
      <alignment horizontal="right"/>
    </xf>
    <xf numFmtId="176" fontId="0" fillId="0" borderId="16" xfId="0" applyNumberFormat="1" applyFont="1" applyFill="1" applyBorder="1"/>
    <xf numFmtId="176" fontId="0" fillId="0" borderId="18" xfId="0" applyNumberFormat="1" applyFont="1" applyFill="1" applyBorder="1"/>
    <xf numFmtId="0" fontId="0" fillId="6" borderId="14" xfId="0" applyFont="1" applyFill="1" applyBorder="1"/>
    <xf numFmtId="2" fontId="0" fillId="0" borderId="16" xfId="0" applyNumberFormat="1" applyFont="1" applyBorder="1"/>
    <xf numFmtId="2" fontId="0" fillId="0" borderId="18" xfId="0" applyNumberFormat="1" applyFont="1" applyFill="1" applyBorder="1"/>
    <xf numFmtId="2" fontId="0" fillId="42" borderId="18" xfId="0" applyNumberFormat="1" applyFont="1" applyFill="1" applyBorder="1"/>
    <xf numFmtId="2" fontId="0" fillId="42" borderId="16" xfId="0" applyNumberFormat="1" applyFont="1" applyFill="1" applyBorder="1"/>
    <xf numFmtId="0" fontId="0" fillId="6" borderId="17" xfId="0" applyFont="1" applyFill="1" applyBorder="1"/>
    <xf numFmtId="0" fontId="0" fillId="6" borderId="18" xfId="0" applyFont="1" applyFill="1" applyBorder="1"/>
    <xf numFmtId="0" fontId="0" fillId="0" borderId="0" xfId="0" applyFont="1" applyAlignment="1">
      <alignment horizontal="right"/>
    </xf>
    <xf numFmtId="0" fontId="0" fillId="6" borderId="13" xfId="0" applyFont="1" applyFill="1" applyBorder="1"/>
    <xf numFmtId="0" fontId="0" fillId="0" borderId="7" xfId="0" applyFont="1" applyFill="1" applyBorder="1"/>
    <xf numFmtId="2" fontId="0" fillId="44" borderId="17" xfId="0" applyNumberFormat="1" applyFont="1" applyFill="1" applyBorder="1"/>
    <xf numFmtId="2" fontId="0" fillId="44" borderId="1" xfId="0" applyNumberFormat="1" applyFont="1" applyFill="1" applyBorder="1"/>
    <xf numFmtId="2" fontId="0" fillId="44" borderId="18" xfId="0" applyNumberFormat="1" applyFont="1" applyFill="1" applyBorder="1"/>
    <xf numFmtId="0" fontId="0" fillId="6" borderId="2" xfId="0" applyFont="1" applyFill="1" applyBorder="1"/>
    <xf numFmtId="0" fontId="0" fillId="0" borderId="21" xfId="0" applyFont="1" applyFill="1" applyBorder="1"/>
    <xf numFmtId="165" fontId="0" fillId="0" borderId="0" xfId="17" applyNumberFormat="1" applyFont="1" applyFill="1" applyBorder="1" applyAlignment="1">
      <alignment horizontal="right"/>
    </xf>
    <xf numFmtId="44" fontId="0" fillId="4" borderId="0" xfId="18" applyFont="1" applyFill="1" applyBorder="1" applyAlignment="1" applyProtection="1">
      <protection locked="0"/>
    </xf>
    <xf numFmtId="44" fontId="0" fillId="4" borderId="16" xfId="18" applyFont="1" applyFill="1" applyBorder="1" applyAlignment="1" applyProtection="1">
      <protection locked="0"/>
    </xf>
    <xf numFmtId="0" fontId="0" fillId="6" borderId="16" xfId="0" applyFont="1" applyFill="1" applyBorder="1"/>
    <xf numFmtId="0" fontId="0" fillId="6" borderId="0" xfId="0" applyFont="1" applyFill="1" applyAlignment="1">
      <alignment wrapText="1"/>
    </xf>
    <xf numFmtId="0" fontId="0" fillId="43" borderId="16" xfId="0" applyFont="1" applyFill="1" applyBorder="1" applyAlignment="1">
      <alignment wrapText="1"/>
    </xf>
    <xf numFmtId="0" fontId="0" fillId="43" borderId="15" xfId="0" applyFont="1" applyFill="1" applyBorder="1" applyAlignment="1">
      <alignment wrapText="1"/>
    </xf>
    <xf numFmtId="14" fontId="0" fillId="43" borderId="0" xfId="0" applyNumberFormat="1" applyFont="1" applyFill="1" applyBorder="1" applyAlignment="1">
      <alignment wrapText="1"/>
    </xf>
    <xf numFmtId="14" fontId="0" fillId="43" borderId="0" xfId="0" applyNumberFormat="1" applyFont="1" applyFill="1" applyBorder="1" applyAlignment="1">
      <alignment horizontal="center" wrapText="1"/>
    </xf>
    <xf numFmtId="10" fontId="0" fillId="42" borderId="0" xfId="0" applyNumberFormat="1" applyFont="1" applyFill="1" applyBorder="1"/>
    <xf numFmtId="0" fontId="0" fillId="42" borderId="15" xfId="0" applyFont="1" applyFill="1" applyBorder="1"/>
    <xf numFmtId="0" fontId="0" fillId="0" borderId="0" xfId="0" applyFont="1" applyFill="1" applyAlignment="1"/>
    <xf numFmtId="10" fontId="0" fillId="43" borderId="15" xfId="0" applyNumberFormat="1" applyFont="1" applyFill="1" applyBorder="1" applyAlignment="1">
      <alignment horizontal="center" wrapText="1"/>
    </xf>
    <xf numFmtId="14" fontId="0" fillId="42" borderId="0" xfId="0" applyNumberFormat="1" applyFont="1" applyFill="1" applyBorder="1"/>
    <xf numFmtId="10" fontId="0" fillId="43" borderId="0" xfId="0" applyNumberFormat="1" applyFont="1" applyFill="1" applyBorder="1" applyAlignment="1">
      <alignment wrapText="1"/>
    </xf>
    <xf numFmtId="14" fontId="0" fillId="43" borderId="15" xfId="0" applyNumberFormat="1" applyFont="1" applyFill="1" applyBorder="1" applyAlignment="1">
      <alignment horizontal="center" wrapText="1"/>
    </xf>
    <xf numFmtId="14" fontId="0" fillId="43" borderId="16" xfId="0" applyNumberFormat="1" applyFont="1" applyFill="1" applyBorder="1" applyAlignment="1">
      <alignment wrapText="1"/>
    </xf>
    <xf numFmtId="10" fontId="0" fillId="6" borderId="0" xfId="0" applyNumberFormat="1" applyFont="1" applyFill="1" applyBorder="1" applyAlignment="1">
      <alignment wrapText="1"/>
    </xf>
    <xf numFmtId="14" fontId="0" fillId="45" borderId="0" xfId="0" applyNumberFormat="1" applyFont="1" applyFill="1" applyBorder="1"/>
    <xf numFmtId="10" fontId="0" fillId="8" borderId="0" xfId="0" applyNumberFormat="1" applyFont="1" applyFill="1" applyBorder="1" applyAlignment="1">
      <alignment wrapText="1"/>
    </xf>
    <xf numFmtId="0" fontId="20" fillId="6" borderId="0" xfId="0" applyFont="1" applyFill="1" applyAlignment="1">
      <alignment wrapText="1"/>
    </xf>
    <xf numFmtId="9" fontId="0" fillId="6" borderId="0" xfId="0" applyNumberFormat="1" applyFont="1" applyFill="1"/>
    <xf numFmtId="15" fontId="0" fillId="8" borderId="0" xfId="0" applyNumberFormat="1" applyFont="1" applyFill="1"/>
    <xf numFmtId="9" fontId="11" fillId="5" borderId="18" xfId="9" applyNumberFormat="1" applyFont="1" applyBorder="1" applyAlignment="1">
      <alignment wrapText="1"/>
    </xf>
    <xf numFmtId="3" fontId="0" fillId="0" borderId="0" xfId="0" applyNumberFormat="1" applyFont="1" applyFill="1" applyBorder="1"/>
    <xf numFmtId="0" fontId="21" fillId="0" borderId="0" xfId="4" applyNumberFormat="1" applyFont="1" applyFill="1" applyBorder="1" applyAlignment="1"/>
    <xf numFmtId="1" fontId="21" fillId="0" borderId="16" xfId="4" applyNumberFormat="1" applyFont="1" applyFill="1" applyBorder="1" applyAlignment="1"/>
    <xf numFmtId="172" fontId="0" fillId="0" borderId="16" xfId="0" applyNumberFormat="1" applyFont="1" applyFill="1" applyBorder="1"/>
    <xf numFmtId="4" fontId="0" fillId="0" borderId="18" xfId="0" applyNumberFormat="1" applyFont="1" applyFill="1" applyBorder="1"/>
    <xf numFmtId="0" fontId="0" fillId="0" borderId="15" xfId="0" applyFont="1" applyFill="1" applyBorder="1" applyAlignment="1">
      <alignment horizontal="right"/>
    </xf>
    <xf numFmtId="0" fontId="0" fillId="0" borderId="15" xfId="0" applyFont="1" applyBorder="1" applyAlignment="1">
      <alignment horizontal="right"/>
    </xf>
    <xf numFmtId="170" fontId="0" fillId="0" borderId="16" xfId="0" applyNumberFormat="1" applyFont="1" applyFill="1" applyBorder="1"/>
    <xf numFmtId="170" fontId="0" fillId="0" borderId="18" xfId="0" applyNumberFormat="1" applyFont="1" applyFill="1" applyBorder="1"/>
    <xf numFmtId="4" fontId="0" fillId="0" borderId="0" xfId="0" applyNumberFormat="1" applyFont="1" applyFill="1" applyBorder="1"/>
    <xf numFmtId="4" fontId="0" fillId="4" borderId="0" xfId="6" applyFont="1" applyAlignment="1">
      <protection locked="0"/>
    </xf>
    <xf numFmtId="4" fontId="11" fillId="5" borderId="7" xfId="9" applyNumberFormat="1" applyFont="1" applyBorder="1"/>
    <xf numFmtId="49" fontId="0" fillId="0" borderId="0" xfId="0" quotePrefix="1" applyNumberFormat="1" applyFont="1" applyFill="1"/>
    <xf numFmtId="3" fontId="0" fillId="4" borderId="0" xfId="6" applyNumberFormat="1" applyFont="1" applyAlignment="1">
      <protection locked="0"/>
    </xf>
    <xf numFmtId="170" fontId="0" fillId="0" borderId="7" xfId="0" applyNumberFormat="1" applyFont="1" applyFill="1" applyBorder="1"/>
    <xf numFmtId="170" fontId="11" fillId="5" borderId="7" xfId="9" applyNumberFormat="1" applyFont="1" applyBorder="1"/>
    <xf numFmtId="49" fontId="0" fillId="0" borderId="0" xfId="0" quotePrefix="1" applyNumberFormat="1" applyFont="1"/>
    <xf numFmtId="170" fontId="0" fillId="0" borderId="0" xfId="0" applyNumberFormat="1" applyFont="1" applyFill="1" applyBorder="1"/>
    <xf numFmtId="0" fontId="17" fillId="0" borderId="0" xfId="0" applyFont="1" applyFill="1"/>
    <xf numFmtId="15" fontId="0" fillId="0" borderId="2" xfId="0" applyNumberFormat="1" applyFont="1" applyBorder="1"/>
    <xf numFmtId="17" fontId="0" fillId="0" borderId="0" xfId="0" applyNumberFormat="1" applyFont="1" applyBorder="1"/>
    <xf numFmtId="0" fontId="0" fillId="0" borderId="13" xfId="0" applyFont="1" applyBorder="1" applyAlignment="1">
      <alignment wrapText="1"/>
    </xf>
    <xf numFmtId="17" fontId="0" fillId="0" borderId="1" xfId="0" applyNumberFormat="1" applyFont="1" applyBorder="1" applyAlignment="1">
      <alignment vertical="top" wrapText="1"/>
    </xf>
    <xf numFmtId="15" fontId="0" fillId="0" borderId="1" xfId="0" applyNumberFormat="1" applyFont="1" applyBorder="1" applyAlignment="1">
      <alignment vertical="top" wrapText="1"/>
    </xf>
    <xf numFmtId="0" fontId="0" fillId="8" borderId="0" xfId="0" quotePrefix="1" applyFont="1" applyFill="1"/>
    <xf numFmtId="14" fontId="0" fillId="8" borderId="0" xfId="0" applyNumberFormat="1" applyFont="1" applyFill="1" applyBorder="1"/>
    <xf numFmtId="15" fontId="0" fillId="8" borderId="0" xfId="0" applyNumberFormat="1" applyFont="1" applyFill="1" applyBorder="1"/>
    <xf numFmtId="0" fontId="0" fillId="8" borderId="0" xfId="0" quotePrefix="1" applyFont="1" applyFill="1" applyAlignment="1">
      <alignment wrapText="1"/>
    </xf>
    <xf numFmtId="0" fontId="21" fillId="0" borderId="17" xfId="4" applyNumberFormat="1" applyFont="1" applyBorder="1" applyAlignment="1"/>
    <xf numFmtId="170" fontId="21" fillId="0" borderId="1" xfId="4" applyNumberFormat="1" applyFont="1" applyFill="1" applyBorder="1" applyAlignment="1"/>
    <xf numFmtId="43" fontId="21" fillId="0" borderId="1" xfId="4" applyNumberFormat="1" applyFont="1" applyFill="1" applyBorder="1" applyAlignment="1"/>
    <xf numFmtId="0" fontId="0" fillId="0" borderId="2" xfId="0" applyFont="1" applyBorder="1" applyAlignment="1">
      <alignment horizontal="right"/>
    </xf>
    <xf numFmtId="4" fontId="0" fillId="4" borderId="14" xfId="6" applyFont="1" applyBorder="1" applyAlignment="1">
      <protection locked="0"/>
    </xf>
    <xf numFmtId="169" fontId="0" fillId="0" borderId="16" xfId="0" applyNumberFormat="1" applyFont="1" applyFill="1" applyBorder="1"/>
    <xf numFmtId="43" fontId="0" fillId="0" borderId="18" xfId="0" applyNumberFormat="1" applyFont="1" applyFill="1" applyBorder="1"/>
    <xf numFmtId="0" fontId="23" fillId="0" borderId="13" xfId="0" applyFont="1" applyBorder="1"/>
    <xf numFmtId="0" fontId="75" fillId="0" borderId="15" xfId="0" applyFont="1" applyFill="1" applyBorder="1"/>
    <xf numFmtId="9" fontId="75" fillId="0" borderId="0" xfId="17" applyNumberFormat="1" applyFont="1" applyBorder="1"/>
    <xf numFmtId="3" fontId="75" fillId="0" borderId="16" xfId="0" applyNumberFormat="1" applyFont="1" applyBorder="1"/>
    <xf numFmtId="0" fontId="76" fillId="0" borderId="17" xfId="0" applyFont="1" applyFill="1" applyBorder="1"/>
    <xf numFmtId="9" fontId="75" fillId="0" borderId="1" xfId="0" applyNumberFormat="1" applyFont="1" applyBorder="1"/>
    <xf numFmtId="3" fontId="75" fillId="0" borderId="18" xfId="0" applyNumberFormat="1" applyFont="1" applyBorder="1"/>
    <xf numFmtId="0" fontId="75" fillId="0" borderId="13" xfId="0" applyFont="1" applyBorder="1" applyAlignment="1">
      <alignment wrapText="1"/>
    </xf>
    <xf numFmtId="0" fontId="75" fillId="0" borderId="2" xfId="0" applyFont="1" applyBorder="1"/>
    <xf numFmtId="0" fontId="75" fillId="0" borderId="14" xfId="0" applyFont="1" applyBorder="1"/>
    <xf numFmtId="0" fontId="75" fillId="0" borderId="15" xfId="0" applyFont="1" applyBorder="1" applyAlignment="1">
      <alignment wrapText="1"/>
    </xf>
    <xf numFmtId="0" fontId="75" fillId="0" borderId="0" xfId="0" applyFont="1" applyBorder="1" applyAlignment="1">
      <alignment wrapText="1"/>
    </xf>
    <xf numFmtId="0" fontId="75" fillId="0" borderId="16" xfId="0" applyFont="1" applyBorder="1"/>
    <xf numFmtId="0" fontId="75" fillId="0" borderId="0" xfId="0" applyFont="1" applyFill="1"/>
    <xf numFmtId="0" fontId="75" fillId="0" borderId="13" xfId="0" applyFont="1" applyFill="1" applyBorder="1"/>
    <xf numFmtId="0" fontId="75" fillId="0" borderId="0" xfId="0" applyFont="1" applyBorder="1"/>
    <xf numFmtId="9" fontId="75" fillId="0" borderId="16" xfId="17" applyFont="1" applyBorder="1"/>
    <xf numFmtId="9" fontId="75" fillId="0" borderId="18" xfId="17" applyFont="1" applyBorder="1"/>
    <xf numFmtId="0" fontId="75" fillId="0" borderId="0" xfId="0" applyFont="1"/>
    <xf numFmtId="9" fontId="0" fillId="0" borderId="18" xfId="17" applyFont="1" applyBorder="1"/>
    <xf numFmtId="9" fontId="11" fillId="5" borderId="16" xfId="9" applyNumberFormat="1" applyBorder="1"/>
    <xf numFmtId="0" fontId="27" fillId="0" borderId="0" xfId="0" applyFont="1"/>
    <xf numFmtId="9" fontId="0" fillId="0" borderId="16" xfId="17" applyFont="1" applyBorder="1"/>
    <xf numFmtId="168" fontId="0" fillId="0" borderId="0" xfId="1" applyNumberFormat="1" applyFont="1" applyBorder="1"/>
    <xf numFmtId="168" fontId="0" fillId="0" borderId="1" xfId="1" applyNumberFormat="1" applyFont="1" applyBorder="1"/>
    <xf numFmtId="0" fontId="75" fillId="0" borderId="0" xfId="0" applyFont="1" applyFill="1" applyBorder="1"/>
    <xf numFmtId="0" fontId="29" fillId="0" borderId="13" xfId="0" applyFont="1" applyBorder="1"/>
    <xf numFmtId="0" fontId="75" fillId="0" borderId="17" xfId="0" applyFont="1" applyFill="1" applyBorder="1"/>
    <xf numFmtId="165" fontId="7" fillId="4" borderId="16" xfId="7" applyBorder="1" applyAlignment="1">
      <protection locked="0"/>
    </xf>
    <xf numFmtId="0" fontId="25" fillId="0" borderId="0" xfId="0" applyFont="1" applyBorder="1" applyAlignment="1"/>
    <xf numFmtId="4" fontId="0" fillId="0" borderId="0" xfId="1" applyNumberFormat="1" applyFont="1" applyFill="1" applyBorder="1" applyAlignment="1">
      <alignment wrapText="1"/>
    </xf>
    <xf numFmtId="0" fontId="0" fillId="0" borderId="13" xfId="0" applyFont="1" applyFill="1" applyBorder="1" applyAlignment="1">
      <alignment wrapText="1"/>
    </xf>
    <xf numFmtId="0" fontId="0" fillId="0" borderId="13" xfId="0" applyFont="1" applyBorder="1" applyAlignment="1">
      <alignment horizontal="left"/>
    </xf>
    <xf numFmtId="0" fontId="0" fillId="0" borderId="15" xfId="0" applyFont="1" applyBorder="1" applyAlignment="1">
      <alignment horizontal="left"/>
    </xf>
    <xf numFmtId="177" fontId="0" fillId="0" borderId="15" xfId="0" applyNumberFormat="1" applyFont="1" applyFill="1" applyBorder="1" applyAlignment="1">
      <alignment horizontal="left"/>
    </xf>
    <xf numFmtId="177" fontId="0" fillId="0" borderId="17" xfId="0" applyNumberFormat="1" applyFont="1" applyFill="1" applyBorder="1" applyAlignment="1">
      <alignment horizontal="left"/>
    </xf>
    <xf numFmtId="14" fontId="0" fillId="0" borderId="15" xfId="0" applyNumberFormat="1" applyFont="1" applyBorder="1" applyAlignment="1">
      <alignment horizontal="left"/>
    </xf>
    <xf numFmtId="14" fontId="0" fillId="0" borderId="17" xfId="0" applyNumberFormat="1" applyFont="1" applyBorder="1" applyAlignment="1">
      <alignment horizontal="left"/>
    </xf>
    <xf numFmtId="9" fontId="0" fillId="0" borderId="0" xfId="17" applyFont="1" applyBorder="1" applyAlignment="1"/>
    <xf numFmtId="0" fontId="30" fillId="0" borderId="0" xfId="0" applyFont="1" applyBorder="1"/>
    <xf numFmtId="0" fontId="31" fillId="0" borderId="0" xfId="0" applyFont="1" applyBorder="1"/>
    <xf numFmtId="0" fontId="28" fillId="0" borderId="2" xfId="0" applyFont="1" applyFill="1" applyBorder="1"/>
    <xf numFmtId="17" fontId="0" fillId="0" borderId="2" xfId="0" applyNumberFormat="1" applyFont="1" applyFill="1" applyBorder="1"/>
    <xf numFmtId="17" fontId="0" fillId="0" borderId="14" xfId="0" applyNumberFormat="1" applyFont="1" applyFill="1" applyBorder="1"/>
    <xf numFmtId="165" fontId="0" fillId="0" borderId="13" xfId="17" applyNumberFormat="1" applyFont="1" applyFill="1" applyBorder="1"/>
    <xf numFmtId="165" fontId="0" fillId="0" borderId="2" xfId="17" applyNumberFormat="1" applyFont="1" applyFill="1" applyBorder="1"/>
    <xf numFmtId="165" fontId="0" fillId="0" borderId="15" xfId="17" applyNumberFormat="1" applyFont="1" applyFill="1" applyBorder="1"/>
    <xf numFmtId="165" fontId="0" fillId="0" borderId="17" xfId="17" applyNumberFormat="1" applyFont="1" applyFill="1" applyBorder="1"/>
    <xf numFmtId="175" fontId="0" fillId="0" borderId="14" xfId="17" applyNumberFormat="1" applyFont="1" applyFill="1" applyBorder="1"/>
    <xf numFmtId="0" fontId="9" fillId="6" borderId="14" xfId="59" applyFont="1" applyFill="1" applyBorder="1"/>
    <xf numFmtId="0" fontId="46" fillId="0" borderId="11" xfId="0" applyFont="1" applyFill="1" applyBorder="1"/>
    <xf numFmtId="179" fontId="16" fillId="0" borderId="11" xfId="0" applyNumberFormat="1" applyFont="1" applyBorder="1" applyAlignment="1"/>
    <xf numFmtId="179" fontId="16" fillId="0" borderId="6" xfId="0" applyNumberFormat="1" applyFont="1" applyBorder="1" applyAlignment="1"/>
    <xf numFmtId="165" fontId="55" fillId="5" borderId="6" xfId="0" applyNumberFormat="1" applyFont="1" applyFill="1" applyBorder="1"/>
    <xf numFmtId="165" fontId="56" fillId="40" borderId="6" xfId="0" applyNumberFormat="1" applyFont="1" applyFill="1" applyBorder="1"/>
    <xf numFmtId="165" fontId="56" fillId="40" borderId="12" xfId="0" applyNumberFormat="1" applyFont="1" applyFill="1" applyBorder="1"/>
    <xf numFmtId="0" fontId="25" fillId="0" borderId="13" xfId="0" applyFont="1" applyBorder="1" applyAlignment="1">
      <alignment horizontal="left"/>
    </xf>
    <xf numFmtId="0" fontId="9" fillId="6" borderId="0" xfId="59" applyFont="1" applyFill="1" applyAlignment="1">
      <alignment horizontal="left"/>
    </xf>
    <xf numFmtId="0" fontId="0" fillId="0" borderId="16" xfId="0" applyFont="1" applyBorder="1" applyAlignment="1">
      <alignment horizontal="left"/>
    </xf>
    <xf numFmtId="0" fontId="0" fillId="42" borderId="16" xfId="0" applyFont="1" applyFill="1" applyBorder="1" applyAlignment="1">
      <alignment horizontal="left"/>
    </xf>
    <xf numFmtId="176" fontId="0" fillId="0" borderId="16" xfId="0" applyNumberFormat="1" applyFont="1" applyFill="1" applyBorder="1" applyAlignment="1">
      <alignment horizontal="left"/>
    </xf>
    <xf numFmtId="0" fontId="0" fillId="0" borderId="17" xfId="0" applyFont="1" applyFill="1" applyBorder="1" applyAlignment="1">
      <alignment horizontal="left"/>
    </xf>
    <xf numFmtId="176" fontId="0" fillId="0" borderId="18" xfId="0" applyNumberFormat="1" applyFont="1" applyFill="1" applyBorder="1" applyAlignment="1">
      <alignment horizontal="left"/>
    </xf>
    <xf numFmtId="0" fontId="50" fillId="0" borderId="0" xfId="59" applyFont="1" applyFill="1" applyAlignment="1">
      <alignment horizontal="left"/>
    </xf>
    <xf numFmtId="0" fontId="9" fillId="0" borderId="0" xfId="59" applyFont="1" applyFill="1" applyAlignment="1">
      <alignment horizontal="left"/>
    </xf>
    <xf numFmtId="0" fontId="28" fillId="0" borderId="0" xfId="83" applyFont="1"/>
    <xf numFmtId="0" fontId="28" fillId="0" borderId="0" xfId="83" applyFont="1" applyFill="1"/>
    <xf numFmtId="0" fontId="28" fillId="0" borderId="0" xfId="83" applyFont="1" applyAlignment="1">
      <alignment horizontal="left"/>
    </xf>
    <xf numFmtId="0" fontId="82" fillId="0" borderId="0" xfId="83" applyFont="1"/>
    <xf numFmtId="44" fontId="6" fillId="0" borderId="0" xfId="83" applyNumberFormat="1"/>
    <xf numFmtId="0" fontId="16" fillId="0" borderId="16" xfId="0" applyFont="1" applyBorder="1" applyAlignment="1">
      <alignment horizontal="left" wrapText="1"/>
    </xf>
    <xf numFmtId="0" fontId="0" fillId="0" borderId="14" xfId="0" applyFont="1" applyBorder="1" applyAlignment="1">
      <alignment horizontal="left"/>
    </xf>
    <xf numFmtId="0" fontId="0" fillId="0" borderId="0" xfId="0"/>
    <xf numFmtId="0" fontId="0" fillId="0" borderId="2" xfId="0" applyBorder="1"/>
    <xf numFmtId="0" fontId="0" fillId="0" borderId="0" xfId="0" applyBorder="1"/>
    <xf numFmtId="0" fontId="0" fillId="0" borderId="15" xfId="0" applyBorder="1"/>
    <xf numFmtId="0" fontId="0" fillId="0" borderId="1" xfId="0" applyBorder="1"/>
    <xf numFmtId="0" fontId="0" fillId="0" borderId="14" xfId="0" applyBorder="1"/>
    <xf numFmtId="0" fontId="0" fillId="0" borderId="16" xfId="0" applyBorder="1"/>
    <xf numFmtId="0" fontId="0" fillId="0" borderId="17" xfId="0" applyBorder="1"/>
    <xf numFmtId="0" fontId="0" fillId="0" borderId="18" xfId="0" applyBorder="1"/>
    <xf numFmtId="0" fontId="51" fillId="0" borderId="39" xfId="0" applyFont="1" applyFill="1" applyBorder="1"/>
    <xf numFmtId="0" fontId="0" fillId="0" borderId="0" xfId="0" applyFill="1"/>
    <xf numFmtId="0" fontId="16" fillId="0" borderId="0" xfId="0" applyFont="1"/>
    <xf numFmtId="0" fontId="0" fillId="0" borderId="0" xfId="0" applyFont="1"/>
    <xf numFmtId="0" fontId="20" fillId="0" borderId="8" xfId="0" applyFont="1" applyBorder="1" applyAlignment="1">
      <alignment horizontal="center"/>
    </xf>
    <xf numFmtId="0" fontId="20" fillId="0" borderId="10" xfId="0" applyFont="1" applyBorder="1" applyAlignment="1">
      <alignment horizontal="center"/>
    </xf>
    <xf numFmtId="0" fontId="82" fillId="0" borderId="0" xfId="83" applyFont="1" applyAlignment="1">
      <alignment horizontal="left"/>
    </xf>
    <xf numFmtId="10" fontId="9" fillId="0" borderId="0" xfId="84" applyNumberFormat="1" applyFont="1"/>
    <xf numFmtId="44" fontId="28" fillId="0" borderId="0" xfId="18" applyFont="1"/>
    <xf numFmtId="186" fontId="28" fillId="0" borderId="0" xfId="83" applyNumberFormat="1" applyFont="1"/>
    <xf numFmtId="186" fontId="28" fillId="0" borderId="0" xfId="83" applyNumberFormat="1" applyFont="1" applyFill="1"/>
    <xf numFmtId="10" fontId="79" fillId="0" borderId="0" xfId="77" applyNumberFormat="1">
      <protection locked="0"/>
    </xf>
    <xf numFmtId="0" fontId="28" fillId="0" borderId="18" xfId="83" applyFont="1" applyBorder="1"/>
    <xf numFmtId="0" fontId="7" fillId="0" borderId="1" xfId="85" applyFill="1" applyBorder="1"/>
    <xf numFmtId="0" fontId="28" fillId="0" borderId="1" xfId="83" applyFont="1" applyBorder="1"/>
    <xf numFmtId="0" fontId="28" fillId="0" borderId="17" xfId="83" applyFont="1" applyBorder="1"/>
    <xf numFmtId="0" fontId="28" fillId="0" borderId="16" xfId="83" applyFont="1" applyBorder="1"/>
    <xf numFmtId="0" fontId="7" fillId="0" borderId="0" xfId="85" applyFill="1" applyBorder="1"/>
    <xf numFmtId="0" fontId="28" fillId="0" borderId="0" xfId="83" applyFont="1" applyBorder="1"/>
    <xf numFmtId="0" fontId="28" fillId="0" borderId="15" xfId="83" applyFont="1" applyBorder="1"/>
    <xf numFmtId="10" fontId="9" fillId="0" borderId="0" xfId="84" applyNumberFormat="1" applyFont="1" applyBorder="1"/>
    <xf numFmtId="10" fontId="9" fillId="0" borderId="15" xfId="84" applyNumberFormat="1" applyFont="1" applyBorder="1"/>
    <xf numFmtId="8" fontId="9" fillId="0" borderId="0" xfId="84" applyNumberFormat="1" applyFont="1" applyBorder="1"/>
    <xf numFmtId="0" fontId="28" fillId="0" borderId="14" xfId="83" applyFont="1" applyBorder="1"/>
    <xf numFmtId="0" fontId="82" fillId="0" borderId="2" xfId="83" applyFont="1" applyBorder="1"/>
    <xf numFmtId="0" fontId="7" fillId="0" borderId="2" xfId="85" applyBorder="1"/>
    <xf numFmtId="0" fontId="16" fillId="0" borderId="2" xfId="85" applyFont="1" applyBorder="1"/>
    <xf numFmtId="0" fontId="28" fillId="0" borderId="2" xfId="83" applyFont="1" applyBorder="1"/>
    <xf numFmtId="0" fontId="82" fillId="0" borderId="13" xfId="83" applyFont="1" applyBorder="1"/>
    <xf numFmtId="44" fontId="0" fillId="0" borderId="0" xfId="18" applyFont="1"/>
    <xf numFmtId="44" fontId="0" fillId="0" borderId="0" xfId="0" applyNumberFormat="1" applyBorder="1"/>
    <xf numFmtId="0" fontId="67" fillId="0" borderId="14" xfId="0" applyFont="1" applyFill="1" applyBorder="1"/>
    <xf numFmtId="0" fontId="28" fillId="0" borderId="0" xfId="83" applyFont="1" applyFill="1" applyBorder="1"/>
    <xf numFmtId="0" fontId="0" fillId="0" borderId="0" xfId="85" applyFont="1"/>
    <xf numFmtId="9" fontId="11" fillId="5" borderId="15" xfId="9" applyNumberFormat="1" applyBorder="1"/>
    <xf numFmtId="0" fontId="28" fillId="0" borderId="13" xfId="83" applyFont="1" applyBorder="1"/>
    <xf numFmtId="44" fontId="7" fillId="0" borderId="0" xfId="87" applyFont="1" applyFill="1" applyBorder="1"/>
    <xf numFmtId="0" fontId="7" fillId="0" borderId="0" xfId="85" applyFont="1"/>
    <xf numFmtId="0" fontId="10" fillId="0" borderId="0" xfId="8" applyNumberFormat="1" applyProtection="1"/>
    <xf numFmtId="0" fontId="18" fillId="0" borderId="0" xfId="58"/>
    <xf numFmtId="0" fontId="7" fillId="6" borderId="0" xfId="59" applyFont="1" applyFill="1" applyAlignment="1">
      <alignment horizontal="left"/>
    </xf>
    <xf numFmtId="165" fontId="7" fillId="6" borderId="0" xfId="17" applyNumberFormat="1" applyFont="1" applyFill="1" applyAlignment="1">
      <alignment horizontal="left"/>
    </xf>
    <xf numFmtId="0" fontId="67" fillId="0" borderId="0" xfId="83" applyFont="1"/>
    <xf numFmtId="0" fontId="18" fillId="0" borderId="0" xfId="58" applyFill="1" applyAlignment="1">
      <alignment vertical="center"/>
    </xf>
    <xf numFmtId="44" fontId="0" fillId="0" borderId="0" xfId="18" applyFont="1" applyFill="1"/>
    <xf numFmtId="0" fontId="81" fillId="0" borderId="0" xfId="0" applyFont="1" applyFill="1" applyBorder="1" applyAlignment="1">
      <alignment horizontal="right"/>
    </xf>
    <xf numFmtId="8" fontId="83" fillId="0" borderId="0" xfId="0" applyNumberFormat="1" applyFont="1" applyFill="1" applyBorder="1" applyAlignment="1">
      <alignment horizontal="right"/>
    </xf>
    <xf numFmtId="165" fontId="0" fillId="0" borderId="0" xfId="0" applyNumberFormat="1" applyFont="1" applyFill="1" applyBorder="1"/>
    <xf numFmtId="8" fontId="0" fillId="0" borderId="0" xfId="0" applyNumberFormat="1" applyFont="1" applyFill="1" applyBorder="1"/>
    <xf numFmtId="2" fontId="83" fillId="0" borderId="0" xfId="0" applyNumberFormat="1" applyFont="1" applyFill="1" applyBorder="1" applyAlignment="1">
      <alignment horizontal="right"/>
    </xf>
    <xf numFmtId="0" fontId="81" fillId="0" borderId="0" xfId="0" applyFont="1" applyFill="1" applyBorder="1" applyAlignment="1">
      <alignment horizontal="right" vertical="center"/>
    </xf>
    <xf numFmtId="0" fontId="81" fillId="0" borderId="0" xfId="0" applyFont="1" applyFill="1" applyBorder="1" applyAlignment="1">
      <alignment horizontal="right" wrapText="1"/>
    </xf>
    <xf numFmtId="8" fontId="84" fillId="0" borderId="0" xfId="0" applyNumberFormat="1" applyFont="1" applyFill="1" applyBorder="1" applyAlignment="1">
      <alignment horizontal="right" vertical="center"/>
    </xf>
    <xf numFmtId="0" fontId="81" fillId="0" borderId="0" xfId="0" applyNumberFormat="1" applyFont="1" applyFill="1" applyBorder="1" applyAlignment="1">
      <alignment horizontal="right"/>
    </xf>
    <xf numFmtId="0" fontId="0" fillId="0" borderId="0" xfId="0" applyFont="1" applyFill="1" applyBorder="1" applyAlignment="1">
      <alignment vertical="center"/>
    </xf>
    <xf numFmtId="0" fontId="84" fillId="0" borderId="0" xfId="0" applyFont="1" applyFill="1" applyBorder="1" applyAlignment="1">
      <alignment horizontal="right" vertical="center"/>
    </xf>
    <xf numFmtId="0" fontId="81" fillId="0" borderId="0" xfId="0" applyNumberFormat="1" applyFont="1" applyFill="1" applyBorder="1" applyAlignment="1">
      <alignment horizontal="right" vertical="center"/>
    </xf>
    <xf numFmtId="44" fontId="0" fillId="0" borderId="0" xfId="18" applyFont="1" applyFill="1" applyBorder="1" applyAlignment="1">
      <alignment horizontal="left"/>
    </xf>
    <xf numFmtId="44" fontId="0" fillId="0" borderId="0" xfId="18" applyFont="1" applyFill="1" applyBorder="1" applyAlignment="1"/>
    <xf numFmtId="0" fontId="0" fillId="0" borderId="0" xfId="0" applyFont="1" applyFill="1" applyBorder="1" applyAlignment="1">
      <alignment horizontal="right" vertical="center"/>
    </xf>
    <xf numFmtId="44" fontId="0" fillId="0" borderId="0" xfId="18" applyFont="1" applyFill="1" applyBorder="1" applyAlignment="1">
      <alignment vertical="center"/>
    </xf>
    <xf numFmtId="0" fontId="85" fillId="0" borderId="0" xfId="0" applyFont="1" applyFill="1" applyBorder="1" applyAlignment="1">
      <alignment horizontal="right" vertical="center"/>
    </xf>
    <xf numFmtId="0" fontId="83" fillId="0" borderId="0" xfId="0" applyFont="1" applyFill="1" applyBorder="1" applyAlignment="1">
      <alignment horizontal="right" vertical="center"/>
    </xf>
    <xf numFmtId="0" fontId="86" fillId="0" borderId="0" xfId="58" applyFont="1" applyFill="1" applyBorder="1" applyAlignment="1">
      <alignment horizontal="left"/>
    </xf>
    <xf numFmtId="49" fontId="0" fillId="0" borderId="0" xfId="0" applyNumberFormat="1" applyFont="1" applyFill="1"/>
    <xf numFmtId="0" fontId="18" fillId="0" borderId="0" xfId="58" applyFont="1" applyFill="1"/>
    <xf numFmtId="49" fontId="0" fillId="0" borderId="0" xfId="0" applyNumberFormat="1" applyFont="1" applyFill="1" applyBorder="1"/>
    <xf numFmtId="0" fontId="0" fillId="0" borderId="0" xfId="0" applyFont="1" applyFill="1" applyAlignment="1">
      <alignment horizontal="left"/>
    </xf>
    <xf numFmtId="49" fontId="0" fillId="0" borderId="0" xfId="0" applyNumberFormat="1" applyFont="1" applyFill="1" applyBorder="1" applyAlignment="1">
      <alignment vertical="center"/>
    </xf>
    <xf numFmtId="0" fontId="0" fillId="0" borderId="0" xfId="0" applyFont="1" applyFill="1" applyBorder="1" applyAlignment="1">
      <alignment horizontal="center" vertical="center"/>
    </xf>
    <xf numFmtId="49" fontId="0" fillId="0" borderId="0" xfId="0" applyNumberFormat="1" applyFont="1" applyFill="1" applyBorder="1" applyAlignment="1"/>
    <xf numFmtId="189" fontId="20" fillId="0" borderId="0" xfId="18" applyNumberFormat="1" applyFont="1" applyFill="1" applyBorder="1" applyAlignment="1"/>
    <xf numFmtId="165" fontId="87" fillId="0" borderId="0" xfId="0" applyNumberFormat="1" applyFont="1" applyFill="1" applyBorder="1" applyAlignment="1">
      <alignment horizontal="center"/>
    </xf>
    <xf numFmtId="2" fontId="87" fillId="0" borderId="0" xfId="0" applyNumberFormat="1" applyFont="1" applyFill="1" applyBorder="1" applyAlignment="1">
      <alignment horizontal="right" vertical="center"/>
    </xf>
    <xf numFmtId="8" fontId="11" fillId="5" borderId="0" xfId="9" applyNumberFormat="1" applyFont="1" applyBorder="1"/>
    <xf numFmtId="8" fontId="0" fillId="0" borderId="0" xfId="0" applyNumberFormat="1" applyFont="1" applyFill="1" applyBorder="1" applyAlignment="1">
      <alignment horizontal="right" vertical="center"/>
    </xf>
    <xf numFmtId="165" fontId="0" fillId="0" borderId="0" xfId="0" applyNumberFormat="1" applyFont="1" applyFill="1" applyBorder="1" applyAlignment="1">
      <alignment vertical="center"/>
    </xf>
    <xf numFmtId="0" fontId="0" fillId="0" borderId="0" xfId="0" applyFont="1" applyFill="1" applyBorder="1" applyAlignment="1">
      <alignment horizontal="center" vertical="top" wrapText="1"/>
    </xf>
    <xf numFmtId="165" fontId="89" fillId="0" borderId="0" xfId="0" applyNumberFormat="1" applyFont="1" applyFill="1" applyBorder="1" applyAlignment="1">
      <alignment horizontal="center"/>
    </xf>
    <xf numFmtId="49" fontId="0" fillId="0" borderId="0" xfId="0" applyNumberFormat="1" applyFont="1"/>
    <xf numFmtId="0" fontId="0" fillId="0" borderId="0" xfId="0" applyFont="1" applyFill="1" applyBorder="1" applyAlignment="1">
      <alignment horizontal="left" vertical="center"/>
    </xf>
    <xf numFmtId="0" fontId="0" fillId="0" borderId="0" xfId="0" applyFont="1" applyFill="1" applyBorder="1" applyAlignment="1">
      <alignment vertical="top" wrapText="1"/>
    </xf>
    <xf numFmtId="0" fontId="0" fillId="0" borderId="15" xfId="0" applyFont="1" applyFill="1" applyBorder="1" applyAlignment="1"/>
    <xf numFmtId="0" fontId="0" fillId="0" borderId="15" xfId="0" applyFont="1" applyFill="1" applyBorder="1" applyAlignment="1">
      <alignment vertical="center"/>
    </xf>
    <xf numFmtId="4" fontId="7" fillId="0" borderId="0" xfId="6" applyFill="1" applyBorder="1" applyAlignment="1">
      <protection locked="0"/>
    </xf>
    <xf numFmtId="44" fontId="7" fillId="4" borderId="0" xfId="18" applyFill="1" applyBorder="1" applyAlignment="1" applyProtection="1">
      <alignment horizontal="center"/>
      <protection locked="0"/>
    </xf>
    <xf numFmtId="44" fontId="7" fillId="4" borderId="1" xfId="18" applyFill="1" applyBorder="1" applyAlignment="1" applyProtection="1">
      <alignment horizontal="center"/>
      <protection locked="0"/>
    </xf>
    <xf numFmtId="44" fontId="88" fillId="0" borderId="0" xfId="18" applyFont="1" applyFill="1" applyBorder="1" applyAlignment="1">
      <alignment horizontal="right" vertical="center"/>
    </xf>
    <xf numFmtId="0" fontId="0" fillId="0" borderId="2" xfId="0" applyFont="1" applyFill="1" applyBorder="1" applyAlignment="1">
      <alignment horizontal="left"/>
    </xf>
    <xf numFmtId="0" fontId="0" fillId="0" borderId="2" xfId="0" applyFont="1" applyFill="1" applyBorder="1" applyAlignment="1">
      <alignment horizontal="right" vertical="center"/>
    </xf>
    <xf numFmtId="8" fontId="0" fillId="0" borderId="0" xfId="0" applyNumberFormat="1" applyFont="1" applyFill="1" applyBorder="1" applyAlignment="1">
      <alignment horizontal="center"/>
    </xf>
    <xf numFmtId="44" fontId="0" fillId="0" borderId="0" xfId="18" applyFont="1" applyFill="1" applyBorder="1" applyAlignment="1">
      <alignment horizontal="center"/>
    </xf>
    <xf numFmtId="0" fontId="0" fillId="0" borderId="13" xfId="0" applyFont="1" applyFill="1" applyBorder="1" applyAlignment="1">
      <alignment vertical="center"/>
    </xf>
    <xf numFmtId="49" fontId="0" fillId="0" borderId="15" xfId="0" applyNumberFormat="1" applyFont="1" applyFill="1" applyBorder="1" applyAlignment="1"/>
    <xf numFmtId="8" fontId="0" fillId="0" borderId="1" xfId="0" applyNumberFormat="1" applyFont="1" applyFill="1" applyBorder="1" applyAlignment="1">
      <alignment horizontal="center"/>
    </xf>
    <xf numFmtId="0" fontId="0" fillId="0" borderId="3" xfId="0" applyFont="1" applyFill="1" applyBorder="1"/>
    <xf numFmtId="0" fontId="0" fillId="0" borderId="4" xfId="0" applyFont="1" applyFill="1" applyBorder="1" applyAlignment="1">
      <alignment vertical="center"/>
    </xf>
    <xf numFmtId="8" fontId="0" fillId="0" borderId="4" xfId="0" applyNumberFormat="1" applyFont="1" applyFill="1" applyBorder="1"/>
    <xf numFmtId="8" fontId="0" fillId="0" borderId="5" xfId="0" applyNumberFormat="1" applyFont="1" applyFill="1" applyBorder="1"/>
    <xf numFmtId="0" fontId="16" fillId="0" borderId="15" xfId="0" applyFont="1" applyFill="1" applyBorder="1" applyAlignment="1">
      <alignment vertical="center"/>
    </xf>
    <xf numFmtId="0" fontId="16" fillId="0" borderId="13" xfId="0" applyFont="1" applyFill="1" applyBorder="1" applyAlignment="1">
      <alignment vertical="center"/>
    </xf>
    <xf numFmtId="0" fontId="0" fillId="0" borderId="2" xfId="0" applyFont="1" applyFill="1" applyBorder="1" applyAlignment="1">
      <alignment vertical="center"/>
    </xf>
    <xf numFmtId="0" fontId="88" fillId="0" borderId="2" xfId="0" applyFont="1" applyFill="1" applyBorder="1" applyAlignment="1">
      <alignment horizontal="right" vertical="center"/>
    </xf>
    <xf numFmtId="0" fontId="85" fillId="0" borderId="3" xfId="0" applyFont="1" applyFill="1" applyBorder="1" applyAlignment="1">
      <alignment horizontal="right" vertical="center"/>
    </xf>
    <xf numFmtId="49" fontId="0" fillId="0" borderId="17" xfId="0" applyNumberFormat="1" applyFont="1" applyFill="1" applyBorder="1"/>
    <xf numFmtId="44" fontId="87" fillId="0" borderId="1" xfId="18" applyFont="1" applyFill="1" applyBorder="1" applyAlignment="1">
      <alignment horizontal="right" vertical="center"/>
    </xf>
    <xf numFmtId="44" fontId="0" fillId="0" borderId="1" xfId="18" applyFont="1" applyFill="1" applyBorder="1" applyAlignment="1">
      <alignment horizontal="right" vertical="center"/>
    </xf>
    <xf numFmtId="8" fontId="0" fillId="0" borderId="1" xfId="0" applyNumberFormat="1" applyFont="1" applyFill="1" applyBorder="1" applyAlignment="1">
      <alignment horizontal="right" vertical="center"/>
    </xf>
    <xf numFmtId="44" fontId="0" fillId="0" borderId="2" xfId="18" applyFont="1" applyFill="1" applyBorder="1" applyAlignment="1">
      <alignment vertical="center"/>
    </xf>
    <xf numFmtId="44" fontId="88" fillId="0" borderId="2" xfId="18" applyFont="1" applyFill="1" applyBorder="1" applyAlignment="1">
      <alignment vertical="center"/>
    </xf>
    <xf numFmtId="8" fontId="0" fillId="0" borderId="3" xfId="0" applyNumberFormat="1" applyFont="1" applyFill="1" applyBorder="1"/>
    <xf numFmtId="44" fontId="0" fillId="0" borderId="1" xfId="18" applyFont="1" applyFill="1" applyBorder="1"/>
    <xf numFmtId="0" fontId="26" fillId="0" borderId="0" xfId="0" applyFont="1" applyBorder="1" applyAlignment="1"/>
    <xf numFmtId="0" fontId="28" fillId="0" borderId="0" xfId="83" applyFont="1" applyAlignment="1"/>
    <xf numFmtId="0" fontId="28" fillId="0" borderId="0" xfId="83" applyFont="1" applyFill="1" applyAlignment="1"/>
    <xf numFmtId="0" fontId="24" fillId="0" borderId="2" xfId="85" applyFont="1" applyFill="1" applyBorder="1"/>
    <xf numFmtId="0" fontId="16" fillId="0" borderId="0" xfId="85" applyFont="1" applyBorder="1" applyAlignment="1">
      <alignment wrapText="1"/>
    </xf>
    <xf numFmtId="0" fontId="0" fillId="0" borderId="0" xfId="85" applyFont="1" applyBorder="1"/>
    <xf numFmtId="10" fontId="0" fillId="0" borderId="0" xfId="86" applyNumberFormat="1" applyFont="1" applyBorder="1"/>
    <xf numFmtId="44" fontId="28" fillId="0" borderId="0" xfId="83" applyNumberFormat="1" applyFont="1" applyBorder="1"/>
    <xf numFmtId="0" fontId="16" fillId="0" borderId="15" xfId="85" applyFont="1" applyBorder="1"/>
    <xf numFmtId="44" fontId="16" fillId="0" borderId="0" xfId="87" applyFont="1" applyBorder="1"/>
    <xf numFmtId="0" fontId="16" fillId="0" borderId="17" xfId="85" applyFont="1" applyBorder="1"/>
    <xf numFmtId="0" fontId="7" fillId="0" borderId="0" xfId="85" applyBorder="1"/>
    <xf numFmtId="165" fontId="0" fillId="0" borderId="0" xfId="86" applyNumberFormat="1" applyFont="1" applyBorder="1"/>
    <xf numFmtId="2" fontId="0" fillId="0" borderId="0" xfId="86" applyNumberFormat="1" applyFont="1" applyFill="1" applyBorder="1"/>
    <xf numFmtId="0" fontId="7" fillId="0" borderId="15" xfId="85" applyFont="1" applyBorder="1"/>
    <xf numFmtId="44" fontId="7" fillId="0" borderId="0" xfId="85" applyNumberFormat="1" applyFont="1" applyBorder="1"/>
    <xf numFmtId="2" fontId="7" fillId="0" borderId="0" xfId="85" applyNumberFormat="1" applyFont="1" applyBorder="1"/>
    <xf numFmtId="2" fontId="67" fillId="0" borderId="0" xfId="83" applyNumberFormat="1" applyFont="1" applyFill="1" applyBorder="1"/>
    <xf numFmtId="188" fontId="7" fillId="0" borderId="0" xfId="60" applyNumberFormat="1" applyFont="1" applyFill="1" applyBorder="1" applyAlignment="1">
      <protection locked="0"/>
    </xf>
    <xf numFmtId="0" fontId="67" fillId="0" borderId="15" xfId="83" applyFont="1" applyBorder="1"/>
    <xf numFmtId="188" fontId="7" fillId="4" borderId="0" xfId="60" applyNumberFormat="1" applyFont="1" applyBorder="1" applyAlignment="1">
      <protection locked="0"/>
    </xf>
    <xf numFmtId="44" fontId="67" fillId="0" borderId="0" xfId="83" applyNumberFormat="1" applyFont="1" applyFill="1" applyBorder="1"/>
    <xf numFmtId="44" fontId="67" fillId="0" borderId="0" xfId="83" applyNumberFormat="1" applyFont="1" applyBorder="1"/>
    <xf numFmtId="165" fontId="11" fillId="5" borderId="15" xfId="9" applyNumberFormat="1" applyFont="1" applyBorder="1"/>
    <xf numFmtId="0" fontId="7" fillId="0" borderId="17" xfId="85" applyFont="1" applyBorder="1"/>
    <xf numFmtId="0" fontId="7" fillId="0" borderId="1" xfId="85" applyFont="1" applyBorder="1"/>
    <xf numFmtId="165" fontId="7" fillId="0" borderId="1" xfId="86" applyNumberFormat="1" applyFont="1" applyBorder="1"/>
    <xf numFmtId="2" fontId="7" fillId="0" borderId="1" xfId="86" applyNumberFormat="1" applyFont="1" applyFill="1" applyBorder="1"/>
    <xf numFmtId="0" fontId="67" fillId="0" borderId="1" xfId="83" applyFont="1" applyBorder="1"/>
    <xf numFmtId="0" fontId="67" fillId="0" borderId="1" xfId="83" applyFont="1" applyFill="1" applyBorder="1"/>
    <xf numFmtId="10" fontId="7" fillId="0" borderId="18" xfId="86" applyNumberFormat="1" applyFont="1" applyBorder="1"/>
    <xf numFmtId="0" fontId="0" fillId="0" borderId="0" xfId="0" applyFont="1" applyFill="1" applyBorder="1" applyAlignment="1" applyProtection="1">
      <alignment horizontal="left"/>
    </xf>
    <xf numFmtId="0" fontId="0" fillId="0" borderId="17" xfId="0" applyFont="1" applyFill="1" applyBorder="1" applyAlignment="1" applyProtection="1">
      <alignment horizontal="left"/>
    </xf>
    <xf numFmtId="0" fontId="0" fillId="0" borderId="15" xfId="0" applyFont="1" applyFill="1" applyBorder="1" applyAlignment="1" applyProtection="1">
      <alignment horizontal="left"/>
    </xf>
    <xf numFmtId="0" fontId="0" fillId="0" borderId="15" xfId="89" applyFont="1" applyFill="1" applyBorder="1" applyAlignment="1">
      <alignment horizontal="left"/>
    </xf>
    <xf numFmtId="0" fontId="9" fillId="0" borderId="15" xfId="90" applyFont="1" applyFill="1" applyBorder="1"/>
    <xf numFmtId="44" fontId="13" fillId="0" borderId="15" xfId="90" applyNumberFormat="1" applyFont="1" applyFill="1" applyBorder="1"/>
    <xf numFmtId="8" fontId="0" fillId="0" borderId="1" xfId="18" applyNumberFormat="1" applyFont="1" applyFill="1" applyBorder="1"/>
    <xf numFmtId="173" fontId="0" fillId="0" borderId="16" xfId="0" applyNumberFormat="1" applyFont="1" applyFill="1" applyBorder="1"/>
    <xf numFmtId="8" fontId="0" fillId="0" borderId="0" xfId="18" applyNumberFormat="1" applyFont="1" applyFill="1" applyBorder="1"/>
    <xf numFmtId="44" fontId="0" fillId="42" borderId="1" xfId="18" applyNumberFormat="1" applyFont="1" applyFill="1" applyBorder="1"/>
    <xf numFmtId="173" fontId="0" fillId="0" borderId="0" xfId="0" applyNumberFormat="1" applyFont="1" applyFill="1" applyBorder="1"/>
    <xf numFmtId="173" fontId="0" fillId="42" borderId="0" xfId="18" applyNumberFormat="1" applyFont="1" applyFill="1" applyBorder="1"/>
    <xf numFmtId="173" fontId="0" fillId="0" borderId="16" xfId="18" applyNumberFormat="1" applyFont="1" applyFill="1" applyBorder="1"/>
    <xf numFmtId="173" fontId="0" fillId="0" borderId="0" xfId="18" applyNumberFormat="1" applyFont="1" applyFill="1" applyBorder="1"/>
    <xf numFmtId="173" fontId="0" fillId="0" borderId="16" xfId="18" applyNumberFormat="1" applyFont="1" applyFill="1" applyBorder="1" applyAlignment="1">
      <alignment wrapText="1"/>
    </xf>
    <xf numFmtId="44" fontId="0" fillId="0" borderId="0" xfId="0" applyNumberFormat="1" applyFont="1" applyFill="1" applyBorder="1"/>
    <xf numFmtId="44" fontId="0" fillId="0" borderId="1" xfId="0" applyNumberFormat="1" applyFont="1" applyFill="1" applyBorder="1"/>
    <xf numFmtId="0" fontId="81" fillId="0" borderId="0" xfId="0" applyFont="1" applyFill="1" applyBorder="1"/>
    <xf numFmtId="44" fontId="0" fillId="0" borderId="18" xfId="0" applyNumberFormat="1" applyFont="1" applyFill="1" applyBorder="1"/>
    <xf numFmtId="0" fontId="0" fillId="0" borderId="0" xfId="0" applyFont="1" applyFill="1" applyBorder="1" applyAlignment="1">
      <alignment horizontal="left" vertical="top" wrapText="1"/>
    </xf>
    <xf numFmtId="173" fontId="0" fillId="0" borderId="0" xfId="0" applyNumberFormat="1" applyFont="1" applyBorder="1"/>
    <xf numFmtId="173" fontId="0" fillId="0" borderId="16" xfId="0" applyNumberFormat="1" applyFont="1" applyBorder="1"/>
    <xf numFmtId="2" fontId="9" fillId="0" borderId="0" xfId="89" applyNumberFormat="1" applyFont="1" applyFill="1" applyBorder="1"/>
    <xf numFmtId="173" fontId="0" fillId="0" borderId="0" xfId="0" applyNumberFormat="1" applyFont="1"/>
    <xf numFmtId="0" fontId="0" fillId="44" borderId="0" xfId="0" applyFont="1" applyFill="1" applyBorder="1"/>
    <xf numFmtId="182" fontId="0" fillId="0" borderId="0" xfId="88" applyNumberFormat="1" applyFont="1" applyFill="1" applyBorder="1"/>
    <xf numFmtId="182" fontId="0" fillId="0" borderId="1" xfId="88" applyNumberFormat="1" applyFont="1" applyFill="1" applyBorder="1"/>
    <xf numFmtId="0" fontId="18" fillId="0" borderId="0" xfId="58" applyFont="1"/>
    <xf numFmtId="0" fontId="16" fillId="0" borderId="2" xfId="0" applyFont="1" applyBorder="1"/>
    <xf numFmtId="173" fontId="0" fillId="0" borderId="1" xfId="0" applyNumberFormat="1" applyFont="1" applyFill="1" applyBorder="1"/>
    <xf numFmtId="0" fontId="55" fillId="0" borderId="2" xfId="0" applyFont="1" applyFill="1" applyBorder="1" applyAlignment="1">
      <alignment wrapText="1"/>
    </xf>
    <xf numFmtId="0" fontId="16" fillId="0" borderId="2" xfId="0" applyFont="1" applyFill="1" applyBorder="1" applyAlignment="1">
      <alignment wrapText="1"/>
    </xf>
    <xf numFmtId="0" fontId="16" fillId="0" borderId="2" xfId="0" applyFont="1" applyBorder="1" applyAlignment="1">
      <alignment wrapText="1"/>
    </xf>
    <xf numFmtId="0" fontId="16" fillId="0" borderId="14" xfId="0" applyFont="1" applyFill="1" applyBorder="1" applyAlignment="1">
      <alignment wrapText="1"/>
    </xf>
    <xf numFmtId="0" fontId="16" fillId="0" borderId="2" xfId="0" applyFont="1" applyBorder="1" applyAlignment="1">
      <alignment horizontal="right" wrapText="1"/>
    </xf>
    <xf numFmtId="0" fontId="16" fillId="0" borderId="2" xfId="0" applyFont="1" applyFill="1" applyBorder="1" applyAlignment="1">
      <alignment horizontal="right" wrapText="1"/>
    </xf>
    <xf numFmtId="0" fontId="16" fillId="0" borderId="14" xfId="0" applyFont="1" applyFill="1" applyBorder="1" applyAlignment="1">
      <alignment horizontal="right" wrapText="1"/>
    </xf>
    <xf numFmtId="0" fontId="7" fillId="42" borderId="0" xfId="59" applyFont="1" applyFill="1" applyAlignment="1">
      <alignment horizontal="left"/>
    </xf>
    <xf numFmtId="0" fontId="7" fillId="0" borderId="0" xfId="85" applyFont="1" applyAlignment="1">
      <alignment wrapText="1"/>
    </xf>
    <xf numFmtId="44" fontId="7" fillId="0" borderId="0" xfId="85" applyNumberFormat="1" applyFont="1" applyAlignment="1">
      <alignment wrapText="1"/>
    </xf>
    <xf numFmtId="0" fontId="0" fillId="0" borderId="13" xfId="85" applyFont="1" applyBorder="1" applyAlignment="1">
      <alignment wrapText="1"/>
    </xf>
    <xf numFmtId="0" fontId="0" fillId="0" borderId="2" xfId="85" applyFont="1" applyBorder="1" applyAlignment="1">
      <alignment wrapText="1"/>
    </xf>
    <xf numFmtId="0" fontId="0" fillId="0" borderId="14" xfId="85" applyFont="1" applyBorder="1" applyAlignment="1">
      <alignment wrapText="1"/>
    </xf>
    <xf numFmtId="0" fontId="7" fillId="0" borderId="0" xfId="85" applyFont="1" applyBorder="1"/>
    <xf numFmtId="0" fontId="7" fillId="0" borderId="16" xfId="85" applyFont="1" applyBorder="1"/>
    <xf numFmtId="0" fontId="7" fillId="0" borderId="15" xfId="85" applyFont="1" applyFill="1" applyBorder="1"/>
    <xf numFmtId="0" fontId="7" fillId="0" borderId="0" xfId="85" applyFont="1" applyFill="1" applyBorder="1"/>
    <xf numFmtId="44" fontId="7" fillId="0" borderId="16" xfId="85" applyNumberFormat="1" applyFont="1" applyFill="1" applyBorder="1"/>
    <xf numFmtId="0" fontId="0" fillId="0" borderId="20" xfId="85" applyFont="1" applyBorder="1" applyAlignment="1">
      <alignment wrapText="1"/>
    </xf>
    <xf numFmtId="0" fontId="10" fillId="0" borderId="13" xfId="8" applyNumberFormat="1" applyBorder="1" applyProtection="1"/>
    <xf numFmtId="0" fontId="10" fillId="0" borderId="2" xfId="8" applyNumberFormat="1" applyBorder="1" applyProtection="1"/>
    <xf numFmtId="0" fontId="0" fillId="0" borderId="14" xfId="85" applyFont="1" applyBorder="1"/>
    <xf numFmtId="0" fontId="10" fillId="0" borderId="15" xfId="8" applyNumberFormat="1" applyBorder="1" applyProtection="1"/>
    <xf numFmtId="0" fontId="10" fillId="0" borderId="17" xfId="8" applyNumberFormat="1" applyBorder="1" applyProtection="1"/>
    <xf numFmtId="0" fontId="7" fillId="0" borderId="18" xfId="85" applyFont="1" applyBorder="1"/>
    <xf numFmtId="44" fontId="11" fillId="5" borderId="0" xfId="9" applyNumberFormat="1" applyBorder="1"/>
    <xf numFmtId="44" fontId="7" fillId="0" borderId="0" xfId="85" applyNumberFormat="1" applyFont="1" applyFill="1" applyBorder="1"/>
    <xf numFmtId="44" fontId="11" fillId="5" borderId="18" xfId="9" applyNumberFormat="1" applyBorder="1"/>
    <xf numFmtId="9" fontId="28" fillId="0" borderId="16" xfId="17" applyFont="1" applyBorder="1"/>
    <xf numFmtId="0" fontId="67" fillId="0" borderId="0" xfId="83" applyFont="1" applyAlignment="1">
      <alignment horizontal="left"/>
    </xf>
    <xf numFmtId="0" fontId="67" fillId="0" borderId="13" xfId="83" applyFont="1" applyBorder="1"/>
    <xf numFmtId="0" fontId="67" fillId="0" borderId="2" xfId="83" applyFont="1" applyBorder="1"/>
    <xf numFmtId="0" fontId="67" fillId="0" borderId="14" xfId="83" applyFont="1" applyBorder="1"/>
    <xf numFmtId="0" fontId="67" fillId="0" borderId="0" xfId="83" applyFont="1" applyFill="1"/>
    <xf numFmtId="3" fontId="10" fillId="0" borderId="0" xfId="76" applyFont="1" applyBorder="1">
      <protection locked="0"/>
    </xf>
    <xf numFmtId="44" fontId="7" fillId="0" borderId="0" xfId="18" applyFont="1"/>
    <xf numFmtId="0" fontId="7" fillId="0" borderId="13" xfId="85" applyFont="1" applyBorder="1"/>
    <xf numFmtId="0" fontId="7" fillId="0" borderId="2" xfId="85" applyFont="1" applyBorder="1"/>
    <xf numFmtId="0" fontId="24" fillId="0" borderId="14" xfId="83" applyFont="1" applyFill="1" applyBorder="1"/>
    <xf numFmtId="0" fontId="7" fillId="0" borderId="0" xfId="85" applyFont="1" applyBorder="1" applyAlignment="1">
      <alignment wrapText="1"/>
    </xf>
    <xf numFmtId="0" fontId="7" fillId="0" borderId="15" xfId="0" applyFont="1" applyBorder="1" applyAlignment="1">
      <alignment wrapText="1"/>
    </xf>
    <xf numFmtId="44" fontId="7" fillId="0" borderId="0" xfId="0" applyNumberFormat="1" applyFont="1" applyBorder="1"/>
    <xf numFmtId="44" fontId="7" fillId="0" borderId="0" xfId="18" applyFont="1" applyBorder="1"/>
    <xf numFmtId="0" fontId="67" fillId="0" borderId="0" xfId="83" applyFont="1" applyBorder="1"/>
    <xf numFmtId="0" fontId="67" fillId="0" borderId="16" xfId="83" applyFont="1" applyBorder="1"/>
    <xf numFmtId="44" fontId="7" fillId="0" borderId="16" xfId="18" applyFont="1" applyBorder="1"/>
    <xf numFmtId="0" fontId="7" fillId="0" borderId="17" xfId="0" applyFont="1" applyBorder="1" applyAlignment="1">
      <alignment wrapText="1"/>
    </xf>
    <xf numFmtId="44" fontId="7" fillId="0" borderId="1" xfId="0" applyNumberFormat="1" applyFont="1" applyBorder="1"/>
    <xf numFmtId="44" fontId="7" fillId="0" borderId="1" xfId="18" applyFont="1" applyBorder="1"/>
    <xf numFmtId="44" fontId="7" fillId="0" borderId="18" xfId="18" applyFont="1" applyBorder="1"/>
    <xf numFmtId="9" fontId="67" fillId="0" borderId="14" xfId="17" applyFont="1" applyFill="1" applyBorder="1"/>
    <xf numFmtId="9" fontId="67" fillId="0" borderId="16" xfId="17" applyFont="1" applyFill="1" applyBorder="1"/>
    <xf numFmtId="0" fontId="28" fillId="0" borderId="15" xfId="83" applyFont="1" applyBorder="1" applyAlignment="1">
      <alignment horizontal="left"/>
    </xf>
    <xf numFmtId="9" fontId="28" fillId="0" borderId="0" xfId="17" applyFont="1" applyBorder="1"/>
    <xf numFmtId="0" fontId="28" fillId="0" borderId="17" xfId="83" applyFont="1" applyBorder="1" applyAlignment="1">
      <alignment horizontal="left"/>
    </xf>
    <xf numFmtId="9" fontId="28" fillId="0" borderId="1" xfId="17" applyFont="1" applyBorder="1"/>
    <xf numFmtId="9" fontId="28" fillId="0" borderId="18" xfId="17" applyFont="1" applyBorder="1"/>
    <xf numFmtId="44" fontId="9" fillId="0" borderId="0" xfId="84" applyNumberFormat="1" applyFont="1" applyBorder="1"/>
    <xf numFmtId="44" fontId="0" fillId="0" borderId="16" xfId="0" applyNumberFormat="1" applyBorder="1"/>
    <xf numFmtId="44" fontId="67" fillId="0" borderId="0" xfId="18" applyFont="1"/>
    <xf numFmtId="8" fontId="67" fillId="0" borderId="0" xfId="83" applyNumberFormat="1" applyFont="1" applyBorder="1"/>
    <xf numFmtId="186" fontId="67" fillId="0" borderId="0" xfId="83" applyNumberFormat="1" applyFont="1" applyFill="1"/>
    <xf numFmtId="186" fontId="67" fillId="0" borderId="0" xfId="83" applyNumberFormat="1" applyFont="1"/>
    <xf numFmtId="10" fontId="7" fillId="0" borderId="0" xfId="84" applyNumberFormat="1" applyFont="1"/>
    <xf numFmtId="0" fontId="28" fillId="0" borderId="13" xfId="83" applyFont="1" applyFill="1" applyBorder="1"/>
    <xf numFmtId="0" fontId="82" fillId="0" borderId="0" xfId="83" applyFont="1" applyBorder="1"/>
    <xf numFmtId="0" fontId="82" fillId="0" borderId="15" xfId="83" applyFont="1" applyBorder="1" applyAlignment="1">
      <alignment horizontal="left"/>
    </xf>
    <xf numFmtId="44" fontId="11" fillId="5" borderId="16" xfId="9" applyNumberFormat="1" applyBorder="1"/>
    <xf numFmtId="44" fontId="11" fillId="0" borderId="0" xfId="9" applyNumberFormat="1" applyFill="1" applyBorder="1"/>
    <xf numFmtId="0" fontId="11" fillId="0" borderId="0" xfId="9" applyNumberFormat="1" applyFill="1" applyBorder="1"/>
    <xf numFmtId="44" fontId="11" fillId="0" borderId="16" xfId="9" applyNumberFormat="1" applyFill="1" applyBorder="1"/>
    <xf numFmtId="0" fontId="67" fillId="0" borderId="15" xfId="83" applyFont="1" applyBorder="1" applyAlignment="1">
      <alignment horizontal="left"/>
    </xf>
    <xf numFmtId="44" fontId="67" fillId="0" borderId="0" xfId="18" applyFont="1" applyBorder="1"/>
    <xf numFmtId="44" fontId="67" fillId="0" borderId="16" xfId="18" applyFont="1" applyBorder="1"/>
    <xf numFmtId="0" fontId="67" fillId="0" borderId="17" xfId="83" applyFont="1" applyBorder="1" applyAlignment="1">
      <alignment horizontal="left"/>
    </xf>
    <xf numFmtId="44" fontId="67" fillId="0" borderId="1" xfId="18" applyFont="1" applyBorder="1"/>
    <xf numFmtId="44" fontId="67" fillId="0" borderId="1" xfId="83" applyNumberFormat="1" applyFont="1" applyBorder="1"/>
    <xf numFmtId="44" fontId="67" fillId="0" borderId="18" xfId="18" applyFont="1" applyBorder="1"/>
    <xf numFmtId="0" fontId="67" fillId="0" borderId="0" xfId="83" applyFont="1" applyFill="1" applyBorder="1"/>
    <xf numFmtId="0" fontId="82" fillId="0" borderId="2" xfId="83" applyFont="1" applyFill="1" applyBorder="1"/>
    <xf numFmtId="0" fontId="90" fillId="0" borderId="2" xfId="83" applyFont="1" applyFill="1" applyBorder="1"/>
    <xf numFmtId="0" fontId="28" fillId="0" borderId="15" xfId="83" applyFont="1" applyFill="1" applyBorder="1"/>
    <xf numFmtId="0" fontId="67" fillId="8" borderId="0" xfId="83" applyFont="1" applyFill="1"/>
    <xf numFmtId="0" fontId="91" fillId="0" borderId="0" xfId="91"/>
    <xf numFmtId="0" fontId="91" fillId="0" borderId="0" xfId="91" applyFill="1"/>
    <xf numFmtId="0" fontId="75" fillId="0" borderId="0" xfId="91" applyFont="1"/>
    <xf numFmtId="0" fontId="75" fillId="0" borderId="13" xfId="91" applyFont="1" applyBorder="1"/>
    <xf numFmtId="0" fontId="75" fillId="0" borderId="2" xfId="91" applyFont="1" applyBorder="1" applyAlignment="1">
      <alignment wrapText="1"/>
    </xf>
    <xf numFmtId="0" fontId="75" fillId="0" borderId="14" xfId="91" applyFont="1" applyBorder="1" applyAlignment="1">
      <alignment wrapText="1"/>
    </xf>
    <xf numFmtId="0" fontId="75" fillId="0" borderId="15" xfId="91" applyFont="1" applyBorder="1"/>
    <xf numFmtId="9" fontId="79" fillId="0" borderId="0" xfId="77" applyNumberFormat="1" applyBorder="1">
      <protection locked="0"/>
    </xf>
    <xf numFmtId="9" fontId="79" fillId="0" borderId="16" xfId="77" applyNumberFormat="1" applyBorder="1">
      <protection locked="0"/>
    </xf>
    <xf numFmtId="0" fontId="75" fillId="0" borderId="17" xfId="91" applyFont="1" applyBorder="1"/>
    <xf numFmtId="9" fontId="79" fillId="0" borderId="1" xfId="77" applyNumberFormat="1" applyBorder="1">
      <protection locked="0"/>
    </xf>
    <xf numFmtId="9" fontId="79" fillId="0" borderId="18" xfId="77" applyNumberFormat="1" applyBorder="1">
      <protection locked="0"/>
    </xf>
    <xf numFmtId="9" fontId="75" fillId="0" borderId="0" xfId="91" applyNumberFormat="1" applyFont="1"/>
    <xf numFmtId="0" fontId="91" fillId="0" borderId="0" xfId="91" applyAlignment="1"/>
    <xf numFmtId="9" fontId="0" fillId="0" borderId="14" xfId="17" applyFont="1" applyBorder="1"/>
    <xf numFmtId="9" fontId="0" fillId="0" borderId="2" xfId="17" applyFont="1" applyBorder="1"/>
    <xf numFmtId="4" fontId="0" fillId="0" borderId="0" xfId="0" applyNumberFormat="1" applyBorder="1"/>
    <xf numFmtId="4" fontId="0" fillId="0" borderId="0" xfId="0" applyNumberFormat="1"/>
    <xf numFmtId="0" fontId="16" fillId="0" borderId="14" xfId="0" applyFont="1" applyBorder="1"/>
    <xf numFmtId="9" fontId="11" fillId="5" borderId="18" xfId="9" applyNumberFormat="1" applyBorder="1"/>
    <xf numFmtId="168" fontId="0" fillId="0" borderId="0" xfId="0" applyNumberFormat="1" applyFont="1" applyBorder="1" applyAlignment="1">
      <alignment wrapText="1"/>
    </xf>
    <xf numFmtId="3" fontId="0" fillId="4" borderId="0" xfId="6" applyNumberFormat="1" applyFont="1" applyBorder="1" applyAlignment="1">
      <alignment wrapText="1"/>
      <protection locked="0"/>
    </xf>
    <xf numFmtId="171" fontId="0" fillId="0" borderId="0" xfId="0" applyNumberFormat="1" applyFont="1" applyBorder="1" applyAlignment="1">
      <alignment wrapText="1"/>
    </xf>
    <xf numFmtId="3" fontId="0" fillId="4" borderId="16" xfId="6" applyNumberFormat="1" applyFont="1" applyBorder="1" applyAlignment="1">
      <alignment wrapText="1"/>
      <protection locked="0"/>
    </xf>
    <xf numFmtId="3" fontId="0" fillId="0" borderId="0" xfId="6" applyNumberFormat="1" applyFont="1" applyFill="1" applyBorder="1" applyAlignment="1">
      <alignment wrapText="1"/>
      <protection locked="0"/>
    </xf>
    <xf numFmtId="165" fontId="0" fillId="0" borderId="0" xfId="17" applyNumberFormat="1" applyFont="1" applyAlignment="1">
      <alignment wrapText="1"/>
    </xf>
    <xf numFmtId="0" fontId="0" fillId="8" borderId="0" xfId="0" applyFont="1" applyFill="1" applyAlignment="1">
      <alignment wrapText="1"/>
    </xf>
    <xf numFmtId="168" fontId="0" fillId="0" borderId="1" xfId="0" applyNumberFormat="1" applyFont="1" applyFill="1" applyBorder="1" applyAlignment="1">
      <alignment wrapText="1"/>
    </xf>
    <xf numFmtId="4" fontId="0" fillId="0" borderId="0" xfId="0" applyNumberFormat="1" applyFont="1" applyAlignment="1">
      <alignment wrapText="1"/>
    </xf>
    <xf numFmtId="9" fontId="10" fillId="0" borderId="0" xfId="17" applyFont="1" applyBorder="1" applyProtection="1"/>
    <xf numFmtId="9" fontId="10" fillId="0" borderId="1" xfId="17" applyFont="1" applyBorder="1" applyProtection="1"/>
    <xf numFmtId="9" fontId="28" fillId="0" borderId="18" xfId="83" applyNumberFormat="1" applyFont="1" applyBorder="1"/>
    <xf numFmtId="0" fontId="13" fillId="8" borderId="34" xfId="94" applyFont="1" applyFill="1" applyBorder="1" applyAlignment="1">
      <alignment vertical="top" wrapText="1"/>
    </xf>
    <xf numFmtId="0" fontId="13" fillId="8" borderId="39" xfId="94" applyFont="1" applyFill="1" applyBorder="1" applyAlignment="1">
      <alignment vertical="top" wrapText="1"/>
    </xf>
    <xf numFmtId="0" fontId="13" fillId="8" borderId="11" xfId="94" applyFont="1" applyFill="1" applyBorder="1" applyAlignment="1">
      <alignment vertical="top" wrapText="1"/>
    </xf>
    <xf numFmtId="0" fontId="13" fillId="8" borderId="0" xfId="94" applyFont="1" applyFill="1" applyBorder="1" applyAlignment="1">
      <alignment vertical="center" wrapText="1"/>
    </xf>
    <xf numFmtId="15" fontId="9" fillId="8" borderId="0" xfId="95" applyNumberFormat="1" applyFont="1" applyFill="1" applyBorder="1" applyAlignment="1">
      <alignment horizontal="left" vertical="top" wrapText="1"/>
    </xf>
    <xf numFmtId="0" fontId="13" fillId="8" borderId="34" xfId="94" applyFont="1" applyFill="1" applyBorder="1" applyAlignment="1">
      <alignment vertical="center" wrapText="1"/>
    </xf>
    <xf numFmtId="0" fontId="13" fillId="8" borderId="35" xfId="94" applyFont="1" applyFill="1" applyBorder="1" applyAlignment="1">
      <alignment horizontal="left" vertical="top" wrapText="1"/>
    </xf>
    <xf numFmtId="0" fontId="13" fillId="8" borderId="35" xfId="94" applyFont="1" applyFill="1" applyBorder="1" applyAlignment="1">
      <alignment vertical="center" wrapText="1"/>
    </xf>
    <xf numFmtId="0" fontId="13" fillId="8" borderId="36" xfId="94" applyFont="1" applyFill="1" applyBorder="1" applyAlignment="1">
      <alignment vertical="center"/>
    </xf>
    <xf numFmtId="171" fontId="0" fillId="4" borderId="0" xfId="18" applyNumberFormat="1" applyFont="1" applyFill="1" applyBorder="1" applyAlignment="1" applyProtection="1">
      <alignment wrapText="1"/>
      <protection locked="0"/>
    </xf>
    <xf numFmtId="0" fontId="0" fillId="0" borderId="0" xfId="6" applyNumberFormat="1" applyFont="1" applyFill="1" applyBorder="1" applyAlignment="1">
      <alignment wrapText="1"/>
      <protection locked="0"/>
    </xf>
    <xf numFmtId="4" fontId="0" fillId="0" borderId="0" xfId="0" applyNumberFormat="1" applyFont="1" applyFill="1"/>
    <xf numFmtId="3" fontId="7" fillId="4" borderId="0" xfId="6" applyNumberFormat="1" applyBorder="1" applyAlignment="1">
      <protection locked="0"/>
    </xf>
    <xf numFmtId="3" fontId="7" fillId="4" borderId="16" xfId="6" applyNumberFormat="1" applyBorder="1" applyAlignment="1">
      <protection locked="0"/>
    </xf>
    <xf numFmtId="3" fontId="7" fillId="4" borderId="1" xfId="6" applyNumberFormat="1" applyBorder="1" applyAlignment="1">
      <protection locked="0"/>
    </xf>
    <xf numFmtId="3" fontId="7" fillId="4" borderId="18" xfId="6" applyNumberFormat="1" applyBorder="1" applyAlignment="1">
      <protection locked="0"/>
    </xf>
    <xf numFmtId="9" fontId="7" fillId="4" borderId="16" xfId="17" applyFill="1" applyBorder="1" applyAlignment="1" applyProtection="1">
      <protection locked="0"/>
    </xf>
    <xf numFmtId="0" fontId="0" fillId="0" borderId="17" xfId="0" applyFill="1" applyBorder="1"/>
    <xf numFmtId="0" fontId="0" fillId="0" borderId="15" xfId="0" applyFill="1" applyBorder="1"/>
    <xf numFmtId="173" fontId="0" fillId="0" borderId="0" xfId="0" applyNumberFormat="1" applyFill="1" applyBorder="1"/>
    <xf numFmtId="173" fontId="0" fillId="0" borderId="16" xfId="0" applyNumberFormat="1" applyFill="1" applyBorder="1"/>
    <xf numFmtId="0" fontId="16" fillId="0" borderId="2" xfId="0" applyFont="1" applyFill="1" applyBorder="1"/>
    <xf numFmtId="0" fontId="16" fillId="0" borderId="14" xfId="0" applyFont="1" applyFill="1" applyBorder="1"/>
    <xf numFmtId="0" fontId="0" fillId="0" borderId="0" xfId="0" applyFill="1" applyBorder="1"/>
    <xf numFmtId="0" fontId="0" fillId="0" borderId="16" xfId="0" applyFill="1" applyBorder="1"/>
    <xf numFmtId="173" fontId="0" fillId="0" borderId="1" xfId="0" applyNumberFormat="1" applyFill="1" applyBorder="1"/>
    <xf numFmtId="173" fontId="0" fillId="0" borderId="18" xfId="0" applyNumberFormat="1" applyFill="1" applyBorder="1"/>
    <xf numFmtId="49" fontId="0" fillId="0" borderId="0" xfId="0" applyNumberFormat="1"/>
    <xf numFmtId="8" fontId="95" fillId="0" borderId="0" xfId="0" applyNumberFormat="1" applyFont="1" applyFill="1" applyBorder="1" applyAlignment="1">
      <alignment horizontal="right" vertical="center"/>
    </xf>
    <xf numFmtId="49" fontId="94" fillId="0" borderId="0" xfId="0" applyNumberFormat="1" applyFont="1" applyFill="1" applyBorder="1"/>
    <xf numFmtId="0" fontId="0" fillId="0" borderId="0" xfId="0" applyFill="1" applyBorder="1" applyAlignment="1">
      <alignment vertical="center"/>
    </xf>
    <xf numFmtId="0" fontId="95" fillId="0" borderId="0" xfId="0" applyFont="1" applyFill="1" applyBorder="1" applyAlignment="1">
      <alignment vertical="center"/>
    </xf>
    <xf numFmtId="0" fontId="94" fillId="0" borderId="0" xfId="0" applyFont="1" applyFill="1" applyBorder="1" applyAlignment="1">
      <alignment horizontal="left" vertical="center"/>
    </xf>
    <xf numFmtId="0" fontId="16" fillId="0" borderId="0" xfId="0" applyFont="1" applyFill="1" applyBorder="1" applyAlignment="1">
      <alignment horizontal="left" vertical="center"/>
    </xf>
    <xf numFmtId="49" fontId="16" fillId="0" borderId="0" xfId="0" applyNumberFormat="1" applyFont="1" applyFill="1" applyBorder="1" applyAlignment="1">
      <alignment horizontal="left" vertical="center"/>
    </xf>
    <xf numFmtId="44" fontId="0" fillId="0" borderId="0" xfId="0" applyNumberFormat="1" applyFont="1" applyFill="1" applyBorder="1" applyAlignment="1">
      <alignment horizontal="center" vertical="center"/>
    </xf>
    <xf numFmtId="49" fontId="16" fillId="0" borderId="0" xfId="0" applyNumberFormat="1" applyFont="1" applyFill="1" applyBorder="1" applyAlignment="1"/>
    <xf numFmtId="0" fontId="0" fillId="0" borderId="13" xfId="0" applyFont="1" applyFill="1" applyBorder="1" applyAlignment="1"/>
    <xf numFmtId="0" fontId="0" fillId="0" borderId="2" xfId="0" applyFont="1" applyFill="1" applyBorder="1" applyAlignment="1">
      <alignment horizontal="center" wrapText="1"/>
    </xf>
    <xf numFmtId="0" fontId="0" fillId="0" borderId="14" xfId="0" applyFont="1" applyFill="1" applyBorder="1" applyAlignment="1">
      <alignment horizontal="center" wrapText="1"/>
    </xf>
    <xf numFmtId="0" fontId="0" fillId="0" borderId="16" xfId="0" applyFont="1" applyFill="1" applyBorder="1" applyAlignment="1">
      <alignment horizontal="center" vertical="center"/>
    </xf>
    <xf numFmtId="49" fontId="16" fillId="0" borderId="15" xfId="0" applyNumberFormat="1" applyFont="1" applyFill="1" applyBorder="1" applyAlignment="1">
      <alignment horizontal="left" vertical="center"/>
    </xf>
    <xf numFmtId="49" fontId="16" fillId="0" borderId="17" xfId="0" applyNumberFormat="1" applyFont="1" applyFill="1" applyBorder="1" applyAlignment="1">
      <alignment horizontal="left" vertical="center"/>
    </xf>
    <xf numFmtId="44" fontId="0" fillId="0" borderId="1" xfId="0" applyNumberFormat="1" applyFont="1" applyFill="1" applyBorder="1" applyAlignment="1">
      <alignment horizontal="center" vertical="center"/>
    </xf>
    <xf numFmtId="49" fontId="16" fillId="0" borderId="15" xfId="0" applyNumberFormat="1" applyFont="1" applyFill="1" applyBorder="1" applyAlignment="1"/>
    <xf numFmtId="165" fontId="16" fillId="0" borderId="16" xfId="17" applyNumberFormat="1" applyFont="1" applyFill="1" applyBorder="1" applyAlignment="1">
      <alignment horizontal="center"/>
    </xf>
    <xf numFmtId="49" fontId="16" fillId="0" borderId="17" xfId="0" applyNumberFormat="1" applyFont="1" applyFill="1" applyBorder="1" applyAlignment="1"/>
    <xf numFmtId="165" fontId="16" fillId="0" borderId="18" xfId="17" applyNumberFormat="1" applyFont="1" applyFill="1" applyBorder="1" applyAlignment="1">
      <alignment horizontal="center"/>
    </xf>
    <xf numFmtId="0" fontId="16" fillId="0" borderId="13" xfId="0" applyFont="1" applyFill="1" applyBorder="1" applyAlignment="1">
      <alignment vertical="top"/>
    </xf>
    <xf numFmtId="0" fontId="16" fillId="0" borderId="14" xfId="0" applyFont="1" applyFill="1" applyBorder="1" applyAlignment="1">
      <alignment horizontal="center" vertical="top" wrapText="1"/>
    </xf>
    <xf numFmtId="0" fontId="16" fillId="0" borderId="15" xfId="0" applyFont="1" applyFill="1" applyBorder="1" applyAlignment="1"/>
    <xf numFmtId="0" fontId="16" fillId="0" borderId="16" xfId="0" applyFont="1" applyFill="1" applyBorder="1" applyAlignment="1">
      <alignment vertical="center"/>
    </xf>
    <xf numFmtId="0" fontId="0" fillId="0" borderId="15" xfId="0" applyFont="1" applyFill="1" applyBorder="1" applyAlignment="1">
      <alignment horizontal="center" vertical="center"/>
    </xf>
    <xf numFmtId="44" fontId="0" fillId="0" borderId="15" xfId="0" applyNumberFormat="1" applyFont="1" applyFill="1" applyBorder="1" applyAlignment="1">
      <alignment horizontal="center"/>
    </xf>
    <xf numFmtId="8" fontId="0" fillId="0" borderId="16" xfId="0" applyNumberFormat="1" applyFont="1" applyFill="1" applyBorder="1" applyAlignment="1">
      <alignment horizontal="center"/>
    </xf>
    <xf numFmtId="44" fontId="0" fillId="0" borderId="17" xfId="0" applyNumberFormat="1" applyFont="1" applyFill="1" applyBorder="1" applyAlignment="1">
      <alignment horizontal="center"/>
    </xf>
    <xf numFmtId="8" fontId="0" fillId="0" borderId="15" xfId="0" applyNumberFormat="1" applyFont="1" applyFill="1" applyBorder="1" applyAlignment="1">
      <alignment horizontal="center"/>
    </xf>
    <xf numFmtId="165" fontId="0" fillId="0" borderId="16" xfId="17" applyNumberFormat="1" applyFont="1" applyFill="1" applyBorder="1" applyAlignment="1">
      <alignment horizontal="center"/>
    </xf>
    <xf numFmtId="8" fontId="0" fillId="0" borderId="17" xfId="0" applyNumberFormat="1" applyFont="1" applyFill="1" applyBorder="1" applyAlignment="1">
      <alignment horizontal="center"/>
    </xf>
    <xf numFmtId="165" fontId="0" fillId="0" borderId="18" xfId="17" applyNumberFormat="1" applyFont="1" applyFill="1" applyBorder="1" applyAlignment="1">
      <alignment horizontal="center"/>
    </xf>
    <xf numFmtId="4" fontId="0" fillId="0" borderId="0" xfId="6" applyFont="1" applyFill="1" applyBorder="1" applyAlignment="1">
      <alignment horizontal="right" vertical="center" wrapText="1"/>
      <protection locked="0"/>
    </xf>
    <xf numFmtId="4" fontId="0" fillId="4" borderId="16" xfId="6" applyFont="1" applyBorder="1" applyAlignment="1">
      <alignment horizontal="right" vertical="center" wrapText="1"/>
      <protection locked="0"/>
    </xf>
    <xf numFmtId="4" fontId="0" fillId="4" borderId="18" xfId="6" applyFont="1" applyBorder="1" applyAlignment="1">
      <alignment horizontal="right" vertical="center" wrapText="1"/>
      <protection locked="0"/>
    </xf>
    <xf numFmtId="4" fontId="0" fillId="4" borderId="14" xfId="6" applyFont="1" applyBorder="1" applyAlignment="1">
      <alignment horizontal="right" vertical="center" wrapText="1"/>
      <protection locked="0"/>
    </xf>
    <xf numFmtId="0" fontId="9" fillId="0" borderId="0" xfId="90" applyFont="1" applyFill="1" applyBorder="1"/>
    <xf numFmtId="17" fontId="0" fillId="0" borderId="0" xfId="0" applyNumberFormat="1" applyFont="1" applyFill="1"/>
    <xf numFmtId="165" fontId="0" fillId="6" borderId="0" xfId="17" applyNumberFormat="1" applyFont="1" applyFill="1" applyBorder="1"/>
    <xf numFmtId="165" fontId="0" fillId="6" borderId="16" xfId="17" applyNumberFormat="1" applyFont="1" applyFill="1" applyBorder="1"/>
    <xf numFmtId="1" fontId="0" fillId="0" borderId="0" xfId="0" applyNumberFormat="1" applyFont="1" applyFill="1" applyBorder="1" applyAlignment="1">
      <alignment horizontal="right"/>
    </xf>
    <xf numFmtId="0" fontId="7" fillId="0" borderId="7" xfId="0" applyFont="1" applyFill="1" applyBorder="1"/>
    <xf numFmtId="0" fontId="7" fillId="0" borderId="0" xfId="0" applyFont="1" applyFill="1" applyBorder="1"/>
    <xf numFmtId="0" fontId="7" fillId="0" borderId="1" xfId="0" applyFont="1" applyFill="1" applyBorder="1"/>
    <xf numFmtId="0" fontId="25" fillId="0" borderId="13" xfId="0" applyFont="1" applyFill="1" applyBorder="1"/>
    <xf numFmtId="0" fontId="77" fillId="0" borderId="13" xfId="59" applyFill="1" applyBorder="1"/>
    <xf numFmtId="0" fontId="13" fillId="0" borderId="17" xfId="0" applyFont="1" applyFill="1" applyBorder="1"/>
    <xf numFmtId="9" fontId="0" fillId="0" borderId="13" xfId="17" applyFont="1" applyFill="1" applyBorder="1" applyAlignment="1">
      <alignment horizontal="right"/>
    </xf>
    <xf numFmtId="9" fontId="0" fillId="0" borderId="2" xfId="17" applyFont="1" applyFill="1" applyBorder="1" applyAlignment="1">
      <alignment horizontal="right"/>
    </xf>
    <xf numFmtId="9" fontId="0" fillId="0" borderId="14" xfId="17" applyFont="1" applyFill="1" applyBorder="1" applyAlignment="1">
      <alignment horizontal="right"/>
    </xf>
    <xf numFmtId="4" fontId="7" fillId="4" borderId="15" xfId="6" applyBorder="1" applyAlignment="1">
      <alignment horizontal="right"/>
      <protection locked="0"/>
    </xf>
    <xf numFmtId="4" fontId="7" fillId="4" borderId="17" xfId="6" applyBorder="1" applyAlignment="1">
      <alignment horizontal="right"/>
      <protection locked="0"/>
    </xf>
    <xf numFmtId="9" fontId="96" fillId="0" borderId="0" xfId="17" applyFont="1" applyFill="1" applyBorder="1"/>
    <xf numFmtId="9" fontId="0" fillId="0" borderId="14" xfId="0" applyNumberFormat="1" applyBorder="1"/>
    <xf numFmtId="9" fontId="0" fillId="0" borderId="16" xfId="0" applyNumberFormat="1" applyBorder="1"/>
    <xf numFmtId="9" fontId="67" fillId="0" borderId="16" xfId="83" applyNumberFormat="1" applyFont="1" applyBorder="1"/>
    <xf numFmtId="9" fontId="0" fillId="0" borderId="18" xfId="0" applyNumberFormat="1" applyBorder="1"/>
    <xf numFmtId="0" fontId="18" fillId="0" borderId="4" xfId="58" quotePrefix="1" applyBorder="1" applyAlignment="1">
      <alignment wrapText="1"/>
    </xf>
    <xf numFmtId="0" fontId="29" fillId="0" borderId="1" xfId="0" applyFont="1" applyBorder="1" applyAlignment="1">
      <alignment wrapText="1"/>
    </xf>
    <xf numFmtId="0" fontId="65" fillId="0" borderId="0" xfId="0" applyFont="1" applyAlignment="1">
      <alignment wrapText="1"/>
    </xf>
    <xf numFmtId="0" fontId="17" fillId="0" borderId="1" xfId="0" applyFont="1" applyBorder="1" applyAlignment="1">
      <alignment wrapText="1"/>
    </xf>
    <xf numFmtId="0" fontId="18" fillId="0" borderId="4" xfId="58" quotePrefix="1" applyBorder="1" applyAlignment="1">
      <alignment horizontal="left" vertical="top" wrapText="1"/>
    </xf>
    <xf numFmtId="0" fontId="0" fillId="0" borderId="14" xfId="0" applyFont="1" applyFill="1" applyBorder="1" applyAlignment="1">
      <alignment vertical="center"/>
    </xf>
    <xf numFmtId="0" fontId="0" fillId="0" borderId="16" xfId="0" applyFont="1" applyFill="1" applyBorder="1" applyAlignment="1">
      <alignment horizontal="center" wrapText="1"/>
    </xf>
    <xf numFmtId="165" fontId="7" fillId="0" borderId="16" xfId="86" applyNumberFormat="1" applyFont="1" applyBorder="1"/>
    <xf numFmtId="4" fontId="7" fillId="0" borderId="0" xfId="6" applyFill="1" applyBorder="1" applyAlignment="1">
      <alignment horizontal="right"/>
      <protection locked="0"/>
    </xf>
    <xf numFmtId="49" fontId="0" fillId="0" borderId="1" xfId="0" applyNumberFormat="1" applyBorder="1"/>
    <xf numFmtId="0" fontId="0" fillId="0" borderId="0" xfId="85" applyFont="1" applyFill="1" applyAlignment="1"/>
    <xf numFmtId="0" fontId="7" fillId="0" borderId="0" xfId="85" applyFont="1" applyFill="1" applyAlignment="1">
      <alignment wrapText="1"/>
    </xf>
    <xf numFmtId="181" fontId="20" fillId="0" borderId="0" xfId="0" applyNumberFormat="1" applyFont="1" applyFill="1" applyAlignment="1"/>
    <xf numFmtId="0" fontId="16" fillId="0" borderId="0" xfId="0" applyFont="1" applyFill="1" applyBorder="1" applyAlignment="1">
      <alignment horizontal="right" vertical="center"/>
    </xf>
    <xf numFmtId="0" fontId="16" fillId="0" borderId="0" xfId="0" applyFont="1" applyFill="1" applyBorder="1" applyAlignment="1">
      <alignment horizontal="center" vertical="center"/>
    </xf>
    <xf numFmtId="0" fontId="16" fillId="0" borderId="4" xfId="0" applyFont="1" applyFill="1" applyBorder="1" applyAlignment="1">
      <alignment vertical="center"/>
    </xf>
    <xf numFmtId="0" fontId="19" fillId="0" borderId="0" xfId="14" applyFill="1"/>
    <xf numFmtId="2" fontId="0" fillId="0" borderId="0" xfId="0" applyNumberFormat="1" applyFill="1" applyBorder="1"/>
    <xf numFmtId="0" fontId="19" fillId="0" borderId="0" xfId="14" applyFill="1" applyBorder="1"/>
    <xf numFmtId="180" fontId="0" fillId="0" borderId="0" xfId="0" applyNumberFormat="1" applyFont="1" applyFill="1" applyBorder="1"/>
    <xf numFmtId="43" fontId="0" fillId="0" borderId="0" xfId="0" applyNumberFormat="1" applyFont="1" applyFill="1" applyBorder="1"/>
    <xf numFmtId="0" fontId="0" fillId="0" borderId="2" xfId="0" applyFill="1" applyBorder="1"/>
    <xf numFmtId="0" fontId="0" fillId="0" borderId="14" xfId="0" applyFill="1" applyBorder="1"/>
    <xf numFmtId="0" fontId="0" fillId="0" borderId="15" xfId="0" applyBorder="1" applyAlignment="1">
      <alignment wrapText="1"/>
    </xf>
    <xf numFmtId="2" fontId="0" fillId="0" borderId="16" xfId="0" applyNumberFormat="1" applyFill="1" applyBorder="1"/>
    <xf numFmtId="2" fontId="0" fillId="0" borderId="1" xfId="0" applyNumberFormat="1" applyFill="1" applyBorder="1"/>
    <xf numFmtId="2" fontId="0" fillId="0" borderId="18" xfId="0" applyNumberFormat="1" applyFill="1" applyBorder="1"/>
    <xf numFmtId="3" fontId="79" fillId="0" borderId="13" xfId="76" applyBorder="1">
      <protection locked="0"/>
    </xf>
    <xf numFmtId="3" fontId="79" fillId="0" borderId="2" xfId="76" applyBorder="1">
      <protection locked="0"/>
    </xf>
    <xf numFmtId="3" fontId="79" fillId="0" borderId="14" xfId="76" applyBorder="1">
      <protection locked="0"/>
    </xf>
    <xf numFmtId="3" fontId="79" fillId="0" borderId="15" xfId="76" applyBorder="1">
      <protection locked="0"/>
    </xf>
    <xf numFmtId="3" fontId="79" fillId="0" borderId="0" xfId="76" applyBorder="1">
      <protection locked="0"/>
    </xf>
    <xf numFmtId="3" fontId="79" fillId="0" borderId="16" xfId="76" applyBorder="1">
      <protection locked="0"/>
    </xf>
    <xf numFmtId="3" fontId="79" fillId="0" borderId="17" xfId="76" applyBorder="1">
      <protection locked="0"/>
    </xf>
    <xf numFmtId="3" fontId="79" fillId="0" borderId="1" xfId="76" applyBorder="1">
      <protection locked="0"/>
    </xf>
    <xf numFmtId="173" fontId="79" fillId="0" borderId="0" xfId="18" applyNumberFormat="1" applyFont="1" applyBorder="1" applyProtection="1">
      <protection locked="0"/>
    </xf>
    <xf numFmtId="173" fontId="79" fillId="0" borderId="16" xfId="18" applyNumberFormat="1" applyFont="1" applyBorder="1" applyProtection="1">
      <protection locked="0"/>
    </xf>
    <xf numFmtId="173" fontId="79" fillId="0" borderId="1" xfId="18" applyNumberFormat="1" applyFont="1" applyBorder="1" applyProtection="1">
      <protection locked="0"/>
    </xf>
    <xf numFmtId="173" fontId="79" fillId="0" borderId="18" xfId="18" applyNumberFormat="1" applyFont="1" applyBorder="1" applyProtection="1">
      <protection locked="0"/>
    </xf>
    <xf numFmtId="0" fontId="18" fillId="0" borderId="0" xfId="58" applyFont="1" applyFill="1" applyBorder="1"/>
    <xf numFmtId="165" fontId="11" fillId="5" borderId="15" xfId="9" applyNumberFormat="1" applyBorder="1"/>
    <xf numFmtId="9" fontId="67" fillId="0" borderId="0" xfId="17" applyFont="1" applyBorder="1"/>
    <xf numFmtId="9" fontId="7" fillId="0" borderId="1" xfId="18" applyNumberFormat="1" applyFont="1" applyBorder="1"/>
    <xf numFmtId="0" fontId="28" fillId="0" borderId="0" xfId="83" applyFont="1" applyBorder="1" applyAlignment="1">
      <alignment horizontal="right"/>
    </xf>
    <xf numFmtId="0" fontId="28" fillId="0" borderId="0" xfId="83" applyFont="1" applyFill="1" applyBorder="1" applyAlignment="1">
      <alignment horizontal="right"/>
    </xf>
    <xf numFmtId="0" fontId="28" fillId="0" borderId="16" xfId="83" applyFont="1" applyFill="1" applyBorder="1" applyAlignment="1">
      <alignment horizontal="right"/>
    </xf>
    <xf numFmtId="41" fontId="11" fillId="0" borderId="0" xfId="78" applyFill="1" applyBorder="1" applyAlignment="1">
      <alignment wrapText="1"/>
    </xf>
    <xf numFmtId="41" fontId="11" fillId="0" borderId="1" xfId="78" applyFill="1" applyBorder="1" applyAlignment="1">
      <alignment wrapText="1"/>
    </xf>
    <xf numFmtId="165" fontId="79" fillId="0" borderId="0" xfId="77" applyBorder="1">
      <protection locked="0"/>
    </xf>
    <xf numFmtId="165" fontId="79" fillId="0" borderId="1" xfId="77" applyBorder="1">
      <protection locked="0"/>
    </xf>
    <xf numFmtId="10" fontId="79" fillId="0" borderId="0" xfId="77" applyNumberFormat="1" applyBorder="1">
      <protection locked="0"/>
    </xf>
    <xf numFmtId="9" fontId="67" fillId="0" borderId="16" xfId="17" applyFont="1" applyBorder="1"/>
    <xf numFmtId="9" fontId="7" fillId="0" borderId="18" xfId="17" applyFont="1" applyBorder="1"/>
    <xf numFmtId="0" fontId="22" fillId="0" borderId="0" xfId="0" applyNumberFormat="1" applyFont="1" applyFill="1" applyBorder="1"/>
    <xf numFmtId="0" fontId="0" fillId="0" borderId="1" xfId="0" applyNumberFormat="1" applyBorder="1"/>
    <xf numFmtId="4" fontId="7" fillId="4" borderId="2" xfId="6" applyBorder="1" applyAlignment="1">
      <alignment wrapText="1"/>
      <protection locked="0"/>
    </xf>
    <xf numFmtId="10" fontId="7" fillId="0" borderId="16" xfId="86" applyNumberFormat="1" applyFont="1" applyBorder="1"/>
    <xf numFmtId="44" fontId="67" fillId="0" borderId="0" xfId="83" applyNumberFormat="1" applyFont="1" applyFill="1"/>
    <xf numFmtId="0" fontId="23" fillId="0" borderId="0" xfId="709" applyFont="1" applyFill="1"/>
    <xf numFmtId="0" fontId="23" fillId="0" borderId="0" xfId="709" applyFont="1"/>
    <xf numFmtId="0" fontId="72" fillId="0" borderId="0" xfId="709" applyFont="1" applyFill="1"/>
    <xf numFmtId="0" fontId="72" fillId="0" borderId="0" xfId="709" applyFont="1"/>
    <xf numFmtId="0" fontId="72" fillId="0" borderId="0" xfId="709" applyFont="1" applyFill="1" applyAlignment="1">
      <alignment horizontal="left"/>
    </xf>
    <xf numFmtId="3" fontId="23" fillId="0" borderId="0" xfId="709" applyNumberFormat="1" applyFont="1" applyFill="1"/>
    <xf numFmtId="3" fontId="72" fillId="0" borderId="0" xfId="709" applyNumberFormat="1" applyFont="1"/>
    <xf numFmtId="0" fontId="23" fillId="0" borderId="0" xfId="709" applyFont="1" applyFill="1" applyBorder="1"/>
    <xf numFmtId="0" fontId="72" fillId="0" borderId="0" xfId="709" applyFont="1" applyFill="1" applyBorder="1"/>
    <xf numFmtId="9" fontId="7" fillId="0" borderId="0" xfId="710" applyFont="1" applyFill="1" applyBorder="1"/>
    <xf numFmtId="9" fontId="11" fillId="0" borderId="0" xfId="9" applyNumberFormat="1" applyFont="1" applyFill="1" applyBorder="1" applyAlignment="1"/>
    <xf numFmtId="0" fontId="72" fillId="0" borderId="0" xfId="709" applyFont="1" applyFill="1" applyBorder="1" applyAlignment="1">
      <alignment horizontal="left"/>
    </xf>
    <xf numFmtId="9" fontId="72" fillId="0" borderId="0" xfId="709" applyNumberFormat="1" applyFont="1" applyFill="1" applyBorder="1"/>
    <xf numFmtId="0" fontId="67" fillId="0" borderId="0" xfId="709" applyFont="1"/>
    <xf numFmtId="0" fontId="67" fillId="0" borderId="0" xfId="709" applyFont="1" applyFill="1"/>
    <xf numFmtId="0" fontId="67" fillId="0" borderId="0" xfId="709" applyFont="1" applyFill="1" applyBorder="1"/>
    <xf numFmtId="9" fontId="67" fillId="0" borderId="0" xfId="17" applyFont="1" applyFill="1" applyBorder="1"/>
    <xf numFmtId="9" fontId="67" fillId="0" borderId="0" xfId="17" applyFont="1" applyFill="1"/>
    <xf numFmtId="0" fontId="68" fillId="0" borderId="0" xfId="709" applyFont="1" applyFill="1" applyBorder="1"/>
    <xf numFmtId="9" fontId="68" fillId="0" borderId="0" xfId="710" applyFont="1" applyFill="1" applyBorder="1"/>
    <xf numFmtId="0" fontId="25" fillId="0" borderId="0" xfId="709" applyFont="1" applyFill="1" applyAlignment="1">
      <alignment vertical="center"/>
    </xf>
    <xf numFmtId="9" fontId="11" fillId="5" borderId="0" xfId="9" applyNumberFormat="1"/>
    <xf numFmtId="0" fontId="0" fillId="8" borderId="0" xfId="0" applyFill="1"/>
    <xf numFmtId="0" fontId="19" fillId="0" borderId="0" xfId="91" applyFont="1"/>
    <xf numFmtId="0" fontId="76" fillId="0" borderId="0" xfId="91" applyFont="1" applyAlignment="1">
      <alignment horizontal="center"/>
    </xf>
    <xf numFmtId="0" fontId="67" fillId="0" borderId="0" xfId="711" applyFont="1"/>
    <xf numFmtId="9" fontId="67" fillId="0" borderId="0" xfId="92" applyFont="1"/>
    <xf numFmtId="1" fontId="75" fillId="0" borderId="0" xfId="91" applyNumberFormat="1" applyFont="1"/>
    <xf numFmtId="0" fontId="25" fillId="0" borderId="0" xfId="91" applyFont="1"/>
    <xf numFmtId="190" fontId="76" fillId="0" borderId="13" xfId="91" applyNumberFormat="1" applyFont="1" applyBorder="1" applyAlignment="1">
      <alignment horizontal="left"/>
    </xf>
    <xf numFmtId="0" fontId="76" fillId="0" borderId="2" xfId="91" applyFont="1" applyBorder="1" applyAlignment="1">
      <alignment horizontal="left"/>
    </xf>
    <xf numFmtId="0" fontId="76" fillId="0" borderId="14" xfId="91" applyFont="1" applyBorder="1" applyAlignment="1">
      <alignment horizontal="right"/>
    </xf>
    <xf numFmtId="0" fontId="76" fillId="0" borderId="14" xfId="91" applyFont="1" applyBorder="1" applyAlignment="1">
      <alignment horizontal="left"/>
    </xf>
    <xf numFmtId="1" fontId="75" fillId="0" borderId="0" xfId="91" applyNumberFormat="1" applyFont="1" applyBorder="1"/>
    <xf numFmtId="1" fontId="75" fillId="0" borderId="16" xfId="91" applyNumberFormat="1" applyFont="1" applyBorder="1"/>
    <xf numFmtId="1" fontId="75" fillId="0" borderId="1" xfId="91" applyNumberFormat="1" applyFont="1" applyBorder="1"/>
    <xf numFmtId="1" fontId="75" fillId="0" borderId="18" xfId="91" applyNumberFormat="1" applyFont="1" applyBorder="1"/>
    <xf numFmtId="0" fontId="18" fillId="8" borderId="0" xfId="58" applyFill="1" applyAlignment="1">
      <alignment vertical="center"/>
    </xf>
    <xf numFmtId="0" fontId="11" fillId="5" borderId="0" xfId="9" applyNumberFormat="1"/>
    <xf numFmtId="0" fontId="11" fillId="5" borderId="0" xfId="9" applyNumberFormat="1" applyBorder="1"/>
    <xf numFmtId="0" fontId="76" fillId="0" borderId="0" xfId="0" applyFont="1" applyFill="1" applyBorder="1"/>
    <xf numFmtId="9" fontId="75" fillId="0" borderId="0" xfId="17" applyFont="1" applyBorder="1"/>
    <xf numFmtId="3" fontId="0" fillId="0" borderId="0" xfId="6" applyNumberFormat="1" applyFont="1" applyFill="1" applyBorder="1" applyAlignment="1">
      <protection locked="0"/>
    </xf>
    <xf numFmtId="0" fontId="98" fillId="0" borderId="0" xfId="0" applyFont="1" applyFill="1" applyBorder="1"/>
    <xf numFmtId="9" fontId="75" fillId="0" borderId="0" xfId="17" applyFont="1"/>
    <xf numFmtId="0" fontId="75" fillId="0" borderId="2" xfId="91" applyFont="1" applyBorder="1"/>
    <xf numFmtId="0" fontId="75" fillId="0" borderId="14" xfId="91" applyFont="1" applyBorder="1"/>
    <xf numFmtId="9" fontId="10" fillId="0" borderId="0" xfId="8" applyNumberFormat="1" applyBorder="1" applyProtection="1"/>
    <xf numFmtId="9" fontId="10" fillId="0" borderId="16" xfId="8" applyNumberFormat="1" applyBorder="1" applyProtection="1"/>
    <xf numFmtId="9" fontId="10" fillId="0" borderId="1" xfId="8" applyNumberFormat="1" applyBorder="1" applyProtection="1"/>
    <xf numFmtId="9" fontId="10" fillId="0" borderId="18" xfId="8" applyNumberFormat="1" applyBorder="1" applyProtection="1"/>
    <xf numFmtId="0" fontId="66" fillId="0" borderId="0" xfId="0" applyFont="1" applyAlignment="1"/>
    <xf numFmtId="0" fontId="13" fillId="39" borderId="30" xfId="0" applyFont="1" applyFill="1" applyBorder="1" applyAlignment="1">
      <alignment horizontal="left" vertical="center"/>
    </xf>
    <xf numFmtId="0" fontId="10" fillId="0" borderId="0" xfId="8" applyNumberFormat="1" applyFill="1" applyBorder="1" applyProtection="1"/>
    <xf numFmtId="0" fontId="10" fillId="0" borderId="0" xfId="8" applyNumberFormat="1" applyFill="1" applyProtection="1"/>
    <xf numFmtId="0" fontId="10" fillId="0" borderId="15" xfId="8" applyNumberFormat="1" applyFill="1" applyBorder="1" applyProtection="1"/>
    <xf numFmtId="167" fontId="10" fillId="0" borderId="0" xfId="8" applyNumberFormat="1" applyFill="1" applyBorder="1" applyAlignment="1" applyProtection="1">
      <alignment horizontal="center"/>
    </xf>
    <xf numFmtId="0" fontId="10" fillId="0" borderId="0" xfId="8" applyNumberFormat="1" applyFill="1" applyAlignment="1" applyProtection="1">
      <alignment horizontal="center"/>
    </xf>
    <xf numFmtId="0" fontId="10" fillId="0" borderId="2" xfId="8" applyNumberFormat="1" applyFill="1" applyBorder="1" applyProtection="1"/>
    <xf numFmtId="0" fontId="10" fillId="0" borderId="2" xfId="8" quotePrefix="1" applyNumberFormat="1" applyFill="1" applyBorder="1" applyProtection="1"/>
    <xf numFmtId="0" fontId="10" fillId="0" borderId="13" xfId="8" applyNumberFormat="1" applyFill="1" applyBorder="1" applyProtection="1"/>
    <xf numFmtId="168" fontId="10" fillId="0" borderId="2" xfId="8" applyNumberFormat="1" applyFill="1" applyBorder="1" applyProtection="1"/>
    <xf numFmtId="0" fontId="10" fillId="0" borderId="0" xfId="8" applyNumberFormat="1" applyFill="1" applyBorder="1" applyAlignment="1" applyProtection="1">
      <alignment horizontal="left" indent="1"/>
    </xf>
    <xf numFmtId="0" fontId="10" fillId="0" borderId="0" xfId="8" quotePrefix="1" applyNumberFormat="1" applyFill="1" applyProtection="1"/>
    <xf numFmtId="168" fontId="10" fillId="0" borderId="0" xfId="8" applyNumberFormat="1" applyFill="1" applyProtection="1"/>
    <xf numFmtId="165" fontId="10" fillId="0" borderId="0" xfId="8" applyNumberFormat="1" applyFill="1" applyProtection="1"/>
    <xf numFmtId="0" fontId="10" fillId="0" borderId="0" xfId="8" quotePrefix="1" applyNumberFormat="1" applyFill="1" applyBorder="1" applyProtection="1"/>
    <xf numFmtId="168" fontId="10" fillId="0" borderId="0" xfId="8" applyNumberFormat="1" applyFill="1" applyBorder="1" applyProtection="1"/>
    <xf numFmtId="0" fontId="10" fillId="0" borderId="1" xfId="8" applyNumberFormat="1" applyFill="1" applyBorder="1" applyProtection="1"/>
    <xf numFmtId="0" fontId="10" fillId="0" borderId="17" xfId="8" applyNumberFormat="1" applyFill="1" applyBorder="1" applyProtection="1"/>
    <xf numFmtId="165" fontId="10" fillId="0" borderId="1" xfId="8" applyNumberFormat="1" applyFill="1" applyBorder="1" applyProtection="1"/>
    <xf numFmtId="10" fontId="10" fillId="0" borderId="0" xfId="8" applyNumberFormat="1" applyFill="1" applyProtection="1"/>
    <xf numFmtId="9" fontId="10" fillId="0" borderId="0" xfId="8" applyNumberFormat="1" applyFill="1" applyProtection="1"/>
    <xf numFmtId="43" fontId="10" fillId="0" borderId="0" xfId="8" applyNumberFormat="1" applyFill="1" applyProtection="1"/>
    <xf numFmtId="0" fontId="18" fillId="8" borderId="0" xfId="58" applyFill="1"/>
    <xf numFmtId="0" fontId="20" fillId="0" borderId="0" xfId="0" applyFont="1" applyFill="1" applyBorder="1" applyAlignment="1"/>
    <xf numFmtId="14" fontId="20" fillId="0" borderId="0" xfId="0" applyNumberFormat="1" applyFont="1" applyFill="1" applyBorder="1" applyAlignment="1"/>
    <xf numFmtId="17" fontId="20" fillId="0" borderId="0" xfId="0" applyNumberFormat="1" applyFont="1" applyFill="1" applyBorder="1" applyAlignment="1"/>
    <xf numFmtId="0" fontId="0" fillId="0" borderId="3" xfId="0" applyFont="1" applyFill="1" applyBorder="1" applyAlignment="1">
      <alignment wrapText="1"/>
    </xf>
    <xf numFmtId="0" fontId="18" fillId="0" borderId="0" xfId="58" applyBorder="1"/>
    <xf numFmtId="0" fontId="0" fillId="0" borderId="1" xfId="0" applyFont="1" applyFill="1" applyBorder="1" applyAlignment="1"/>
    <xf numFmtId="0" fontId="0" fillId="0" borderId="4" xfId="0" applyFont="1" applyFill="1" applyBorder="1"/>
    <xf numFmtId="3" fontId="27" fillId="0" borderId="4" xfId="0" applyNumberFormat="1" applyFont="1" applyBorder="1"/>
    <xf numFmtId="3" fontId="27" fillId="0" borderId="5" xfId="0" applyNumberFormat="1" applyFont="1" applyBorder="1"/>
    <xf numFmtId="0" fontId="0" fillId="0" borderId="0" xfId="0" applyNumberFormat="1" applyFont="1" applyBorder="1"/>
    <xf numFmtId="0" fontId="29" fillId="0" borderId="2" xfId="0" applyFont="1" applyBorder="1" applyAlignment="1">
      <alignment wrapText="1"/>
    </xf>
    <xf numFmtId="0" fontId="29" fillId="0" borderId="18" xfId="0" applyFont="1" applyBorder="1" applyAlignment="1">
      <alignment wrapText="1"/>
    </xf>
    <xf numFmtId="0" fontId="0" fillId="0" borderId="0" xfId="0" applyFont="1" applyBorder="1" applyAlignment="1">
      <alignment vertical="top" wrapText="1"/>
    </xf>
    <xf numFmtId="17" fontId="0" fillId="0" borderId="0" xfId="0" applyNumberFormat="1" applyFont="1" applyBorder="1" applyAlignment="1">
      <alignment vertical="top" wrapText="1"/>
    </xf>
    <xf numFmtId="15" fontId="0" fillId="0" borderId="0" xfId="0" applyNumberFormat="1" applyFont="1" applyBorder="1" applyAlignment="1">
      <alignment vertical="top" wrapText="1"/>
    </xf>
    <xf numFmtId="0" fontId="0" fillId="0" borderId="18" xfId="0" applyFont="1" applyBorder="1" applyAlignment="1">
      <alignment vertical="top" wrapText="1"/>
    </xf>
    <xf numFmtId="0" fontId="18" fillId="0" borderId="0" xfId="0" applyFont="1" applyFill="1"/>
    <xf numFmtId="0" fontId="66" fillId="0" borderId="0" xfId="0" applyFont="1" applyBorder="1" applyAlignment="1"/>
    <xf numFmtId="0" fontId="10" fillId="0" borderId="0" xfId="8" applyNumberFormat="1" applyFill="1" applyBorder="1" applyAlignment="1" applyProtection="1">
      <alignment horizontal="right"/>
    </xf>
    <xf numFmtId="3" fontId="10" fillId="0" borderId="0" xfId="8" applyNumberFormat="1" applyFill="1" applyBorder="1" applyProtection="1"/>
    <xf numFmtId="0" fontId="10" fillId="0" borderId="0" xfId="8" applyNumberFormat="1" applyFill="1" applyBorder="1" applyAlignment="1" applyProtection="1">
      <alignment horizontal="center" vertical="center"/>
    </xf>
    <xf numFmtId="0" fontId="10" fillId="0" borderId="0" xfId="8" applyNumberFormat="1" applyFill="1" applyBorder="1" applyAlignment="1" applyProtection="1">
      <alignment vertical="top" wrapText="1"/>
    </xf>
    <xf numFmtId="0" fontId="10" fillId="0" borderId="0" xfId="8" applyNumberFormat="1" applyFill="1" applyAlignment="1" applyProtection="1">
      <alignment horizontal="right"/>
    </xf>
    <xf numFmtId="3" fontId="10" fillId="0" borderId="0" xfId="8" applyNumberFormat="1" applyFill="1" applyProtection="1"/>
    <xf numFmtId="178" fontId="10" fillId="0" borderId="0" xfId="8" applyNumberFormat="1" applyFill="1" applyProtection="1"/>
    <xf numFmtId="0" fontId="10" fillId="0" borderId="0" xfId="8" applyNumberFormat="1" applyFill="1" applyAlignment="1" applyProtection="1">
      <alignment horizontal="center" vertical="center"/>
    </xf>
    <xf numFmtId="0" fontId="10" fillId="0" borderId="0" xfId="8" applyNumberFormat="1" applyFill="1" applyBorder="1" applyAlignment="1" applyProtection="1">
      <alignment horizontal="left" vertical="top"/>
    </xf>
    <xf numFmtId="0" fontId="10" fillId="0" borderId="0" xfId="8" applyNumberFormat="1" applyFill="1" applyAlignment="1" applyProtection="1">
      <alignment horizontal="left" vertical="top"/>
    </xf>
    <xf numFmtId="14" fontId="10" fillId="0" borderId="0" xfId="8" applyNumberFormat="1" applyFill="1" applyProtection="1"/>
    <xf numFmtId="4" fontId="10" fillId="0" borderId="0" xfId="8" applyNumberFormat="1" applyFill="1" applyBorder="1" applyAlignment="1">
      <alignment horizontal="left"/>
      <protection locked="0"/>
    </xf>
    <xf numFmtId="49" fontId="9" fillId="0" borderId="30" xfId="0" applyNumberFormat="1" applyFont="1" applyFill="1" applyBorder="1" applyAlignment="1">
      <alignment horizontal="left" vertical="center" wrapText="1"/>
    </xf>
    <xf numFmtId="0" fontId="13" fillId="39" borderId="0" xfId="0" applyFont="1" applyFill="1" applyBorder="1" applyAlignment="1">
      <alignment horizontal="left" vertical="center"/>
    </xf>
    <xf numFmtId="0" fontId="13" fillId="0" borderId="30" xfId="0" applyFont="1" applyFill="1" applyBorder="1" applyAlignment="1">
      <alignment horizontal="left" vertical="center"/>
    </xf>
    <xf numFmtId="0" fontId="13" fillId="0" borderId="30" xfId="0" applyFont="1" applyFill="1" applyBorder="1" applyAlignment="1">
      <alignment horizontal="left" vertical="top" wrapText="1"/>
    </xf>
    <xf numFmtId="0" fontId="28" fillId="8" borderId="0" xfId="83" applyFont="1" applyFill="1"/>
    <xf numFmtId="9" fontId="0" fillId="0" borderId="0" xfId="17" applyFont="1"/>
    <xf numFmtId="0" fontId="23" fillId="0" borderId="0" xfId="709" applyFont="1" applyBorder="1"/>
    <xf numFmtId="165" fontId="7" fillId="0" borderId="0" xfId="17" applyNumberFormat="1" applyFont="1" applyBorder="1"/>
    <xf numFmtId="0" fontId="14" fillId="0" borderId="0" xfId="709" applyFont="1" applyFill="1" applyBorder="1"/>
    <xf numFmtId="0" fontId="14" fillId="0" borderId="0" xfId="709" applyFont="1" applyBorder="1"/>
    <xf numFmtId="0" fontId="7" fillId="0" borderId="0" xfId="709" applyFont="1" applyFill="1" applyBorder="1"/>
    <xf numFmtId="0" fontId="7" fillId="0" borderId="2" xfId="8" applyNumberFormat="1" applyFont="1" applyBorder="1" applyProtection="1"/>
    <xf numFmtId="0" fontId="7" fillId="0" borderId="14" xfId="8" applyNumberFormat="1" applyFont="1" applyBorder="1" applyProtection="1"/>
    <xf numFmtId="0" fontId="7" fillId="0" borderId="15" xfId="8" applyNumberFormat="1" applyFont="1" applyBorder="1" applyProtection="1"/>
    <xf numFmtId="165" fontId="7" fillId="0" borderId="16" xfId="17" applyNumberFormat="1" applyFont="1" applyBorder="1"/>
    <xf numFmtId="165" fontId="7" fillId="0" borderId="1" xfId="0" applyNumberFormat="1" applyFont="1" applyBorder="1"/>
    <xf numFmtId="165" fontId="7" fillId="0" borderId="18" xfId="0" applyNumberFormat="1" applyFont="1" applyBorder="1"/>
    <xf numFmtId="0" fontId="81" fillId="0" borderId="17" xfId="8" applyNumberFormat="1" applyFont="1" applyBorder="1" applyProtection="1"/>
    <xf numFmtId="0" fontId="67" fillId="0" borderId="0" xfId="709" applyFont="1" applyBorder="1"/>
    <xf numFmtId="3" fontId="75" fillId="0" borderId="0" xfId="0" applyNumberFormat="1" applyFont="1" applyBorder="1"/>
    <xf numFmtId="3" fontId="0" fillId="0" borderId="1" xfId="6" applyNumberFormat="1" applyFont="1" applyFill="1" applyBorder="1" applyAlignment="1">
      <protection locked="0"/>
    </xf>
    <xf numFmtId="0" fontId="0" fillId="0" borderId="16" xfId="0" applyFont="1" applyBorder="1" applyAlignment="1">
      <alignment horizontal="right"/>
    </xf>
    <xf numFmtId="0" fontId="0" fillId="0" borderId="0" xfId="0" applyFont="1" applyBorder="1" applyAlignment="1">
      <alignment horizontal="right"/>
    </xf>
    <xf numFmtId="0" fontId="16" fillId="0" borderId="16" xfId="0" applyFont="1" applyFill="1" applyBorder="1" applyAlignment="1">
      <alignment wrapText="1"/>
    </xf>
    <xf numFmtId="190" fontId="10" fillId="0" borderId="15" xfId="8" applyNumberFormat="1" applyBorder="1" applyAlignment="1" applyProtection="1">
      <alignment horizontal="left"/>
    </xf>
    <xf numFmtId="0" fontId="10" fillId="0" borderId="0" xfId="8" applyNumberFormat="1" applyBorder="1" applyAlignment="1" applyProtection="1">
      <alignment horizontal="left"/>
    </xf>
    <xf numFmtId="0" fontId="10" fillId="0" borderId="16" xfId="8" applyNumberFormat="1" applyBorder="1" applyAlignment="1" applyProtection="1">
      <alignment horizontal="right"/>
    </xf>
    <xf numFmtId="0" fontId="10" fillId="0" borderId="15" xfId="8" applyNumberFormat="1" applyBorder="1" applyAlignment="1" applyProtection="1">
      <alignment horizontal="left"/>
    </xf>
    <xf numFmtId="190" fontId="10" fillId="0" borderId="17" xfId="8" applyNumberFormat="1" applyBorder="1" applyAlignment="1" applyProtection="1">
      <alignment horizontal="left"/>
    </xf>
    <xf numFmtId="0" fontId="10" fillId="0" borderId="1" xfId="8" applyNumberFormat="1" applyBorder="1" applyAlignment="1" applyProtection="1">
      <alignment horizontal="left"/>
    </xf>
    <xf numFmtId="0" fontId="10" fillId="0" borderId="18" xfId="8" applyNumberFormat="1" applyBorder="1" applyAlignment="1" applyProtection="1">
      <alignment horizontal="right"/>
    </xf>
    <xf numFmtId="0" fontId="7" fillId="0" borderId="13" xfId="8" applyNumberFormat="1" applyFont="1" applyBorder="1" applyProtection="1"/>
    <xf numFmtId="0" fontId="0" fillId="0" borderId="2" xfId="8" applyNumberFormat="1" applyFont="1" applyBorder="1" applyProtection="1"/>
    <xf numFmtId="0" fontId="7" fillId="0" borderId="13" xfId="8" applyNumberFormat="1" applyFont="1" applyBorder="1" applyAlignment="1" applyProtection="1">
      <alignment horizontal="right"/>
    </xf>
    <xf numFmtId="0" fontId="7" fillId="0" borderId="0" xfId="709" applyFont="1" applyBorder="1"/>
    <xf numFmtId="165" fontId="7" fillId="0" borderId="0" xfId="709" applyNumberFormat="1" applyFont="1" applyFill="1" applyBorder="1"/>
    <xf numFmtId="165" fontId="67" fillId="0" borderId="0" xfId="709" applyNumberFormat="1" applyFont="1" applyFill="1" applyBorder="1"/>
    <xf numFmtId="165" fontId="7" fillId="0" borderId="15" xfId="17" applyNumberFormat="1" applyFont="1" applyBorder="1"/>
    <xf numFmtId="0" fontId="7" fillId="0" borderId="1" xfId="709" applyFont="1" applyBorder="1"/>
    <xf numFmtId="165" fontId="7" fillId="0" borderId="17" xfId="0" applyNumberFormat="1" applyFont="1" applyBorder="1"/>
    <xf numFmtId="0" fontId="15" fillId="0" borderId="15" xfId="0" applyFont="1" applyBorder="1" applyAlignment="1">
      <alignment wrapText="1"/>
    </xf>
    <xf numFmtId="165" fontId="7" fillId="0" borderId="0" xfId="86" applyNumberFormat="1" applyFont="1" applyBorder="1"/>
    <xf numFmtId="0" fontId="28" fillId="0" borderId="20" xfId="83" applyFont="1" applyBorder="1"/>
    <xf numFmtId="9" fontId="28" fillId="0" borderId="7" xfId="83" applyNumberFormat="1" applyFont="1" applyBorder="1"/>
    <xf numFmtId="9" fontId="28" fillId="0" borderId="21" xfId="83" applyNumberFormat="1" applyFont="1" applyBorder="1"/>
    <xf numFmtId="168" fontId="10" fillId="0" borderId="0" xfId="1" applyNumberFormat="1" applyFont="1" applyFill="1" applyProtection="1"/>
    <xf numFmtId="44" fontId="81" fillId="0" borderId="0" xfId="18" applyFont="1" applyBorder="1"/>
    <xf numFmtId="165" fontId="79" fillId="0" borderId="2" xfId="77" applyBorder="1" applyAlignment="1">
      <alignment wrapText="1"/>
      <protection locked="0"/>
    </xf>
    <xf numFmtId="0" fontId="100" fillId="0" borderId="0" xfId="0" applyFont="1" applyBorder="1" applyAlignment="1">
      <alignment vertical="top" wrapText="1"/>
    </xf>
    <xf numFmtId="0" fontId="7" fillId="0" borderId="0" xfId="0" applyFont="1" applyBorder="1" applyAlignment="1">
      <alignment vertical="top" wrapText="1"/>
    </xf>
    <xf numFmtId="0" fontId="7" fillId="8" borderId="0" xfId="85" applyFont="1" applyFill="1" applyBorder="1"/>
    <xf numFmtId="0" fontId="0" fillId="0" borderId="0" xfId="0" applyFont="1" applyBorder="1"/>
    <xf numFmtId="0" fontId="7" fillId="0" borderId="0" xfId="0" applyFont="1" applyFill="1"/>
    <xf numFmtId="0" fontId="82" fillId="8" borderId="0" xfId="83" applyFont="1" applyFill="1"/>
    <xf numFmtId="187" fontId="50" fillId="8" borderId="0" xfId="83" applyNumberFormat="1" applyFont="1" applyFill="1"/>
    <xf numFmtId="9" fontId="50" fillId="8" borderId="0" xfId="17" applyFont="1" applyFill="1"/>
    <xf numFmtId="0" fontId="24" fillId="8" borderId="0" xfId="0" applyFont="1" applyFill="1" applyBorder="1"/>
    <xf numFmtId="0" fontId="0" fillId="8" borderId="0" xfId="0" applyFill="1" applyAlignment="1">
      <alignment wrapText="1"/>
    </xf>
    <xf numFmtId="0" fontId="67" fillId="8" borderId="0" xfId="83" applyFont="1" applyFill="1" applyAlignment="1">
      <alignment wrapText="1"/>
    </xf>
    <xf numFmtId="0" fontId="7" fillId="8" borderId="0" xfId="0" applyFont="1" applyFill="1"/>
    <xf numFmtId="44" fontId="7" fillId="8" borderId="0" xfId="18" applyFont="1" applyFill="1" applyAlignment="1">
      <alignment wrapText="1"/>
    </xf>
    <xf numFmtId="44" fontId="0" fillId="8" borderId="0" xfId="18" applyFont="1" applyFill="1" applyAlignment="1">
      <alignment wrapText="1"/>
    </xf>
    <xf numFmtId="44" fontId="0" fillId="8" borderId="0" xfId="18" applyFont="1" applyFill="1"/>
    <xf numFmtId="0" fontId="18" fillId="8" borderId="0" xfId="58" applyFont="1" applyFill="1" applyAlignment="1">
      <alignment vertical="center" wrapText="1"/>
    </xf>
    <xf numFmtId="4" fontId="0" fillId="8" borderId="0" xfId="0" applyNumberFormat="1" applyFont="1" applyFill="1" applyAlignment="1">
      <alignment wrapText="1"/>
    </xf>
    <xf numFmtId="4" fontId="0" fillId="8" borderId="0" xfId="0" applyNumberFormat="1" applyFill="1"/>
    <xf numFmtId="0" fontId="0" fillId="0" borderId="20" xfId="0" applyBorder="1"/>
    <xf numFmtId="9" fontId="0" fillId="0" borderId="21" xfId="17" applyFont="1" applyBorder="1"/>
    <xf numFmtId="0" fontId="0" fillId="0" borderId="7" xfId="0" applyFont="1" applyBorder="1"/>
    <xf numFmtId="0" fontId="9" fillId="8" borderId="0" xfId="94" applyFont="1" applyFill="1" applyBorder="1" applyAlignment="1">
      <alignment vertical="top"/>
    </xf>
    <xf numFmtId="0" fontId="92" fillId="8" borderId="0" xfId="94" applyFont="1" applyFill="1" applyBorder="1" applyAlignment="1">
      <alignment vertical="top"/>
    </xf>
    <xf numFmtId="0" fontId="0" fillId="8" borderId="1" xfId="0" applyFont="1" applyFill="1" applyBorder="1"/>
    <xf numFmtId="0" fontId="66" fillId="0" borderId="0" xfId="0" applyFont="1" applyFill="1" applyBorder="1"/>
    <xf numFmtId="179" fontId="16" fillId="0" borderId="39" xfId="75" applyNumberFormat="1" applyFont="1" applyFill="1" applyBorder="1" applyAlignment="1">
      <protection locked="0"/>
    </xf>
    <xf numFmtId="179" fontId="16" fillId="0" borderId="0" xfId="75" applyNumberFormat="1" applyFont="1" applyFill="1" applyBorder="1" applyAlignment="1">
      <protection locked="0"/>
    </xf>
    <xf numFmtId="173" fontId="7" fillId="4" borderId="16" xfId="6" applyNumberFormat="1" applyBorder="1" applyAlignment="1">
      <protection locked="0"/>
    </xf>
    <xf numFmtId="173" fontId="7" fillId="0" borderId="18" xfId="6" applyNumberFormat="1" applyFill="1" applyBorder="1" applyAlignment="1">
      <protection locked="0"/>
    </xf>
    <xf numFmtId="0" fontId="0" fillId="8" borderId="0" xfId="0" applyFont="1" applyFill="1" applyBorder="1" applyAlignment="1"/>
    <xf numFmtId="14" fontId="0" fillId="43" borderId="0" xfId="0" applyNumberFormat="1" applyFont="1" applyFill="1" applyBorder="1" applyAlignment="1"/>
    <xf numFmtId="17" fontId="0" fillId="43" borderId="0" xfId="0" applyNumberFormat="1" applyFont="1" applyFill="1" applyBorder="1" applyAlignment="1"/>
    <xf numFmtId="0" fontId="100" fillId="0" borderId="0" xfId="0" applyFont="1" applyFill="1" applyBorder="1" applyAlignment="1">
      <alignment vertical="top" wrapText="1"/>
    </xf>
    <xf numFmtId="44" fontId="81" fillId="0" borderId="1" xfId="18" applyFont="1" applyBorder="1"/>
    <xf numFmtId="0" fontId="18" fillId="8" borderId="0" xfId="58" applyFill="1" applyAlignment="1">
      <alignment horizontal="left"/>
    </xf>
    <xf numFmtId="0" fontId="18" fillId="8" borderId="0" xfId="58" applyFill="1" applyBorder="1"/>
    <xf numFmtId="0" fontId="18" fillId="0" borderId="0" xfId="58" applyBorder="1" applyAlignment="1">
      <alignment wrapText="1"/>
    </xf>
    <xf numFmtId="0" fontId="18" fillId="0" borderId="1" xfId="58" applyBorder="1" applyAlignment="1">
      <alignment wrapText="1"/>
    </xf>
    <xf numFmtId="0" fontId="18" fillId="0" borderId="2" xfId="58" applyBorder="1" applyAlignment="1">
      <alignment wrapText="1"/>
    </xf>
    <xf numFmtId="0" fontId="18" fillId="0" borderId="2" xfId="58" applyBorder="1"/>
    <xf numFmtId="0" fontId="18" fillId="0" borderId="0" xfId="58" applyBorder="1" applyAlignment="1">
      <alignment vertical="top"/>
    </xf>
    <xf numFmtId="0" fontId="18" fillId="0" borderId="0" xfId="58" applyBorder="1" applyAlignment="1">
      <alignment vertical="top" wrapText="1"/>
    </xf>
    <xf numFmtId="0" fontId="18" fillId="0" borderId="1" xfId="58" applyBorder="1" applyAlignment="1">
      <alignment vertical="top" wrapText="1"/>
    </xf>
    <xf numFmtId="0" fontId="18" fillId="0" borderId="4" xfId="58" applyBorder="1" applyAlignment="1">
      <alignment horizontal="left" vertical="top" wrapText="1"/>
    </xf>
    <xf numFmtId="0" fontId="18" fillId="0" borderId="5" xfId="58" applyBorder="1" applyAlignment="1">
      <alignment horizontal="left" vertical="top" wrapText="1"/>
    </xf>
    <xf numFmtId="0" fontId="18" fillId="0" borderId="5" xfId="58" applyBorder="1" applyAlignment="1">
      <alignment wrapText="1"/>
    </xf>
    <xf numFmtId="0" fontId="18" fillId="0" borderId="15" xfId="58" applyBorder="1" applyAlignment="1">
      <alignment wrapText="1"/>
    </xf>
    <xf numFmtId="0" fontId="18" fillId="0" borderId="15" xfId="58" quotePrefix="1" applyBorder="1" applyAlignment="1">
      <alignment wrapText="1"/>
    </xf>
    <xf numFmtId="0" fontId="18" fillId="0" borderId="15" xfId="58" applyBorder="1"/>
    <xf numFmtId="0" fontId="18" fillId="0" borderId="4" xfId="58" applyBorder="1" applyAlignment="1">
      <alignment wrapText="1"/>
    </xf>
    <xf numFmtId="0" fontId="18" fillId="0" borderId="3" xfId="58" applyBorder="1" applyAlignment="1">
      <alignment wrapText="1"/>
    </xf>
    <xf numFmtId="0" fontId="18" fillId="0" borderId="4" xfId="58" applyBorder="1"/>
    <xf numFmtId="0" fontId="18" fillId="0" borderId="4" xfId="58" applyBorder="1" applyAlignment="1">
      <alignment vertical="top" wrapText="1"/>
    </xf>
    <xf numFmtId="0" fontId="18" fillId="0" borderId="5" xfId="58" applyBorder="1" applyAlignment="1">
      <alignment vertical="top" wrapText="1"/>
    </xf>
    <xf numFmtId="0" fontId="18" fillId="0" borderId="5" xfId="58" applyBorder="1"/>
    <xf numFmtId="0" fontId="18" fillId="0" borderId="3" xfId="58" applyBorder="1"/>
    <xf numFmtId="0" fontId="18" fillId="0" borderId="4" xfId="58" quotePrefix="1" applyBorder="1"/>
    <xf numFmtId="0" fontId="101" fillId="0" borderId="0" xfId="91" applyFont="1"/>
    <xf numFmtId="0" fontId="101" fillId="0" borderId="0" xfId="91" applyFont="1" applyAlignment="1">
      <alignment horizontal="center"/>
    </xf>
    <xf numFmtId="14" fontId="0" fillId="8" borderId="1" xfId="0" applyNumberFormat="1" applyFont="1" applyFill="1" applyBorder="1"/>
    <xf numFmtId="0" fontId="13" fillId="39" borderId="32" xfId="0" applyFont="1" applyFill="1" applyBorder="1" applyAlignment="1">
      <alignment horizontal="left" vertical="center"/>
    </xf>
    <xf numFmtId="0" fontId="13" fillId="39" borderId="30" xfId="0" applyFont="1" applyFill="1" applyBorder="1" applyAlignment="1">
      <alignment horizontal="left" vertical="center"/>
    </xf>
    <xf numFmtId="0" fontId="26" fillId="0" borderId="3" xfId="0" applyFont="1" applyBorder="1" applyAlignment="1">
      <alignment horizontal="left" vertical="top" wrapText="1"/>
    </xf>
    <xf numFmtId="0" fontId="26" fillId="0" borderId="5" xfId="0" applyFont="1" applyBorder="1" applyAlignment="1">
      <alignment horizontal="left" vertical="top" wrapText="1"/>
    </xf>
    <xf numFmtId="0" fontId="9" fillId="8" borderId="0" xfId="94" applyFont="1" applyFill="1" applyBorder="1" applyAlignment="1">
      <alignment horizontal="left" vertical="top"/>
    </xf>
    <xf numFmtId="0" fontId="92" fillId="8" borderId="0" xfId="94" applyFont="1" applyFill="1" applyBorder="1" applyAlignment="1">
      <alignment horizontal="left" vertical="top"/>
    </xf>
    <xf numFmtId="0" fontId="0" fillId="0" borderId="16" xfId="0" applyFont="1" applyBorder="1" applyAlignment="1">
      <alignment horizontal="center" vertical="top" wrapText="1"/>
    </xf>
    <xf numFmtId="0" fontId="15" fillId="0" borderId="15" xfId="0" applyFont="1" applyBorder="1" applyAlignment="1">
      <alignment horizontal="center" wrapText="1"/>
    </xf>
    <xf numFmtId="0" fontId="15" fillId="0" borderId="0" xfId="0" applyFont="1" applyBorder="1" applyAlignment="1">
      <alignment horizontal="center" wrapText="1"/>
    </xf>
    <xf numFmtId="0" fontId="15" fillId="0" borderId="15" xfId="0" applyFont="1" applyBorder="1" applyAlignment="1">
      <alignment horizontal="left" wrapText="1"/>
    </xf>
    <xf numFmtId="0" fontId="15" fillId="0" borderId="0" xfId="0" applyFont="1" applyBorder="1" applyAlignment="1">
      <alignment horizontal="left" wrapText="1"/>
    </xf>
    <xf numFmtId="0" fontId="11" fillId="0" borderId="0" xfId="9" applyNumberFormat="1" applyFill="1" applyBorder="1" applyAlignment="1">
      <alignment horizontal="center" wrapText="1"/>
    </xf>
    <xf numFmtId="0" fontId="11" fillId="0" borderId="1" xfId="9" applyNumberFormat="1" applyFill="1" applyBorder="1" applyAlignment="1">
      <alignment horizontal="center" wrapText="1"/>
    </xf>
    <xf numFmtId="0" fontId="11" fillId="5" borderId="0" xfId="9" applyNumberFormat="1" applyAlignment="1">
      <alignment horizontal="center" vertical="center" wrapText="1"/>
    </xf>
    <xf numFmtId="41" fontId="11" fillId="0" borderId="0" xfId="9" applyFill="1" applyBorder="1" applyAlignment="1">
      <alignment horizontal="center" wrapText="1"/>
    </xf>
    <xf numFmtId="41" fontId="11" fillId="0" borderId="1" xfId="9" applyFill="1" applyBorder="1" applyAlignment="1">
      <alignment horizontal="center" wrapText="1"/>
    </xf>
    <xf numFmtId="0" fontId="16" fillId="0" borderId="0" xfId="0" applyFont="1" applyFill="1" applyBorder="1" applyAlignment="1">
      <alignment horizontal="left" vertical="center" wrapText="1"/>
    </xf>
    <xf numFmtId="0" fontId="16" fillId="0" borderId="13" xfId="0" applyFont="1" applyFill="1" applyBorder="1" applyAlignment="1">
      <alignment horizontal="center" vertical="top" wrapText="1"/>
    </xf>
    <xf numFmtId="0" fontId="16" fillId="0" borderId="15" xfId="0" applyFont="1" applyFill="1" applyBorder="1" applyAlignment="1">
      <alignment horizontal="center" vertical="top" wrapText="1"/>
    </xf>
    <xf numFmtId="0" fontId="0" fillId="43" borderId="0" xfId="0" applyFont="1" applyFill="1" applyBorder="1" applyAlignment="1">
      <alignment horizontal="left" vertical="top" wrapText="1"/>
    </xf>
    <xf numFmtId="0" fontId="0" fillId="8"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13" fillId="8" borderId="35" xfId="94" applyFont="1" applyFill="1" applyBorder="1" applyAlignment="1">
      <alignment horizontal="left" vertical="top" wrapText="1"/>
    </xf>
    <xf numFmtId="0" fontId="92" fillId="8" borderId="36" xfId="94" applyFont="1" applyFill="1" applyBorder="1" applyAlignment="1">
      <alignment horizontal="left" vertical="top" wrapText="1"/>
    </xf>
    <xf numFmtId="0" fontId="9" fillId="8" borderId="8" xfId="94" applyFont="1" applyFill="1" applyBorder="1" applyAlignment="1">
      <alignment horizontal="left" vertical="top" wrapText="1"/>
    </xf>
    <xf numFmtId="0" fontId="92" fillId="8" borderId="10" xfId="94" applyFont="1" applyFill="1" applyBorder="1" applyAlignment="1">
      <alignment horizontal="left" vertical="top" wrapText="1"/>
    </xf>
    <xf numFmtId="15" fontId="9" fillId="8" borderId="0" xfId="94" quotePrefix="1" applyNumberFormat="1" applyFont="1" applyFill="1" applyBorder="1" applyAlignment="1">
      <alignment horizontal="left" vertical="top" wrapText="1"/>
    </xf>
    <xf numFmtId="0" fontId="92" fillId="8" borderId="40" xfId="94" applyFont="1" applyFill="1" applyBorder="1" applyAlignment="1">
      <alignment horizontal="left" vertical="top" wrapText="1"/>
    </xf>
    <xf numFmtId="15" fontId="9" fillId="8" borderId="0" xfId="95" applyNumberFormat="1" applyFont="1" applyFill="1" applyBorder="1" applyAlignment="1">
      <alignment horizontal="left" vertical="top" wrapText="1"/>
    </xf>
    <xf numFmtId="0" fontId="9" fillId="8" borderId="0" xfId="94" applyFont="1" applyFill="1" applyBorder="1" applyAlignment="1">
      <alignment horizontal="left" vertical="top" wrapText="1"/>
    </xf>
    <xf numFmtId="190" fontId="9" fillId="8" borderId="6" xfId="95" applyNumberFormat="1" applyFont="1" applyFill="1" applyBorder="1" applyAlignment="1">
      <alignment horizontal="left" vertical="top" wrapText="1"/>
    </xf>
    <xf numFmtId="0" fontId="92" fillId="8" borderId="12" xfId="94" applyFont="1" applyFill="1" applyBorder="1" applyAlignment="1">
      <alignment horizontal="left" vertical="top" wrapText="1"/>
    </xf>
    <xf numFmtId="0" fontId="9" fillId="8" borderId="9" xfId="94" applyFont="1" applyFill="1" applyBorder="1" applyAlignment="1">
      <alignment horizontal="left" vertical="top" wrapText="1"/>
    </xf>
    <xf numFmtId="0" fontId="92" fillId="8" borderId="8" xfId="94" applyFont="1" applyFill="1" applyBorder="1" applyAlignment="1">
      <alignment horizontal="left" vertical="top" wrapText="1"/>
    </xf>
    <xf numFmtId="0" fontId="92" fillId="8" borderId="39" xfId="94" applyFont="1" applyFill="1" applyBorder="1" applyAlignment="1">
      <alignment horizontal="left" vertical="top" wrapText="1"/>
    </xf>
    <xf numFmtId="0" fontId="92" fillId="8" borderId="0" xfId="94" applyFont="1" applyFill="1" applyBorder="1" applyAlignment="1">
      <alignment horizontal="left" vertical="top" wrapText="1"/>
    </xf>
    <xf numFmtId="0" fontId="92" fillId="8" borderId="11" xfId="94" applyFont="1" applyFill="1" applyBorder="1" applyAlignment="1">
      <alignment horizontal="left" vertical="top" wrapText="1"/>
    </xf>
    <xf numFmtId="0" fontId="92" fillId="8" borderId="6" xfId="94" applyFont="1" applyFill="1" applyBorder="1" applyAlignment="1">
      <alignment horizontal="left" vertical="top" wrapText="1"/>
    </xf>
    <xf numFmtId="0" fontId="13" fillId="8" borderId="39" xfId="94" applyFont="1" applyFill="1" applyBorder="1" applyAlignment="1">
      <alignment horizontal="left" vertical="top" wrapText="1"/>
    </xf>
    <xf numFmtId="0" fontId="5" fillId="8" borderId="39" xfId="94" applyFill="1" applyBorder="1" applyAlignment="1">
      <alignment horizontal="left" vertical="top" wrapText="1"/>
    </xf>
    <xf numFmtId="0" fontId="5" fillId="8" borderId="11" xfId="94" applyFill="1" applyBorder="1" applyAlignment="1">
      <alignment horizontal="left" vertical="top" wrapText="1"/>
    </xf>
    <xf numFmtId="0" fontId="5" fillId="8" borderId="0" xfId="94" applyFill="1" applyAlignment="1">
      <alignment horizontal="left" vertical="top" wrapText="1"/>
    </xf>
    <xf numFmtId="0" fontId="5" fillId="8" borderId="40" xfId="94" applyFill="1" applyBorder="1" applyAlignment="1">
      <alignment horizontal="left" vertical="top" wrapText="1"/>
    </xf>
    <xf numFmtId="0" fontId="5" fillId="8" borderId="6" xfId="94" applyFill="1" applyBorder="1" applyAlignment="1">
      <alignment horizontal="left" vertical="top" wrapText="1"/>
    </xf>
    <xf numFmtId="0" fontId="5" fillId="8" borderId="12" xfId="94" applyFill="1" applyBorder="1" applyAlignment="1">
      <alignment horizontal="left" vertical="top" wrapText="1"/>
    </xf>
    <xf numFmtId="0" fontId="13" fillId="8" borderId="36" xfId="94" applyFont="1" applyFill="1" applyBorder="1" applyAlignment="1">
      <alignment horizontal="left" vertical="top" wrapText="1"/>
    </xf>
    <xf numFmtId="0" fontId="11" fillId="5" borderId="0" xfId="9" applyNumberFormat="1" applyFont="1" applyAlignment="1">
      <alignment horizontal="center" wrapText="1"/>
    </xf>
    <xf numFmtId="0" fontId="0" fillId="0" borderId="15"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11" fillId="5" borderId="15" xfId="9" applyNumberFormat="1" applyBorder="1" applyAlignment="1">
      <alignment horizontal="center" wrapText="1"/>
    </xf>
    <xf numFmtId="0" fontId="11" fillId="5" borderId="0" xfId="9" applyNumberFormat="1" applyBorder="1" applyAlignment="1">
      <alignment horizontal="center" wrapText="1"/>
    </xf>
    <xf numFmtId="0" fontId="63" fillId="43" borderId="0" xfId="0" applyFont="1" applyFill="1" applyBorder="1" applyAlignment="1">
      <alignment horizontal="center" wrapText="1"/>
    </xf>
    <xf numFmtId="0" fontId="63" fillId="8" borderId="0" xfId="0" applyFont="1" applyFill="1" applyBorder="1" applyAlignment="1">
      <alignment horizontal="center" wrapText="1"/>
    </xf>
    <xf numFmtId="0" fontId="25" fillId="0" borderId="0" xfId="0" applyFont="1" applyFill="1" applyBorder="1" applyAlignment="1">
      <alignment horizontal="center" vertical="top" wrapText="1"/>
    </xf>
    <xf numFmtId="0" fontId="0" fillId="0" borderId="2" xfId="0" applyFont="1" applyFill="1" applyBorder="1" applyAlignment="1">
      <alignment horizontal="center"/>
    </xf>
    <xf numFmtId="0" fontId="0" fillId="0" borderId="14" xfId="0" applyFont="1" applyFill="1" applyBorder="1" applyAlignment="1">
      <alignment horizontal="center"/>
    </xf>
    <xf numFmtId="0" fontId="11" fillId="5" borderId="0" xfId="78" applyNumberFormat="1" applyAlignment="1">
      <alignment horizontal="center" vertical="top" wrapText="1"/>
    </xf>
    <xf numFmtId="0" fontId="10" fillId="0" borderId="0" xfId="8" applyNumberFormat="1" applyFill="1" applyAlignment="1" applyProtection="1">
      <alignment horizontal="left" vertical="top" wrapText="1"/>
    </xf>
    <xf numFmtId="0" fontId="11" fillId="5" borderId="0" xfId="9" applyNumberFormat="1" applyAlignment="1">
      <alignment horizontal="center" wrapText="1"/>
    </xf>
  </cellXfs>
  <cellStyles count="724">
    <cellStyle name="20% - Accent1" xfId="35" builtinId="30" customBuiltin="1"/>
    <cellStyle name="20% - Accent1 2" xfId="696"/>
    <cellStyle name="20% - Accent2" xfId="39" builtinId="34" customBuiltin="1"/>
    <cellStyle name="20% - Accent2 2" xfId="698"/>
    <cellStyle name="20% - Accent3" xfId="43" builtinId="38" customBuiltin="1"/>
    <cellStyle name="20% - Accent3 2" xfId="700"/>
    <cellStyle name="20% - Accent4" xfId="47" builtinId="42" customBuiltin="1"/>
    <cellStyle name="20% - Accent4 2" xfId="702"/>
    <cellStyle name="20% - Accent5" xfId="51" builtinId="46" customBuiltin="1"/>
    <cellStyle name="20% - Accent5 2" xfId="704"/>
    <cellStyle name="20% - Accent6" xfId="55" builtinId="50" customBuiltin="1"/>
    <cellStyle name="20% - Accent6 2" xfId="706"/>
    <cellStyle name="40% - Accent1" xfId="36" builtinId="31" customBuiltin="1"/>
    <cellStyle name="40% - Accent1 2" xfId="697"/>
    <cellStyle name="40% - Accent2" xfId="40" builtinId="35" customBuiltin="1"/>
    <cellStyle name="40% - Accent2 2" xfId="699"/>
    <cellStyle name="40% - Accent3" xfId="44" builtinId="39" customBuiltin="1"/>
    <cellStyle name="40% - Accent3 2" xfId="701"/>
    <cellStyle name="40% - Accent4" xfId="48" builtinId="43" customBuiltin="1"/>
    <cellStyle name="40% - Accent4 2" xfId="703"/>
    <cellStyle name="40% - Accent5" xfId="52" builtinId="47" customBuiltin="1"/>
    <cellStyle name="40% - Accent5 2" xfId="705"/>
    <cellStyle name="40% - Accent6" xfId="56" builtinId="51" customBuiltin="1"/>
    <cellStyle name="40% - Accent6 2" xfId="707"/>
    <cellStyle name="60% - Accent1" xfId="37" builtinId="32" customBuiltin="1"/>
    <cellStyle name="60% - Accent2" xfId="41" builtinId="36" customBuiltin="1"/>
    <cellStyle name="60% - Accent3" xfId="45" builtinId="40" customBuiltin="1"/>
    <cellStyle name="60% - Accent4" xfId="49" builtinId="44" customBuiltin="1"/>
    <cellStyle name="60% - Accent5" xfId="53" builtinId="48" customBuiltin="1"/>
    <cellStyle name="60% - Accent6" xfId="57" builtinId="52" customBuiltin="1"/>
    <cellStyle name="Accent1" xfId="34" builtinId="29" customBuiltin="1"/>
    <cellStyle name="Accent2" xfId="38" builtinId="33" customBuiltin="1"/>
    <cellStyle name="Accent3" xfId="42" builtinId="37" customBuiltin="1"/>
    <cellStyle name="Accent4" xfId="46" builtinId="41" customBuiltin="1"/>
    <cellStyle name="Accent5" xfId="50" builtinId="45" customBuiltin="1"/>
    <cellStyle name="Accent6" xfId="54" builtinId="49" customBuiltin="1"/>
    <cellStyle name="Bad" xfId="24" builtinId="27" customBuiltin="1"/>
    <cellStyle name="Calculation" xfId="28" builtinId="22" customBuiltin="1"/>
    <cellStyle name="Change in Formula" xfId="3"/>
    <cellStyle name="Change in Formula 2" xfId="65"/>
    <cellStyle name="Check Cell" xfId="30" builtinId="23" customBuiltin="1"/>
    <cellStyle name="Comma" xfId="1" builtinId="3" customBuiltin="1"/>
    <cellStyle name="Comma [0]" xfId="2" builtinId="6" customBuiltin="1"/>
    <cellStyle name="Comma [0] 2" xfId="714"/>
    <cellStyle name="Comma 10" xfId="723"/>
    <cellStyle name="Comma 2" xfId="64"/>
    <cellStyle name="Comma 3" xfId="713"/>
    <cellStyle name="Comma 4" xfId="712"/>
    <cellStyle name="Comma 5" xfId="720"/>
    <cellStyle name="Comma 6" xfId="715"/>
    <cellStyle name="Comma 7" xfId="719"/>
    <cellStyle name="Comma 8" xfId="721"/>
    <cellStyle name="Comma 9" xfId="722"/>
    <cellStyle name="Currency" xfId="18" builtinId="4"/>
    <cellStyle name="Currency 2" xfId="87"/>
    <cellStyle name="Error checks" xfId="4"/>
    <cellStyle name="Error checks 2" xfId="66"/>
    <cellStyle name="Error Warning" xfId="5"/>
    <cellStyle name="Error Warning 2" xfId="67"/>
    <cellStyle name="Explanatory Text" xfId="32" builtinId="53" customBuiltin="1"/>
    <cellStyle name="Forecast Input" xfId="68"/>
    <cellStyle name="Forecast Input%" xfId="69"/>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eading1" xfId="70"/>
    <cellStyle name="Heading2" xfId="71"/>
    <cellStyle name="Heading3" xfId="72"/>
    <cellStyle name="Hyperlink" xfId="11" builtinId="8" hidden="1"/>
    <cellStyle name="Hyperlink" xfId="58" builtinId="8"/>
    <cellStyle name="Hyperlink 2" xfId="96"/>
    <cellStyle name="Info Input #" xfId="73"/>
    <cellStyle name="Info Input %" xfId="74"/>
    <cellStyle name="Info/Default #" xfId="16"/>
    <cellStyle name="Info/default %" xfId="13"/>
    <cellStyle name="Info/import #" xfId="12"/>
    <cellStyle name="Info/import %" xfId="15"/>
    <cellStyle name="Input" xfId="26" builtinId="20" customBuiltin="1"/>
    <cellStyle name="Input #" xfId="6"/>
    <cellStyle name="Input # 2" xfId="75"/>
    <cellStyle name="Input # 3" xfId="60"/>
    <cellStyle name="Input %" xfId="7"/>
    <cellStyle name="Input % 2" xfId="63"/>
    <cellStyle name="Input2" xfId="8"/>
    <cellStyle name="Input2 #" xfId="76"/>
    <cellStyle name="Input2 %" xfId="77"/>
    <cellStyle name="Key Outputs" xfId="9"/>
    <cellStyle name="Key Outputs 2" xfId="79"/>
    <cellStyle name="Key Outputs 3" xfId="78"/>
    <cellStyle name="Key Outputs 4" xfId="716"/>
    <cellStyle name="Linked Cell" xfId="29" builtinId="24" customBuiltin="1"/>
    <cellStyle name="Links from other files (green) style" xfId="10"/>
    <cellStyle name="Links from other files (green) style 2" xfId="80"/>
    <cellStyle name="Neutral" xfId="25" builtinId="28" customBuiltin="1"/>
    <cellStyle name="Normal" xfId="0" builtinId="0" customBuiltin="1"/>
    <cellStyle name="Normal 13" xfId="89"/>
    <cellStyle name="Normal 18" xfId="83"/>
    <cellStyle name="Normal 2" xfId="82"/>
    <cellStyle name="Normal 2 15" xfId="95"/>
    <cellStyle name="Normal 2 2" xfId="85"/>
    <cellStyle name="Normal 2 2 2" xfId="97"/>
    <cellStyle name="Normal 2 2 4" xfId="59"/>
    <cellStyle name="Normal 2 3" xfId="93"/>
    <cellStyle name="Normal 3" xfId="90"/>
    <cellStyle name="Normal 3 2" xfId="94"/>
    <cellStyle name="Normal 4" xfId="91"/>
    <cellStyle name="Normal 4 2" xfId="691"/>
    <cellStyle name="Normal 5" xfId="692"/>
    <cellStyle name="Normal 5 2" xfId="711"/>
    <cellStyle name="Normal 6" xfId="694"/>
    <cellStyle name="Normal 7" xfId="709"/>
    <cellStyle name="Note 2" xfId="695"/>
    <cellStyle name="Output" xfId="27" builtinId="21" customBuiltin="1"/>
    <cellStyle name="Percent" xfId="17" builtinId="5"/>
    <cellStyle name="Percent 11" xfId="62"/>
    <cellStyle name="Percent 2" xfId="92"/>
    <cellStyle name="Percent 2 2" xfId="718"/>
    <cellStyle name="Percent 2 3" xfId="717"/>
    <cellStyle name="Percent 2 8" xfId="86"/>
    <cellStyle name="Percent 3" xfId="88"/>
    <cellStyle name="Percent 4" xfId="708"/>
    <cellStyle name="Percent 5" xfId="710"/>
    <cellStyle name="Percent 6" xfId="61"/>
    <cellStyle name="Percent 8" xfId="84"/>
    <cellStyle name="QA" xfId="14"/>
    <cellStyle name="QA Notes" xfId="81"/>
    <cellStyle name="style1459992809467" xfId="98"/>
    <cellStyle name="style1459992809545" xfId="99"/>
    <cellStyle name="style1459992809576" xfId="100"/>
    <cellStyle name="style1459992809607" xfId="101"/>
    <cellStyle name="style1459992809670" xfId="102"/>
    <cellStyle name="style1459992809701" xfId="103"/>
    <cellStyle name="style1459992809748" xfId="104"/>
    <cellStyle name="style1459992809794" xfId="105"/>
    <cellStyle name="style1459992809827" xfId="106"/>
    <cellStyle name="style1459992809874" xfId="107"/>
    <cellStyle name="style1459992809921" xfId="108"/>
    <cellStyle name="style1459992809968" xfId="109"/>
    <cellStyle name="style1459992809999" xfId="110"/>
    <cellStyle name="style1459992810030" xfId="111"/>
    <cellStyle name="style1459992810077" xfId="112"/>
    <cellStyle name="style1459992810108" xfId="113"/>
    <cellStyle name="style1459992810140" xfId="114"/>
    <cellStyle name="style1459992810171" xfId="115"/>
    <cellStyle name="style1459992810218" xfId="116"/>
    <cellStyle name="style1459992810264" xfId="117"/>
    <cellStyle name="style1459992810296" xfId="118"/>
    <cellStyle name="style1459992810327" xfId="119"/>
    <cellStyle name="style1459992810358" xfId="120"/>
    <cellStyle name="style1459992810389" xfId="121"/>
    <cellStyle name="style1459992810436" xfId="122"/>
    <cellStyle name="style1459992810483" xfId="123"/>
    <cellStyle name="style1459992810530" xfId="124"/>
    <cellStyle name="style1459992810576" xfId="125"/>
    <cellStyle name="style1459992810623" xfId="126"/>
    <cellStyle name="style1459992810686" xfId="127"/>
    <cellStyle name="style1459992810717" xfId="128"/>
    <cellStyle name="style1459992810795" xfId="129"/>
    <cellStyle name="style1459992810826" xfId="130"/>
    <cellStyle name="style1459992810857" xfId="131"/>
    <cellStyle name="style1459992810904" xfId="132"/>
    <cellStyle name="style1459992810951" xfId="133"/>
    <cellStyle name="style1459992810998" xfId="134"/>
    <cellStyle name="style1459992811044" xfId="135"/>
    <cellStyle name="style1459992811076" xfId="136"/>
    <cellStyle name="style1459992811107" xfId="137"/>
    <cellStyle name="style1459992811154" xfId="138"/>
    <cellStyle name="style1459992811200" xfId="139"/>
    <cellStyle name="style1459992811263" xfId="140"/>
    <cellStyle name="style1459992811294" xfId="141"/>
    <cellStyle name="style1459992811341" xfId="142"/>
    <cellStyle name="style1459992811372" xfId="143"/>
    <cellStyle name="style1459992811403" xfId="144"/>
    <cellStyle name="style1459992811450" xfId="145"/>
    <cellStyle name="style1459992811481" xfId="146"/>
    <cellStyle name="style1459992811512" xfId="147"/>
    <cellStyle name="style1459992811559" xfId="148"/>
    <cellStyle name="style1459992811606" xfId="149"/>
    <cellStyle name="style1459992811637" xfId="150"/>
    <cellStyle name="style1459992811668" xfId="151"/>
    <cellStyle name="style1459992811700" xfId="152"/>
    <cellStyle name="style1459992811731" xfId="153"/>
    <cellStyle name="style1459992811762" xfId="154"/>
    <cellStyle name="style1459992811793" xfId="155"/>
    <cellStyle name="style1459992811840" xfId="156"/>
    <cellStyle name="style1459992811871" xfId="157"/>
    <cellStyle name="style1459992811902" xfId="158"/>
    <cellStyle name="style1459992811934" xfId="159"/>
    <cellStyle name="style1459992811980" xfId="160"/>
    <cellStyle name="style1459992812012" xfId="161"/>
    <cellStyle name="style1459992812058" xfId="162"/>
    <cellStyle name="style1459992812105" xfId="163"/>
    <cellStyle name="style1459992812136" xfId="164"/>
    <cellStyle name="style1459992812183" xfId="165"/>
    <cellStyle name="style1459992812230" xfId="166"/>
    <cellStyle name="style1459992812277" xfId="167"/>
    <cellStyle name="style1459992812324" xfId="168"/>
    <cellStyle name="style1459992812355" xfId="169"/>
    <cellStyle name="style1459992812386" xfId="170"/>
    <cellStyle name="style1459992812417" xfId="171"/>
    <cellStyle name="style1459992812448" xfId="172"/>
    <cellStyle name="style1459992812480" xfId="173"/>
    <cellStyle name="style1459992812511" xfId="174"/>
    <cellStyle name="style1459992812558" xfId="175"/>
    <cellStyle name="style1459992812589" xfId="176"/>
    <cellStyle name="style1459992812620" xfId="177"/>
    <cellStyle name="style1459992812651" xfId="178"/>
    <cellStyle name="style1459992812729" xfId="179"/>
    <cellStyle name="style1459992812760" xfId="180"/>
    <cellStyle name="style1459992812807" xfId="181"/>
    <cellStyle name="style1459992812838" xfId="182"/>
    <cellStyle name="style1459992812916" xfId="183"/>
    <cellStyle name="style1459992812948" xfId="184"/>
    <cellStyle name="style1459992813104" xfId="185"/>
    <cellStyle name="style1459992813135" xfId="186"/>
    <cellStyle name="style1459992813166" xfId="187"/>
    <cellStyle name="style1459992813213" xfId="188"/>
    <cellStyle name="style1459992813322" xfId="189"/>
    <cellStyle name="style1459992813353" xfId="190"/>
    <cellStyle name="style1459992813400" xfId="191"/>
    <cellStyle name="style1459992813525" xfId="192"/>
    <cellStyle name="style1459992813650" xfId="193"/>
    <cellStyle name="style1459992813681" xfId="194"/>
    <cellStyle name="style1459992813712" xfId="195"/>
    <cellStyle name="style1459992813743" xfId="196"/>
    <cellStyle name="style1459992813774" xfId="197"/>
    <cellStyle name="style1459992813806" xfId="198"/>
    <cellStyle name="style1460008293193" xfId="199"/>
    <cellStyle name="style1460008293286" xfId="200"/>
    <cellStyle name="style1460008293333" xfId="201"/>
    <cellStyle name="style1460008293380" xfId="202"/>
    <cellStyle name="style1460008293442" xfId="203"/>
    <cellStyle name="style1460008293489" xfId="204"/>
    <cellStyle name="style1460008293551" xfId="205"/>
    <cellStyle name="style1460008293614" xfId="206"/>
    <cellStyle name="style1460008293661" xfId="207"/>
    <cellStyle name="style1460008293723" xfId="208"/>
    <cellStyle name="style1460008293770" xfId="209"/>
    <cellStyle name="style1460008293826" xfId="210"/>
    <cellStyle name="style1460008293872" xfId="211"/>
    <cellStyle name="style1460008293919" xfId="212"/>
    <cellStyle name="style1460008293977" xfId="213"/>
    <cellStyle name="style1460008294024" xfId="214"/>
    <cellStyle name="style1460008294071" xfId="215"/>
    <cellStyle name="style1460008294118" xfId="216"/>
    <cellStyle name="style1460008294165" xfId="217"/>
    <cellStyle name="style1460008294227" xfId="218"/>
    <cellStyle name="style1460008294274" xfId="219"/>
    <cellStyle name="style1460008294336" xfId="220"/>
    <cellStyle name="style1460008294399" xfId="221"/>
    <cellStyle name="style1460008294461" xfId="222"/>
    <cellStyle name="style1460008294539" xfId="223"/>
    <cellStyle name="style1460008294601" xfId="224"/>
    <cellStyle name="style1460008294679" xfId="225"/>
    <cellStyle name="style1460008294742" xfId="226"/>
    <cellStyle name="style1460008294820" xfId="227"/>
    <cellStyle name="style1460008294898" xfId="228"/>
    <cellStyle name="style1460008294945" xfId="229"/>
    <cellStyle name="style1460008295023" xfId="230"/>
    <cellStyle name="style1460008295069" xfId="231"/>
    <cellStyle name="style1460008295116" xfId="232"/>
    <cellStyle name="style1460008295163" xfId="233"/>
    <cellStyle name="style1460008295225" xfId="234"/>
    <cellStyle name="style1460008295288" xfId="235"/>
    <cellStyle name="style1460008295350" xfId="236"/>
    <cellStyle name="style1460008295413" xfId="237"/>
    <cellStyle name="style1460008295475" xfId="238"/>
    <cellStyle name="style1460008295522" xfId="239"/>
    <cellStyle name="style1460008295584" xfId="240"/>
    <cellStyle name="style1460008295647" xfId="241"/>
    <cellStyle name="style1460008295693" xfId="242"/>
    <cellStyle name="style1460008295756" xfId="243"/>
    <cellStyle name="style1460008295787" xfId="244"/>
    <cellStyle name="style1460008295834" xfId="245"/>
    <cellStyle name="style1460008295896" xfId="246"/>
    <cellStyle name="style1460008295943" xfId="247"/>
    <cellStyle name="style1460008296005" xfId="248"/>
    <cellStyle name="style1460008296052" xfId="249"/>
    <cellStyle name="style1460008296099" xfId="250"/>
    <cellStyle name="style1460008296146" xfId="251"/>
    <cellStyle name="style1460008296193" xfId="252"/>
    <cellStyle name="style1460008296239" xfId="253"/>
    <cellStyle name="style1460008296271" xfId="254"/>
    <cellStyle name="style1460008296349" xfId="255"/>
    <cellStyle name="style1460008296395" xfId="256"/>
    <cellStyle name="style1460008296458" xfId="257"/>
    <cellStyle name="style1460008296505" xfId="258"/>
    <cellStyle name="style1460008296551" xfId="259"/>
    <cellStyle name="style1460008296598" xfId="260"/>
    <cellStyle name="style1460008296645" xfId="261"/>
    <cellStyle name="style1460008296692" xfId="262"/>
    <cellStyle name="style1460008296723" xfId="263"/>
    <cellStyle name="style1460008296770" xfId="264"/>
    <cellStyle name="style1460008296817" xfId="265"/>
    <cellStyle name="style1460008296863" xfId="266"/>
    <cellStyle name="style1460008296910" xfId="267"/>
    <cellStyle name="style1460008296957" xfId="268"/>
    <cellStyle name="style1460008296991" xfId="269"/>
    <cellStyle name="style1460008297066" xfId="270"/>
    <cellStyle name="style1460008297112" xfId="271"/>
    <cellStyle name="style1460008297144" xfId="272"/>
    <cellStyle name="style1460008297190" xfId="273"/>
    <cellStyle name="style1460008297237" xfId="274"/>
    <cellStyle name="style1460008297300" xfId="275"/>
    <cellStyle name="style1460008297346" xfId="276"/>
    <cellStyle name="style1460008297393" xfId="277"/>
    <cellStyle name="style1460008297487" xfId="278"/>
    <cellStyle name="style1460008297534" xfId="279"/>
    <cellStyle name="style1460008297627" xfId="280"/>
    <cellStyle name="style1460008297674" xfId="281"/>
    <cellStyle name="style1460008297721" xfId="282"/>
    <cellStyle name="style1479948970793" xfId="283"/>
    <cellStyle name="style1479948970871" xfId="284"/>
    <cellStyle name="style1479948970934" xfId="285"/>
    <cellStyle name="style1479948970981" xfId="286"/>
    <cellStyle name="style1479948971043" xfId="287"/>
    <cellStyle name="style1479948971105" xfId="288"/>
    <cellStyle name="style1479948971152" xfId="289"/>
    <cellStyle name="style1479948971215" xfId="290"/>
    <cellStyle name="style1479948971261" xfId="291"/>
    <cellStyle name="style1479948971308" xfId="292"/>
    <cellStyle name="style1479948971371" xfId="293"/>
    <cellStyle name="style1479948971417" xfId="294"/>
    <cellStyle name="style1479948971464" xfId="295"/>
    <cellStyle name="style1479948971527" xfId="296"/>
    <cellStyle name="style1479948971573" xfId="297"/>
    <cellStyle name="style1479948971620" xfId="298"/>
    <cellStyle name="style1479948971667" xfId="299"/>
    <cellStyle name="style1479948971714" xfId="300"/>
    <cellStyle name="style1479948971761" xfId="301"/>
    <cellStyle name="style1479948971823" xfId="302"/>
    <cellStyle name="style1479948971854" xfId="303"/>
    <cellStyle name="style1479948971901" xfId="304"/>
    <cellStyle name="style1479948971932" xfId="305"/>
    <cellStyle name="style1479948971995" xfId="306"/>
    <cellStyle name="style1479948972041" xfId="307"/>
    <cellStyle name="style1479948972073" xfId="308"/>
    <cellStyle name="style1479948972135" xfId="309"/>
    <cellStyle name="style1479948972182" xfId="310"/>
    <cellStyle name="style1479948972229" xfId="311"/>
    <cellStyle name="style1479948972260" xfId="312"/>
    <cellStyle name="style1479948972322" xfId="313"/>
    <cellStyle name="style1479948972353" xfId="314"/>
    <cellStyle name="style1479948972400" xfId="315"/>
    <cellStyle name="style1479948972447" xfId="316"/>
    <cellStyle name="style1479948972494" xfId="317"/>
    <cellStyle name="style1479948972572" xfId="318"/>
    <cellStyle name="style1479948972619" xfId="319"/>
    <cellStyle name="style1479948972650" xfId="320"/>
    <cellStyle name="style1479948972681" xfId="321"/>
    <cellStyle name="style1479948972728" xfId="322"/>
    <cellStyle name="style1479948972775" xfId="323"/>
    <cellStyle name="style1479948972837" xfId="324"/>
    <cellStyle name="style1479948972884" xfId="325"/>
    <cellStyle name="style1479948972931" xfId="326"/>
    <cellStyle name="style1479948972977" xfId="327"/>
    <cellStyle name="style1479948973024" xfId="328"/>
    <cellStyle name="style1479948973071" xfId="329"/>
    <cellStyle name="style1479948973133" xfId="330"/>
    <cellStyle name="style1479948973180" xfId="331"/>
    <cellStyle name="style1479948973211" xfId="332"/>
    <cellStyle name="style1479948973243" xfId="333"/>
    <cellStyle name="style1479948973289" xfId="334"/>
    <cellStyle name="style1479948973321" xfId="335"/>
    <cellStyle name="style1479948973352" xfId="336"/>
    <cellStyle name="style1479948973399" xfId="337"/>
    <cellStyle name="style1479948973445" xfId="338"/>
    <cellStyle name="style1479948973492" xfId="339"/>
    <cellStyle name="style1479948973523" xfId="340"/>
    <cellStyle name="style1479948973570" xfId="341"/>
    <cellStyle name="style1479948973617" xfId="342"/>
    <cellStyle name="style1479948973664" xfId="343"/>
    <cellStyle name="style1479948973695" xfId="344"/>
    <cellStyle name="style1479948973726" xfId="345"/>
    <cellStyle name="style1479948973773" xfId="346"/>
    <cellStyle name="style1479948973820" xfId="347"/>
    <cellStyle name="style1479948973898" xfId="348"/>
    <cellStyle name="style1479948973929" xfId="349"/>
    <cellStyle name="style1479948973976" xfId="350"/>
    <cellStyle name="style1479948974101" xfId="351"/>
    <cellStyle name="style1479948974132" xfId="352"/>
    <cellStyle name="style1479948974163" xfId="353"/>
    <cellStyle name="style1479948974272" xfId="354"/>
    <cellStyle name="style1479948974303" xfId="355"/>
    <cellStyle name="style1479948974350" xfId="356"/>
    <cellStyle name="style1479948974381" xfId="357"/>
    <cellStyle name="style1479948974428" xfId="358"/>
    <cellStyle name="style1479948974459" xfId="359"/>
    <cellStyle name="style1480052440669" xfId="360"/>
    <cellStyle name="style1480052440747" xfId="361"/>
    <cellStyle name="style1480052440794" xfId="362"/>
    <cellStyle name="style1480052440840" xfId="363"/>
    <cellStyle name="style1480052440903" xfId="364"/>
    <cellStyle name="style1480052440951" xfId="365"/>
    <cellStyle name="style1480052440992" xfId="366"/>
    <cellStyle name="style1480052441078" xfId="367"/>
    <cellStyle name="style1480052441112" xfId="368"/>
    <cellStyle name="style1480052441173" xfId="369"/>
    <cellStyle name="style1480052441233" xfId="370"/>
    <cellStyle name="style1480052441293" xfId="371"/>
    <cellStyle name="style1480052441354" xfId="372"/>
    <cellStyle name="style1480052441401" xfId="373"/>
    <cellStyle name="style1480052441463" xfId="374"/>
    <cellStyle name="style1480052441527" xfId="375"/>
    <cellStyle name="style1480052441558" xfId="376"/>
    <cellStyle name="style1480052441620" xfId="377"/>
    <cellStyle name="style1480052441683" xfId="378"/>
    <cellStyle name="style1480052441729" xfId="379"/>
    <cellStyle name="style1480052441776" xfId="380"/>
    <cellStyle name="style1480052441823" xfId="381"/>
    <cellStyle name="style1480052441855" xfId="382"/>
    <cellStyle name="style1480052441918" xfId="383"/>
    <cellStyle name="style1480052441980" xfId="384"/>
    <cellStyle name="style1480052442027" xfId="385"/>
    <cellStyle name="style1480052442065" xfId="386"/>
    <cellStyle name="style1480052442121" xfId="387"/>
    <cellStyle name="style1480052442183" xfId="388"/>
    <cellStyle name="style1480052442228" xfId="389"/>
    <cellStyle name="style1480052442320" xfId="390"/>
    <cellStyle name="style1480052442351" xfId="391"/>
    <cellStyle name="style1480052442398" xfId="392"/>
    <cellStyle name="style1480052442415" xfId="393"/>
    <cellStyle name="style1480052442478" xfId="394"/>
    <cellStyle name="style1480052442525" xfId="395"/>
    <cellStyle name="style1480052442573" xfId="396"/>
    <cellStyle name="style1480052442620" xfId="397"/>
    <cellStyle name="style1480052442651" xfId="398"/>
    <cellStyle name="style1480052442698" xfId="399"/>
    <cellStyle name="style1480052442729" xfId="400"/>
    <cellStyle name="style1480052442776" xfId="401"/>
    <cellStyle name="style1480052442822" xfId="402"/>
    <cellStyle name="style1480052442876" xfId="403"/>
    <cellStyle name="style1480052442923" xfId="404"/>
    <cellStyle name="style1480052442970" xfId="405"/>
    <cellStyle name="style1480052443033" xfId="406"/>
    <cellStyle name="style1480052443080" xfId="407"/>
    <cellStyle name="style1480052443128" xfId="408"/>
    <cellStyle name="style1480052443174" xfId="409"/>
    <cellStyle name="style1480052443191" xfId="410"/>
    <cellStyle name="style1480052443253" xfId="411"/>
    <cellStyle name="style1480052443300" xfId="412"/>
    <cellStyle name="style1480052443331" xfId="413"/>
    <cellStyle name="style1480052443364" xfId="414"/>
    <cellStyle name="style1480052443417" xfId="415"/>
    <cellStyle name="style1480052443490" xfId="416"/>
    <cellStyle name="style1480052443537" xfId="417"/>
    <cellStyle name="style1480052443568" xfId="418"/>
    <cellStyle name="style1480052443615" xfId="419"/>
    <cellStyle name="style1480052443661" xfId="420"/>
    <cellStyle name="style1480052443708" xfId="421"/>
    <cellStyle name="style1480052443755" xfId="422"/>
    <cellStyle name="style1480052443787" xfId="423"/>
    <cellStyle name="style1480052443850" xfId="424"/>
    <cellStyle name="style1480052443933" xfId="425"/>
    <cellStyle name="style1480052443980" xfId="426"/>
    <cellStyle name="style1480052444042" xfId="427"/>
    <cellStyle name="style1480052444089" xfId="428"/>
    <cellStyle name="style1484265666456" xfId="429"/>
    <cellStyle name="style1484265666550" xfId="430"/>
    <cellStyle name="style1484265666612" xfId="431"/>
    <cellStyle name="style1484265666659" xfId="432"/>
    <cellStyle name="style1484265666706" xfId="433"/>
    <cellStyle name="style1484265666768" xfId="434"/>
    <cellStyle name="style1484265666800" xfId="435"/>
    <cellStyle name="style1484265666878" xfId="436"/>
    <cellStyle name="style1484265666925" xfId="437"/>
    <cellStyle name="style1484265666972" xfId="438"/>
    <cellStyle name="style1484265667034" xfId="439"/>
    <cellStyle name="style1484265667081" xfId="440"/>
    <cellStyle name="style1484265667128" xfId="441"/>
    <cellStyle name="style1484265667175" xfId="442"/>
    <cellStyle name="style1484265667237" xfId="443"/>
    <cellStyle name="style1484265667300" xfId="444"/>
    <cellStyle name="style1484265667346" xfId="445"/>
    <cellStyle name="style1484265667409" xfId="446"/>
    <cellStyle name="style1484265667471" xfId="447"/>
    <cellStyle name="style1484265667534" xfId="448"/>
    <cellStyle name="style1484265667580" xfId="449"/>
    <cellStyle name="style1484265667627" xfId="450"/>
    <cellStyle name="style1484265667674" xfId="451"/>
    <cellStyle name="style1484265667721" xfId="452"/>
    <cellStyle name="style1484265667783" xfId="453"/>
    <cellStyle name="style1484265667815" xfId="454"/>
    <cellStyle name="style1484265667909" xfId="455"/>
    <cellStyle name="style1484265667971" xfId="456"/>
    <cellStyle name="style1484265668034" xfId="457"/>
    <cellStyle name="style1484265668081" xfId="458"/>
    <cellStyle name="style1484265668143" xfId="459"/>
    <cellStyle name="style1484265668190" xfId="460"/>
    <cellStyle name="style1484265668237" xfId="461"/>
    <cellStyle name="style1484265668268" xfId="462"/>
    <cellStyle name="style1484265668315" xfId="463"/>
    <cellStyle name="style1484265668361" xfId="464"/>
    <cellStyle name="style1484265668408" xfId="465"/>
    <cellStyle name="style1484265668471" xfId="466"/>
    <cellStyle name="style1484265668517" xfId="467"/>
    <cellStyle name="style1484265668611" xfId="468"/>
    <cellStyle name="style1484265668658" xfId="469"/>
    <cellStyle name="style1484265668705" xfId="470"/>
    <cellStyle name="style1484265668751" xfId="471"/>
    <cellStyle name="style1484265668798" xfId="472"/>
    <cellStyle name="style1484265668830" xfId="473"/>
    <cellStyle name="style1484265668888" xfId="474"/>
    <cellStyle name="style1484265668950" xfId="475"/>
    <cellStyle name="style1484265668997" xfId="476"/>
    <cellStyle name="style1484265669059" xfId="477"/>
    <cellStyle name="style1484265669106" xfId="478"/>
    <cellStyle name="style1484265669153" xfId="479"/>
    <cellStyle name="style1484265669200" xfId="480"/>
    <cellStyle name="style1484265669262" xfId="481"/>
    <cellStyle name="style1484265669309" xfId="482"/>
    <cellStyle name="style1484265669356" xfId="483"/>
    <cellStyle name="style1484265669387" xfId="484"/>
    <cellStyle name="style1484265669434" xfId="485"/>
    <cellStyle name="style1484265669465" xfId="486"/>
    <cellStyle name="style1484265669512" xfId="487"/>
    <cellStyle name="style1484265669543" xfId="488"/>
    <cellStyle name="style1484265669590" xfId="489"/>
    <cellStyle name="style1484265669621" xfId="490"/>
    <cellStyle name="style1484265669668" xfId="491"/>
    <cellStyle name="style1484269121444" xfId="492"/>
    <cellStyle name="style1484269121522" xfId="493"/>
    <cellStyle name="style1484269121568" xfId="494"/>
    <cellStyle name="style1484269121615" xfId="495"/>
    <cellStyle name="style1484269121662" xfId="496"/>
    <cellStyle name="style1484269121724" xfId="497"/>
    <cellStyle name="style1484269121787" xfId="498"/>
    <cellStyle name="style1484269121834" xfId="499"/>
    <cellStyle name="style1484269121896" xfId="500"/>
    <cellStyle name="style1484269121943" xfId="501"/>
    <cellStyle name="style1484269121991" xfId="502"/>
    <cellStyle name="style1484269122053" xfId="503"/>
    <cellStyle name="style1484269122100" xfId="504"/>
    <cellStyle name="style1484269122147" xfId="505"/>
    <cellStyle name="style1484269122209" xfId="506"/>
    <cellStyle name="style1484269122256" xfId="507"/>
    <cellStyle name="style1484269122303" xfId="508"/>
    <cellStyle name="style1484269122365" xfId="509"/>
    <cellStyle name="style1484269122412" xfId="510"/>
    <cellStyle name="style1484269122474" xfId="511"/>
    <cellStyle name="style1484269122521" xfId="512"/>
    <cellStyle name="style1484269122568" xfId="513"/>
    <cellStyle name="style1484269122599" xfId="514"/>
    <cellStyle name="style1484269122661" xfId="515"/>
    <cellStyle name="style1484269122724" xfId="516"/>
    <cellStyle name="style1484269122771" xfId="517"/>
    <cellStyle name="style1484269122833" xfId="518"/>
    <cellStyle name="style1484269122895" xfId="519"/>
    <cellStyle name="style1484269122958" xfId="520"/>
    <cellStyle name="style1484269122989" xfId="521"/>
    <cellStyle name="style1484269123051" xfId="522"/>
    <cellStyle name="style1484269123098" xfId="523"/>
    <cellStyle name="style1484269123145" xfId="524"/>
    <cellStyle name="style1484269123176" xfId="525"/>
    <cellStyle name="style1484269123223" xfId="526"/>
    <cellStyle name="style1484269123270" xfId="527"/>
    <cellStyle name="style1484269123317" xfId="528"/>
    <cellStyle name="style1484269123379" xfId="529"/>
    <cellStyle name="style1484269123426" xfId="530"/>
    <cellStyle name="style1484269123504" xfId="531"/>
    <cellStyle name="style1484269123551" xfId="532"/>
    <cellStyle name="style1484269123597" xfId="533"/>
    <cellStyle name="style1484269123629" xfId="534"/>
    <cellStyle name="style1484269123675" xfId="535"/>
    <cellStyle name="style1484269123722" xfId="536"/>
    <cellStyle name="style1484269123753" xfId="537"/>
    <cellStyle name="style1484269123816" xfId="538"/>
    <cellStyle name="style1484269123863" xfId="539"/>
    <cellStyle name="style1484269123909" xfId="540"/>
    <cellStyle name="style1484269123972" xfId="541"/>
    <cellStyle name="style1484269124007" xfId="542"/>
    <cellStyle name="style1484269124061" xfId="543"/>
    <cellStyle name="style1484269124143" xfId="544"/>
    <cellStyle name="style1484269124190" xfId="545"/>
    <cellStyle name="style1484269124237" xfId="546"/>
    <cellStyle name="style1484269124284" xfId="547"/>
    <cellStyle name="style1484269124315" xfId="548"/>
    <cellStyle name="style1484269124346" xfId="549"/>
    <cellStyle name="style1484269124377" xfId="550"/>
    <cellStyle name="style1484269124424" xfId="551"/>
    <cellStyle name="style1484269124455" xfId="552"/>
    <cellStyle name="style1484269124502" xfId="553"/>
    <cellStyle name="style1484269124533" xfId="554"/>
    <cellStyle name="style1484269125048" xfId="555"/>
    <cellStyle name="style1484269125095" xfId="556"/>
    <cellStyle name="style1484284784034" xfId="557"/>
    <cellStyle name="style1484284784112" xfId="558"/>
    <cellStyle name="style1484284784174" xfId="559"/>
    <cellStyle name="style1484284784221" xfId="560"/>
    <cellStyle name="style1484284784284" xfId="561"/>
    <cellStyle name="style1484284784346" xfId="562"/>
    <cellStyle name="style1484284784408" xfId="563"/>
    <cellStyle name="style1484284784471" xfId="564"/>
    <cellStyle name="style1484284784533" xfId="565"/>
    <cellStyle name="style1484284784580" xfId="566"/>
    <cellStyle name="style1484284784642" xfId="567"/>
    <cellStyle name="style1484284784705" xfId="568"/>
    <cellStyle name="style1484284784752" xfId="569"/>
    <cellStyle name="style1484284784783" xfId="570"/>
    <cellStyle name="style1484284784845" xfId="571"/>
    <cellStyle name="style1484284784908" xfId="572"/>
    <cellStyle name="style1484284784954" xfId="573"/>
    <cellStyle name="style1484284785001" xfId="574"/>
    <cellStyle name="style1484284785079" xfId="575"/>
    <cellStyle name="style1484284785157" xfId="576"/>
    <cellStyle name="style1484284785188" xfId="577"/>
    <cellStyle name="style1484284785235" xfId="578"/>
    <cellStyle name="style1484284785282" xfId="579"/>
    <cellStyle name="style1484284785360" xfId="580"/>
    <cellStyle name="style1484284785422" xfId="581"/>
    <cellStyle name="style1484284785485" xfId="582"/>
    <cellStyle name="style1484284785563" xfId="583"/>
    <cellStyle name="style1484284785641" xfId="584"/>
    <cellStyle name="style1484284785719" xfId="585"/>
    <cellStyle name="style1484284785766" xfId="586"/>
    <cellStyle name="style1484284785844" xfId="587"/>
    <cellStyle name="style1484284785890" xfId="588"/>
    <cellStyle name="style1484284785922" xfId="589"/>
    <cellStyle name="style1484284785968" xfId="590"/>
    <cellStyle name="style1484284786015" xfId="591"/>
    <cellStyle name="style1484284786078" xfId="592"/>
    <cellStyle name="style1484284786140" xfId="593"/>
    <cellStyle name="style1484284786202" xfId="594"/>
    <cellStyle name="style1484284786265" xfId="595"/>
    <cellStyle name="style1484284786358" xfId="596"/>
    <cellStyle name="style1484284786405" xfId="597"/>
    <cellStyle name="style1484284786468" xfId="598"/>
    <cellStyle name="style1484284786514" xfId="599"/>
    <cellStyle name="style1484284786561" xfId="600"/>
    <cellStyle name="style1484284786608" xfId="601"/>
    <cellStyle name="style1484284786655" xfId="602"/>
    <cellStyle name="style1484284786717" xfId="603"/>
    <cellStyle name="style1484284786780" xfId="604"/>
    <cellStyle name="style1484284786842" xfId="605"/>
    <cellStyle name="style1484284786904" xfId="606"/>
    <cellStyle name="style1484284786967" xfId="607"/>
    <cellStyle name="style1484284787014" xfId="608"/>
    <cellStyle name="style1484284787060" xfId="609"/>
    <cellStyle name="style1484284787123" xfId="610"/>
    <cellStyle name="style1484284787170" xfId="611"/>
    <cellStyle name="style1484284787216" xfId="612"/>
    <cellStyle name="style1484284787263" xfId="613"/>
    <cellStyle name="style1484284787310" xfId="614"/>
    <cellStyle name="style1484284787357" xfId="615"/>
    <cellStyle name="style1484284787404" xfId="616"/>
    <cellStyle name="style1484284787450" xfId="617"/>
    <cellStyle name="style1484284787482" xfId="618"/>
    <cellStyle name="style1484284787528" xfId="619"/>
    <cellStyle name="style1485829447557" xfId="620"/>
    <cellStyle name="style1485829447650" xfId="621"/>
    <cellStyle name="style1485829447713" xfId="622"/>
    <cellStyle name="style1485829447759" xfId="623"/>
    <cellStyle name="style1485829447822" xfId="624"/>
    <cellStyle name="style1485829447884" xfId="625"/>
    <cellStyle name="style1485829447931" xfId="626"/>
    <cellStyle name="style1485829447993" xfId="627"/>
    <cellStyle name="style1485829448056" xfId="628"/>
    <cellStyle name="style1485829448118" xfId="629"/>
    <cellStyle name="style1485829448165" xfId="630"/>
    <cellStyle name="style1485829448212" xfId="631"/>
    <cellStyle name="style1485829448259" xfId="632"/>
    <cellStyle name="style1485829448305" xfId="633"/>
    <cellStyle name="style1485829448368" xfId="634"/>
    <cellStyle name="style1485829448415" xfId="635"/>
    <cellStyle name="style1485829448461" xfId="636"/>
    <cellStyle name="style1485829448508" xfId="637"/>
    <cellStyle name="style1485829448571" xfId="638"/>
    <cellStyle name="style1485829448633" xfId="639"/>
    <cellStyle name="style1485829448680" xfId="640"/>
    <cellStyle name="style1485829448727" xfId="641"/>
    <cellStyle name="style1485829448773" xfId="642"/>
    <cellStyle name="style1485829448836" xfId="643"/>
    <cellStyle name="style1485829448898" xfId="644"/>
    <cellStyle name="style1485829448961" xfId="645"/>
    <cellStyle name="style1485829449039" xfId="646"/>
    <cellStyle name="style1485829449101" xfId="647"/>
    <cellStyle name="style1485829449163" xfId="648"/>
    <cellStyle name="style1485829449226" xfId="649"/>
    <cellStyle name="style1485829449273" xfId="650"/>
    <cellStyle name="style1485829449319" xfId="651"/>
    <cellStyle name="style1485829449366" xfId="652"/>
    <cellStyle name="style1485829449413" xfId="653"/>
    <cellStyle name="style1485829449460" xfId="654"/>
    <cellStyle name="style1485829449522" xfId="655"/>
    <cellStyle name="style1485829449569" xfId="656"/>
    <cellStyle name="style1485829449631" xfId="657"/>
    <cellStyle name="style1485829449694" xfId="658"/>
    <cellStyle name="style1485829449772" xfId="659"/>
    <cellStyle name="style1485829449819" xfId="660"/>
    <cellStyle name="style1485829449865" xfId="661"/>
    <cellStyle name="style1485829449912" xfId="662"/>
    <cellStyle name="style1485829449959" xfId="663"/>
    <cellStyle name="style1485829450006" xfId="664"/>
    <cellStyle name="style1485829450068" xfId="665"/>
    <cellStyle name="style1485829450115" xfId="666"/>
    <cellStyle name="style1485829450177" xfId="667"/>
    <cellStyle name="style1485829450240" xfId="668"/>
    <cellStyle name="style1485829450287" xfId="669"/>
    <cellStyle name="style1485829450349" xfId="670"/>
    <cellStyle name="style1485829450396" xfId="671"/>
    <cellStyle name="style1485829450443" xfId="672"/>
    <cellStyle name="style1485829450489" xfId="673"/>
    <cellStyle name="style1485829450521" xfId="674"/>
    <cellStyle name="style1485829450567" xfId="675"/>
    <cellStyle name="style1485829450599" xfId="676"/>
    <cellStyle name="style1485829450645" xfId="677"/>
    <cellStyle name="style1485829450708" xfId="678"/>
    <cellStyle name="style1485829450755" xfId="679"/>
    <cellStyle name="style1485829450786" xfId="680"/>
    <cellStyle name="style1485829450833" xfId="681"/>
    <cellStyle name="style1485829450895" xfId="682"/>
    <cellStyle name="style1485829450957" xfId="683"/>
    <cellStyle name="style1485829451020" xfId="684"/>
    <cellStyle name="style1485829451082" xfId="685"/>
    <cellStyle name="style1485829451254" xfId="686"/>
    <cellStyle name="style1485829451301" xfId="687"/>
    <cellStyle name="style1485829451363" xfId="688"/>
    <cellStyle name="style1485829451410" xfId="689"/>
    <cellStyle name="style1485829451488" xfId="690"/>
    <cellStyle name="Title" xfId="693" builtinId="15" customBuiltin="1"/>
    <cellStyle name="Total" xfId="33" builtinId="25" customBuiltin="1"/>
    <cellStyle name="Warning Text" xfId="31" builtinId="11" customBuiltin="1"/>
  </cellStyles>
  <dxfs count="8">
    <dxf>
      <font>
        <color theme="4" tint="9.9948118533890809E-2"/>
      </font>
    </dxf>
    <dxf>
      <font>
        <color theme="4" tint="9.9948118533890809E-2"/>
      </font>
    </dxf>
    <dxf>
      <font>
        <color theme="0" tint="-4.9989318521683403E-2"/>
      </font>
    </dxf>
    <dxf>
      <font>
        <color theme="4" tint="9.9948118533890809E-2"/>
      </font>
    </dxf>
    <dxf>
      <font>
        <color theme="4" tint="9.9948118533890809E-2"/>
      </font>
    </dxf>
    <dxf>
      <font>
        <color theme="0" tint="-4.9989318521683403E-2"/>
      </font>
    </dxf>
    <dxf>
      <font>
        <color theme="4" tint="9.9948118533890809E-2"/>
      </font>
    </dxf>
    <dxf>
      <font>
        <color theme="0" tint="-4.9989318521683403E-2"/>
      </font>
    </dxf>
  </dxfs>
  <tableStyles count="0" defaultTableStyle="TableStyleMedium2" defaultPivotStyle="PivotStyleLight16"/>
  <colors>
    <mruColors>
      <color rgb="FFFFC000"/>
      <color rgb="FF48B749"/>
      <color rgb="FF007BC4"/>
      <color rgb="FFEBFAFF"/>
      <color rgb="FFFFFFCC"/>
      <color rgb="FFFFFFFF"/>
      <color rgb="FFFFF9E5"/>
      <color rgb="FF99CCFF"/>
      <color rgb="FF6EA3FA"/>
      <color rgb="FF00A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02934573972"/>
          <c:y val="0.16055873308145169"/>
          <c:w val="0.71986287228431178"/>
          <c:h val="0.72557721240857775"/>
        </c:manualLayout>
      </c:layout>
      <c:pieChart>
        <c:varyColors val="1"/>
        <c:ser>
          <c:idx val="0"/>
          <c:order val="0"/>
          <c:spPr>
            <a:ln>
              <a:noFill/>
            </a:ln>
          </c:spPr>
          <c:dPt>
            <c:idx val="0"/>
            <c:bubble3D val="0"/>
            <c:spPr>
              <a:solidFill>
                <a:srgbClr val="A5A5A5"/>
              </a:solidFill>
              <a:ln w="25400">
                <a:noFill/>
              </a:ln>
            </c:spPr>
          </c:dPt>
          <c:dPt>
            <c:idx val="1"/>
            <c:bubble3D val="0"/>
            <c:spPr>
              <a:solidFill>
                <a:srgbClr val="48B749"/>
              </a:solidFill>
              <a:ln w="25400">
                <a:noFill/>
              </a:ln>
            </c:spPr>
          </c:dPt>
          <c:dPt>
            <c:idx val="2"/>
            <c:bubble3D val="0"/>
            <c:spPr>
              <a:solidFill>
                <a:srgbClr val="8E4399"/>
              </a:solidFill>
              <a:ln w="25400">
                <a:noFill/>
              </a:ln>
            </c:spPr>
          </c:dPt>
          <c:dPt>
            <c:idx val="3"/>
            <c:bubble3D val="0"/>
            <c:spPr>
              <a:solidFill>
                <a:srgbClr val="F78D1E"/>
              </a:solidFill>
              <a:ln w="25400">
                <a:noFill/>
              </a:ln>
            </c:spPr>
          </c:dPt>
          <c:dPt>
            <c:idx val="4"/>
            <c:bubble3D val="0"/>
            <c:spPr>
              <a:solidFill>
                <a:srgbClr val="007BC4"/>
              </a:solidFill>
              <a:ln w="25400">
                <a:noFill/>
              </a:ln>
            </c:spPr>
          </c:dPt>
          <c:dLbls>
            <c:dLbl>
              <c:idx val="0"/>
              <c:layout>
                <c:manualLayout>
                  <c:x val="-0.15963203206526894"/>
                  <c:y val="-0.27193028871391078"/>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1"/>
              <c:layout>
                <c:manualLayout>
                  <c:x val="1.3938204980984065E-3"/>
                  <c:y val="-6.0838754083026816E-2"/>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2"/>
              <c:layout>
                <c:manualLayout>
                  <c:x val="-4.0135537279317839E-2"/>
                  <c:y val="5.3943751663727724E-2"/>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4.254030439321108E-4"/>
                  <c:y val="2.5306598011764044E-2"/>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11500532942095711"/>
                  <c:y val="3.3701056991039028E-3"/>
                </c:manualLayout>
              </c:layout>
              <c:showLegendKey val="0"/>
              <c:showVal val="1"/>
              <c:showCatName val="1"/>
              <c:showSerName val="0"/>
              <c:showPercent val="0"/>
              <c:showBubbleSize val="0"/>
              <c:extLst>
                <c:ext xmlns:c15="http://schemas.microsoft.com/office/drawing/2012/chart" uri="{CE6537A1-D6FC-4f65-9D91-7224C49458BB}">
                  <c15:layout>
                    <c:manualLayout>
                      <c:w val="0.34601584745818359"/>
                      <c:h val="0.13462075832157999"/>
                    </c:manualLayout>
                  </c15:layout>
                </c:ext>
              </c:extLst>
            </c:dLbl>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'Mode of travel'!$L$18:$L$22</c:f>
              <c:strCache>
                <c:ptCount val="5"/>
                <c:pt idx="0">
                  <c:v>Private vehicle</c:v>
                </c:pt>
                <c:pt idx="1">
                  <c:v>Walk</c:v>
                </c:pt>
                <c:pt idx="2">
                  <c:v>Other</c:v>
                </c:pt>
                <c:pt idx="3">
                  <c:v>Train</c:v>
                </c:pt>
                <c:pt idx="4">
                  <c:v>Bus</c:v>
                </c:pt>
              </c:strCache>
            </c:strRef>
          </c:cat>
          <c:val>
            <c:numRef>
              <c:f>'Mode of travel'!$M$18:$M$22</c:f>
              <c:numCache>
                <c:formatCode>0%</c:formatCode>
                <c:ptCount val="5"/>
                <c:pt idx="0">
                  <c:v>0.69032423221156325</c:v>
                </c:pt>
                <c:pt idx="1">
                  <c:v>0.17460600083697703</c:v>
                </c:pt>
                <c:pt idx="2">
                  <c:v>1.8882479048052063E-2</c:v>
                </c:pt>
                <c:pt idx="3">
                  <c:v>6.3762155458277486E-2</c:v>
                </c:pt>
                <c:pt idx="4">
                  <c:v>5.2425132445130168E-2</c:v>
                </c:pt>
              </c:numCache>
            </c:numRef>
          </c:val>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spPr>
    <a:noFill/>
    <a:ln w="6350">
      <a:noFill/>
    </a:ln>
  </c:spPr>
  <c:txPr>
    <a:bodyPr/>
    <a:lstStyle/>
    <a:p>
      <a:pPr>
        <a:defRPr sz="1100">
          <a:latin typeface="Raleway" panose="020B00030301010600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noFill/>
            </a:ln>
          </c:spPr>
          <c:dPt>
            <c:idx val="0"/>
            <c:bubble3D val="0"/>
            <c:spPr>
              <a:solidFill>
                <a:schemeClr val="bg1">
                  <a:lumMod val="65000"/>
                </a:schemeClr>
              </a:solidFill>
              <a:ln w="25400">
                <a:noFill/>
              </a:ln>
            </c:spPr>
          </c:dPt>
          <c:dPt>
            <c:idx val="1"/>
            <c:bubble3D val="0"/>
            <c:spPr>
              <a:solidFill>
                <a:schemeClr val="bg1">
                  <a:lumMod val="50000"/>
                </a:schemeClr>
              </a:solidFill>
              <a:ln w="25400">
                <a:noFill/>
              </a:ln>
            </c:spPr>
          </c:dPt>
          <c:dPt>
            <c:idx val="2"/>
            <c:bubble3D val="0"/>
            <c:spPr>
              <a:solidFill>
                <a:schemeClr val="bg1">
                  <a:lumMod val="85000"/>
                </a:schemeClr>
              </a:solidFill>
              <a:ln w="25400">
                <a:noFill/>
              </a:ln>
            </c:spPr>
          </c:dPt>
          <c:dPt>
            <c:idx val="3"/>
            <c:bubble3D val="0"/>
            <c:spPr>
              <a:solidFill>
                <a:schemeClr val="accent6"/>
              </a:solidFill>
              <a:ln w="25400">
                <a:noFill/>
              </a:ln>
            </c:spPr>
          </c:dPt>
          <c:dPt>
            <c:idx val="4"/>
            <c:bubble3D val="0"/>
            <c:spPr>
              <a:solidFill>
                <a:srgbClr val="007BC4"/>
              </a:solidFill>
              <a:ln w="25400">
                <a:noFill/>
              </a:ln>
            </c:spPr>
          </c:dPt>
          <c:dLbls>
            <c:dLbl>
              <c:idx val="0"/>
              <c:layout>
                <c:manualLayout>
                  <c:x val="-5.042717486401227E-3"/>
                  <c:y val="-5.3612485307225266E-3"/>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1"/>
              <c:layout>
                <c:manualLayout>
                  <c:x val="-7.8966868271900803E-3"/>
                  <c:y val="2.5139985016597994E-2"/>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2"/>
              <c:layout>
                <c:manualLayout>
                  <c:x val="-1.1967895317433147E-2"/>
                  <c:y val="4.6432400315168113E-2"/>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7.4593928239675644E-2"/>
                  <c:y val="2.5306668260395338E-2"/>
                </c:manualLayout>
              </c:layout>
              <c:showLegendKey val="0"/>
              <c:showVal val="1"/>
              <c:showCatName val="1"/>
              <c:showSerName val="0"/>
              <c:showPercent val="0"/>
              <c:showBubbleSize val="0"/>
              <c:extLst>
                <c:ext xmlns:c15="http://schemas.microsoft.com/office/drawing/2012/chart" uri="{CE6537A1-D6FC-4f65-9D91-7224C49458BB}">
                  <c15:layout>
                    <c:manualLayout>
                      <c:w val="0.2719404630650496"/>
                      <c:h val="0.19803149606299211"/>
                    </c:manualLayout>
                  </c15:layout>
                </c:ext>
              </c:extLst>
            </c:dLbl>
            <c:dLbl>
              <c:idx val="4"/>
              <c:layout>
                <c:manualLayout>
                  <c:x val="-3.1282137196025619E-3"/>
                  <c:y val="1.2708924510927781E-2"/>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9.5239073376697472E-2"/>
                  <c:y val="1.2495519510714424E-2"/>
                </c:manualLayout>
              </c:layout>
              <c:numFmt formatCode="0.0%" sourceLinked="0"/>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9487922705314009"/>
                      <c:h val="0.15848055709838668"/>
                    </c:manualLayout>
                  </c15:layout>
                </c:ext>
              </c:extLst>
            </c:dLbl>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'Mode of travel'!$B$18:$B$21</c:f>
              <c:strCache>
                <c:ptCount val="4"/>
                <c:pt idx="0">
                  <c:v>Private vehicle</c:v>
                </c:pt>
                <c:pt idx="1">
                  <c:v>Walk</c:v>
                </c:pt>
                <c:pt idx="2">
                  <c:v>Other</c:v>
                </c:pt>
                <c:pt idx="3">
                  <c:v>Public transport</c:v>
                </c:pt>
              </c:strCache>
            </c:strRef>
          </c:cat>
          <c:val>
            <c:numRef>
              <c:f>'Mode of travel'!$C$18:$C$21</c:f>
              <c:numCache>
                <c:formatCode>0%</c:formatCode>
                <c:ptCount val="4"/>
                <c:pt idx="0">
                  <c:v>0.69032423221156325</c:v>
                </c:pt>
                <c:pt idx="1">
                  <c:v>0.17460600083697703</c:v>
                </c:pt>
                <c:pt idx="2">
                  <c:v>1.4315176495966862E-2</c:v>
                </c:pt>
                <c:pt idx="3">
                  <c:v>0.12075459045549286</c:v>
                </c:pt>
              </c:numCache>
            </c:numRef>
          </c:val>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spPr>
    <a:noFill/>
    <a:ln w="6350">
      <a:noFill/>
    </a:ln>
  </c:spPr>
  <c:txPr>
    <a:bodyPr/>
    <a:lstStyle/>
    <a:p>
      <a:pPr>
        <a:defRPr sz="1100">
          <a:latin typeface="Raleway" panose="020B0003030101060003"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162234238792441"/>
          <c:y val="6.2004921259842513E-2"/>
          <c:w val="0.50566596389125862"/>
          <c:h val="0.88848978288633462"/>
        </c:manualLayout>
      </c:layout>
      <c:barChart>
        <c:barDir val="bar"/>
        <c:grouping val="clustered"/>
        <c:varyColors val="0"/>
        <c:ser>
          <c:idx val="0"/>
          <c:order val="0"/>
          <c:spPr>
            <a:solidFill>
              <a:schemeClr val="bg1">
                <a:lumMod val="75000"/>
                <a:alpha val="43000"/>
              </a:schemeClr>
            </a:solidFill>
            <a:ln>
              <a:noFill/>
            </a:ln>
            <a:effectLst/>
          </c:spPr>
          <c:invertIfNegative val="0"/>
          <c:dPt>
            <c:idx val="0"/>
            <c:invertIfNegative val="0"/>
            <c:bubble3D val="0"/>
            <c:spPr>
              <a:solidFill>
                <a:schemeClr val="bg1">
                  <a:lumMod val="75000"/>
                  <a:alpha val="43000"/>
                </a:schemeClr>
              </a:solidFill>
              <a:ln>
                <a:noFill/>
              </a:ln>
              <a:effectLst/>
            </c:spPr>
          </c:dPt>
          <c:dPt>
            <c:idx val="1"/>
            <c:invertIfNegative val="0"/>
            <c:bubble3D val="0"/>
            <c:spPr>
              <a:solidFill>
                <a:schemeClr val="bg1">
                  <a:lumMod val="75000"/>
                  <a:alpha val="43000"/>
                </a:schemeClr>
              </a:solidFill>
              <a:ln>
                <a:noFill/>
              </a:ln>
              <a:effectLst/>
            </c:spPr>
          </c:dPt>
          <c:dPt>
            <c:idx val="2"/>
            <c:invertIfNegative val="0"/>
            <c:bubble3D val="0"/>
            <c:spPr>
              <a:solidFill>
                <a:schemeClr val="accent6"/>
              </a:solidFill>
              <a:ln>
                <a:noFill/>
              </a:ln>
              <a:effectLst/>
            </c:spPr>
          </c:dPt>
          <c:dPt>
            <c:idx val="3"/>
            <c:invertIfNegative val="0"/>
            <c:bubble3D val="0"/>
            <c:spPr>
              <a:solidFill>
                <a:schemeClr val="bg1">
                  <a:lumMod val="75000"/>
                  <a:alpha val="43000"/>
                </a:schemeClr>
              </a:solidFill>
              <a:ln>
                <a:noFill/>
              </a:ln>
              <a:effectLst/>
            </c:spPr>
          </c:dPt>
          <c:dPt>
            <c:idx val="4"/>
            <c:invertIfNegative val="0"/>
            <c:bubble3D val="0"/>
            <c:spPr>
              <a:solidFill>
                <a:schemeClr val="bg1">
                  <a:lumMod val="75000"/>
                  <a:alpha val="43000"/>
                </a:schemeClr>
              </a:solidFill>
              <a:ln>
                <a:noFill/>
              </a:ln>
              <a:effectLst/>
            </c:spPr>
          </c:dPt>
          <c:dPt>
            <c:idx val="5"/>
            <c:invertIfNegative val="0"/>
            <c:bubble3D val="0"/>
            <c:spPr>
              <a:solidFill>
                <a:schemeClr val="bg1">
                  <a:lumMod val="75000"/>
                  <a:alpha val="43000"/>
                </a:schemeClr>
              </a:solidFill>
              <a:ln>
                <a:noFill/>
              </a:ln>
              <a:effectLst/>
            </c:spPr>
          </c:dPt>
          <c:dLbls>
            <c:dLbl>
              <c:idx val="2"/>
              <c:layout>
                <c:manualLayout>
                  <c:x val="-1.896862499516043E-2"/>
                  <c:y val="3.8637164926975717E-3"/>
                </c:manualLayout>
              </c:layout>
              <c:tx>
                <c:rich>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Raleway" panose="020B0003030101060003" pitchFamily="34" charset="0"/>
                        <a:ea typeface="+mn-ea"/>
                        <a:cs typeface="+mn-cs"/>
                      </a:defRPr>
                    </a:pPr>
                    <a:fld id="{BA67EE8E-961C-40E5-8D6E-A0EEA666FFCD}" type="VALUE">
                      <a:rPr lang="en-US" sz="1600" b="1">
                        <a:solidFill>
                          <a:schemeClr val="accent6"/>
                        </a:solidFill>
                      </a:rPr>
                      <a:pPr>
                        <a:defRPr sz="1600">
                          <a:latin typeface="Raleway" panose="020B0003030101060003" pitchFamily="34" charset="0"/>
                        </a:defRPr>
                      </a:pPr>
                      <a:t>[VALUE]</a:t>
                    </a:fld>
                    <a:endParaRPr lang="en-AU"/>
                  </a:p>
                </c:rich>
              </c:tx>
              <c:numFmt formatCode="&quot;$&quot;#,##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0.23015826597063394"/>
                      <c:h val="0.1217667557021042"/>
                    </c:manualLayout>
                  </c15:layout>
                  <c15:dlblFieldTable/>
                  <c15:showDataLabelsRange val="0"/>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'Taxpayer spending'!$M$35:$M$41</c15:sqref>
                  </c15:fullRef>
                </c:ext>
              </c:extLst>
              <c:f>'Taxpayer spending'!$M$35:$M$40</c:f>
              <c:strCache>
                <c:ptCount val="6"/>
                <c:pt idx="0">
                  <c:v>Health</c:v>
                </c:pt>
                <c:pt idx="1">
                  <c:v>Education</c:v>
                </c:pt>
                <c:pt idx="2">
                  <c:v>Public Transport</c:v>
                </c:pt>
                <c:pt idx="3">
                  <c:v>Roads</c:v>
                </c:pt>
                <c:pt idx="4">
                  <c:v>Justice</c:v>
                </c:pt>
                <c:pt idx="5">
                  <c:v>Social protection</c:v>
                </c:pt>
              </c:strCache>
            </c:strRef>
          </c:cat>
          <c:val>
            <c:numRef>
              <c:extLst>
                <c:ext xmlns:c15="http://schemas.microsoft.com/office/drawing/2012/chart" uri="{02D57815-91ED-43cb-92C2-25804820EDAC}">
                  <c15:fullRef>
                    <c15:sqref>'Taxpayer spending'!$N$35:$N$41</c15:sqref>
                  </c15:fullRef>
                </c:ext>
              </c:extLst>
              <c:f>'Taxpayer spending'!$N$35:$N$40</c:f>
              <c:numCache>
                <c:formatCode>_-"$"* #,##0_-;\-"$"* #,##0_-;_-"$"* "-"??_-;_-@_-</c:formatCode>
                <c:ptCount val="6"/>
                <c:pt idx="0">
                  <c:v>9300</c:v>
                </c:pt>
                <c:pt idx="1">
                  <c:v>7400</c:v>
                </c:pt>
                <c:pt idx="2">
                  <c:v>4900</c:v>
                </c:pt>
                <c:pt idx="3">
                  <c:v>4600</c:v>
                </c:pt>
                <c:pt idx="4">
                  <c:v>3500</c:v>
                </c:pt>
                <c:pt idx="5">
                  <c:v>2800</c:v>
                </c:pt>
              </c:numCache>
            </c:numRef>
          </c:val>
          <c:extLst>
            <c:ext xmlns:c15="http://schemas.microsoft.com/office/drawing/2012/chart" uri="{02D57815-91ED-43cb-92C2-25804820EDAC}">
              <c15:categoryFilterExceptions>
                <c15:categoryFilterException>
                  <c15:sqref>'Taxpayer spending'!$N$41</c15:sqref>
                  <c15:spPr xmlns:c15="http://schemas.microsoft.com/office/drawing/2012/chart">
                    <a:solidFill>
                      <a:schemeClr val="bg1">
                        <a:lumMod val="75000"/>
                        <a:alpha val="43000"/>
                      </a:schemeClr>
                    </a:solidFill>
                    <a:ln>
                      <a:noFill/>
                    </a:ln>
                    <a:effectLst/>
                  </c15:spPr>
                  <c15:invertIfNegative val="0"/>
                  <c15:bubble3D val="0"/>
                </c15:categoryFilterException>
              </c15:categoryFilterExceptions>
            </c:ext>
          </c:extLst>
        </c:ser>
        <c:dLbls>
          <c:dLblPos val="outEnd"/>
          <c:showLegendKey val="0"/>
          <c:showVal val="1"/>
          <c:showCatName val="0"/>
          <c:showSerName val="0"/>
          <c:showPercent val="0"/>
          <c:showBubbleSize val="0"/>
        </c:dLbls>
        <c:gapWidth val="60"/>
        <c:axId val="564527336"/>
        <c:axId val="564525768"/>
      </c:barChart>
      <c:catAx>
        <c:axId val="564527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Raleway" panose="020B0003030101060003" pitchFamily="34" charset="0"/>
                <a:ea typeface="+mn-ea"/>
                <a:cs typeface="+mn-cs"/>
              </a:defRPr>
            </a:pPr>
            <a:endParaRPr lang="en-US"/>
          </a:p>
        </c:txPr>
        <c:crossAx val="564525768"/>
        <c:crosses val="autoZero"/>
        <c:auto val="1"/>
        <c:lblAlgn val="ctr"/>
        <c:lblOffset val="100"/>
        <c:noMultiLvlLbl val="0"/>
      </c:catAx>
      <c:valAx>
        <c:axId val="564525768"/>
        <c:scaling>
          <c:orientation val="minMax"/>
        </c:scaling>
        <c:delete val="1"/>
        <c:axPos val="b"/>
        <c:numFmt formatCode="_-&quot;$&quot;* #,##0_-;\-&quot;$&quot;* #,##0_-;_-&quot;$&quot;* &quot;-&quot;??_-;_-@_-" sourceLinked="1"/>
        <c:majorTickMark val="none"/>
        <c:minorTickMark val="none"/>
        <c:tickLblPos val="nextTo"/>
        <c:crossAx val="564527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800">
          <a:latin typeface="Arial" panose="020B0604020202020204" pitchFamily="34" charset="0"/>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35613693926196E-2"/>
          <c:y val="6.2374912515501639E-2"/>
          <c:w val="0.91146063211923334"/>
          <c:h val="0.60707293962537567"/>
        </c:manualLayout>
      </c:layout>
      <c:scatterChart>
        <c:scatterStyle val="lineMarker"/>
        <c:varyColors val="0"/>
        <c:ser>
          <c:idx val="0"/>
          <c:order val="0"/>
          <c:tx>
            <c:v>2009</c:v>
          </c:tx>
          <c:spPr>
            <a:ln w="19050" cap="rnd">
              <a:solidFill>
                <a:schemeClr val="accent4"/>
              </a:solidFill>
              <a:round/>
            </a:ln>
            <a:effectLst/>
          </c:spPr>
          <c:marker>
            <c:symbol val="none"/>
          </c:marker>
          <c:xVal>
            <c:numRef>
              <c:f>'Historical fare comparison'!$E$109:$E$123</c:f>
              <c:numCache>
                <c:formatCode>General</c:formatCode>
                <c:ptCount val="15"/>
                <c:pt idx="0">
                  <c:v>0</c:v>
                </c:pt>
                <c:pt idx="1">
                  <c:v>5</c:v>
                </c:pt>
                <c:pt idx="2">
                  <c:v>10</c:v>
                </c:pt>
                <c:pt idx="3">
                  <c:v>15</c:v>
                </c:pt>
                <c:pt idx="4">
                  <c:v>20</c:v>
                </c:pt>
                <c:pt idx="5">
                  <c:v>25</c:v>
                </c:pt>
                <c:pt idx="6">
                  <c:v>30</c:v>
                </c:pt>
                <c:pt idx="7">
                  <c:v>35</c:v>
                </c:pt>
                <c:pt idx="8">
                  <c:v>45</c:v>
                </c:pt>
                <c:pt idx="9">
                  <c:v>55</c:v>
                </c:pt>
                <c:pt idx="10">
                  <c:v>65</c:v>
                </c:pt>
                <c:pt idx="11">
                  <c:v>75</c:v>
                </c:pt>
                <c:pt idx="12">
                  <c:v>85</c:v>
                </c:pt>
                <c:pt idx="13">
                  <c:v>95</c:v>
                </c:pt>
                <c:pt idx="14">
                  <c:v>105</c:v>
                </c:pt>
              </c:numCache>
            </c:numRef>
          </c:xVal>
          <c:yVal>
            <c:numRef>
              <c:f>'Historical fare comparison'!$F$109:$F$123</c:f>
              <c:numCache>
                <c:formatCode>_("$"* #,##0.00_);_("$"* \(#,##0.00\);_("$"* "-"??_);_(@_)</c:formatCode>
                <c:ptCount val="15"/>
                <c:pt idx="0">
                  <c:v>3.943160127253448</c:v>
                </c:pt>
                <c:pt idx="1">
                  <c:v>4.1896076352067881</c:v>
                </c:pt>
                <c:pt idx="2">
                  <c:v>4.6825026511134693</c:v>
                </c:pt>
                <c:pt idx="3">
                  <c:v>4.9289501590668099</c:v>
                </c:pt>
                <c:pt idx="4">
                  <c:v>5.4218451749734911</c:v>
                </c:pt>
                <c:pt idx="5">
                  <c:v>5.9147401908801713</c:v>
                </c:pt>
                <c:pt idx="6">
                  <c:v>6.1611876988335119</c:v>
                </c:pt>
                <c:pt idx="7">
                  <c:v>6.9005302226935337</c:v>
                </c:pt>
                <c:pt idx="8">
                  <c:v>8.1327677624602366</c:v>
                </c:pt>
                <c:pt idx="9">
                  <c:v>8.8721102863202574</c:v>
                </c:pt>
                <c:pt idx="10">
                  <c:v>10.597242841993641</c:v>
                </c:pt>
                <c:pt idx="11">
                  <c:v>11.829480381760343</c:v>
                </c:pt>
                <c:pt idx="12">
                  <c:v>13.061717921527046</c:v>
                </c:pt>
                <c:pt idx="13">
                  <c:v>13.554612937433728</c:v>
                </c:pt>
                <c:pt idx="14">
                  <c:v>15.033297985153769</c:v>
                </c:pt>
              </c:numCache>
            </c:numRef>
          </c:yVal>
          <c:smooth val="0"/>
        </c:ser>
        <c:ser>
          <c:idx val="1"/>
          <c:order val="1"/>
          <c:tx>
            <c:v>Current 2019</c:v>
          </c:tx>
          <c:spPr>
            <a:ln w="19050" cap="rnd">
              <a:solidFill>
                <a:schemeClr val="tx2"/>
              </a:solidFill>
              <a:round/>
            </a:ln>
            <a:effectLst/>
          </c:spPr>
          <c:marker>
            <c:symbol val="none"/>
          </c:marker>
          <c:xVal>
            <c:numRef>
              <c:f>'Historical fare comparison'!$E$109:$E$123</c:f>
              <c:numCache>
                <c:formatCode>General</c:formatCode>
                <c:ptCount val="15"/>
                <c:pt idx="0">
                  <c:v>0</c:v>
                </c:pt>
                <c:pt idx="1">
                  <c:v>5</c:v>
                </c:pt>
                <c:pt idx="2">
                  <c:v>10</c:v>
                </c:pt>
                <c:pt idx="3">
                  <c:v>15</c:v>
                </c:pt>
                <c:pt idx="4">
                  <c:v>20</c:v>
                </c:pt>
                <c:pt idx="5">
                  <c:v>25</c:v>
                </c:pt>
                <c:pt idx="6">
                  <c:v>30</c:v>
                </c:pt>
                <c:pt idx="7">
                  <c:v>35</c:v>
                </c:pt>
                <c:pt idx="8">
                  <c:v>45</c:v>
                </c:pt>
                <c:pt idx="9">
                  <c:v>55</c:v>
                </c:pt>
                <c:pt idx="10">
                  <c:v>65</c:v>
                </c:pt>
                <c:pt idx="11">
                  <c:v>75</c:v>
                </c:pt>
                <c:pt idx="12">
                  <c:v>85</c:v>
                </c:pt>
                <c:pt idx="13">
                  <c:v>95</c:v>
                </c:pt>
                <c:pt idx="14">
                  <c:v>105</c:v>
                </c:pt>
              </c:numCache>
            </c:numRef>
          </c:xVal>
          <c:yVal>
            <c:numRef>
              <c:f>'Historical fare comparison'!$G$109:$G$123</c:f>
              <c:numCache>
                <c:formatCode>"$"#,##0.00_);[Red]\("$"#,##0.00\)</c:formatCode>
                <c:ptCount val="15"/>
                <c:pt idx="0">
                  <c:v>3.61</c:v>
                </c:pt>
                <c:pt idx="1">
                  <c:v>3.61</c:v>
                </c:pt>
                <c:pt idx="2">
                  <c:v>4.4800000000000004</c:v>
                </c:pt>
                <c:pt idx="3">
                  <c:v>4.4800000000000004</c:v>
                </c:pt>
                <c:pt idx="4">
                  <c:v>5.15</c:v>
                </c:pt>
                <c:pt idx="5">
                  <c:v>5.15</c:v>
                </c:pt>
                <c:pt idx="6">
                  <c:v>5.15</c:v>
                </c:pt>
                <c:pt idx="7">
                  <c:v>6.89</c:v>
                </c:pt>
                <c:pt idx="8">
                  <c:v>6.89</c:v>
                </c:pt>
                <c:pt idx="9">
                  <c:v>6.89</c:v>
                </c:pt>
                <c:pt idx="10">
                  <c:v>8.86</c:v>
                </c:pt>
                <c:pt idx="11">
                  <c:v>8.86</c:v>
                </c:pt>
                <c:pt idx="12">
                  <c:v>8.86</c:v>
                </c:pt>
                <c:pt idx="13">
                  <c:v>8.86</c:v>
                </c:pt>
                <c:pt idx="14">
                  <c:v>8.86</c:v>
                </c:pt>
              </c:numCache>
            </c:numRef>
          </c:yVal>
          <c:smooth val="0"/>
        </c:ser>
        <c:ser>
          <c:idx val="2"/>
          <c:order val="2"/>
          <c:tx>
            <c:v>Determined 2024</c:v>
          </c:tx>
          <c:spPr>
            <a:ln w="31750" cap="rnd">
              <a:solidFill>
                <a:schemeClr val="accent6"/>
              </a:solidFill>
              <a:prstDash val="sysDash"/>
              <a:round/>
            </a:ln>
            <a:effectLst/>
          </c:spPr>
          <c:marker>
            <c:symbol val="none"/>
          </c:marker>
          <c:xVal>
            <c:numRef>
              <c:f>'Historical fare comparison'!$E$109:$E$123</c:f>
              <c:numCache>
                <c:formatCode>General</c:formatCode>
                <c:ptCount val="15"/>
                <c:pt idx="0">
                  <c:v>0</c:v>
                </c:pt>
                <c:pt idx="1">
                  <c:v>5</c:v>
                </c:pt>
                <c:pt idx="2">
                  <c:v>10</c:v>
                </c:pt>
                <c:pt idx="3">
                  <c:v>15</c:v>
                </c:pt>
                <c:pt idx="4">
                  <c:v>20</c:v>
                </c:pt>
                <c:pt idx="5">
                  <c:v>25</c:v>
                </c:pt>
                <c:pt idx="6">
                  <c:v>30</c:v>
                </c:pt>
                <c:pt idx="7">
                  <c:v>35</c:v>
                </c:pt>
                <c:pt idx="8">
                  <c:v>45</c:v>
                </c:pt>
                <c:pt idx="9">
                  <c:v>55</c:v>
                </c:pt>
                <c:pt idx="10">
                  <c:v>65</c:v>
                </c:pt>
                <c:pt idx="11">
                  <c:v>75</c:v>
                </c:pt>
                <c:pt idx="12">
                  <c:v>85</c:v>
                </c:pt>
                <c:pt idx="13">
                  <c:v>95</c:v>
                </c:pt>
                <c:pt idx="14">
                  <c:v>105</c:v>
                </c:pt>
              </c:numCache>
            </c:numRef>
          </c:xVal>
          <c:yVal>
            <c:numRef>
              <c:f>'Historical fare comparison'!$H$109:$H$123</c:f>
              <c:numCache>
                <c:formatCode>"$"#,##0.00</c:formatCode>
                <c:ptCount val="15"/>
                <c:pt idx="0">
                  <c:v>4.0135927387494066</c:v>
                </c:pt>
                <c:pt idx="1">
                  <c:v>4.0135927387494066</c:v>
                </c:pt>
                <c:pt idx="2">
                  <c:v>4.9257729066469986</c:v>
                </c:pt>
                <c:pt idx="3">
                  <c:v>4.9257729066469986</c:v>
                </c:pt>
                <c:pt idx="4">
                  <c:v>5.7467350577548313</c:v>
                </c:pt>
                <c:pt idx="5">
                  <c:v>5.7467350577548313</c:v>
                </c:pt>
                <c:pt idx="6">
                  <c:v>5.7467350577548313</c:v>
                </c:pt>
                <c:pt idx="7">
                  <c:v>7.5710953935500171</c:v>
                </c:pt>
                <c:pt idx="8">
                  <c:v>7.5710953935500171</c:v>
                </c:pt>
                <c:pt idx="9">
                  <c:v>7.5710953935500171</c:v>
                </c:pt>
                <c:pt idx="10">
                  <c:v>9.760327796504237</c:v>
                </c:pt>
                <c:pt idx="11">
                  <c:v>9.760327796504237</c:v>
                </c:pt>
                <c:pt idx="12">
                  <c:v>9.760327796504237</c:v>
                </c:pt>
                <c:pt idx="13">
                  <c:v>9.760327796504237</c:v>
                </c:pt>
                <c:pt idx="14">
                  <c:v>9.760327796504237</c:v>
                </c:pt>
              </c:numCache>
            </c:numRef>
          </c:yVal>
          <c:smooth val="0"/>
        </c:ser>
        <c:dLbls>
          <c:showLegendKey val="0"/>
          <c:showVal val="0"/>
          <c:showCatName val="0"/>
          <c:showSerName val="0"/>
          <c:showPercent val="0"/>
          <c:showBubbleSize val="0"/>
        </c:dLbls>
        <c:axId val="564523416"/>
        <c:axId val="564524200"/>
      </c:scatterChart>
      <c:valAx>
        <c:axId val="564523416"/>
        <c:scaling>
          <c:orientation val="minMax"/>
          <c:max val="120"/>
          <c:min val="0"/>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r>
                  <a:rPr lang="en-AU"/>
                  <a:t>kms</a:t>
                </a:r>
                <a:r>
                  <a:rPr lang="en-AU" baseline="0"/>
                  <a:t> travelled</a:t>
                </a:r>
                <a:endParaRPr lang="en-AU"/>
              </a:p>
            </c:rich>
          </c:tx>
          <c:layout>
            <c:manualLayout>
              <c:xMode val="edge"/>
              <c:yMode val="edge"/>
              <c:x val="0.73389873905621938"/>
              <c:y val="0.7826679357270596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524200"/>
        <c:crosses val="autoZero"/>
        <c:crossBetween val="midCat"/>
      </c:valAx>
      <c:valAx>
        <c:axId val="56452420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523416"/>
        <c:crosses val="autoZero"/>
        <c:crossBetween val="midCat"/>
        <c:majorUnit val="5"/>
      </c:valAx>
      <c:spPr>
        <a:noFill/>
        <a:ln>
          <a:noFill/>
        </a:ln>
        <a:effectLst/>
      </c:spPr>
    </c:plotArea>
    <c:legend>
      <c:legendPos val="b"/>
      <c:layout>
        <c:manualLayout>
          <c:xMode val="edge"/>
          <c:yMode val="edge"/>
          <c:x val="3.1469306768964052E-4"/>
          <c:y val="0.78046445088674088"/>
          <c:w val="0.69223035890771245"/>
          <c:h val="0.2051745647493226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50">
          <a:latin typeface="Raleway" panose="020B05030301010600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AU"/>
              <a:t>Average number of passengers during busiest services</a:t>
            </a:r>
          </a:p>
        </c:rich>
      </c:tx>
      <c:layout>
        <c:manualLayout>
          <c:xMode val="edge"/>
          <c:yMode val="edge"/>
          <c:x val="0.3025081892613859"/>
          <c:y val="0.91900349536185755"/>
        </c:manualLayout>
      </c:layout>
      <c:overlay val="0"/>
    </c:title>
    <c:autoTitleDeleted val="0"/>
    <c:plotArea>
      <c:layout>
        <c:manualLayout>
          <c:layoutTarget val="inner"/>
          <c:xMode val="edge"/>
          <c:yMode val="edge"/>
          <c:x val="0.1347248576850095"/>
          <c:y val="4.5627376425855515E-2"/>
          <c:w val="0.84060721062618593"/>
          <c:h val="0.75923712807456434"/>
        </c:manualLayout>
      </c:layout>
      <c:barChart>
        <c:barDir val="bar"/>
        <c:grouping val="clustered"/>
        <c:varyColors val="0"/>
        <c:ser>
          <c:idx val="2"/>
          <c:order val="0"/>
          <c:tx>
            <c:strRef>
              <c:f>'Ferry patronage by day'!$K$19</c:f>
              <c:strCache>
                <c:ptCount val="1"/>
                <c:pt idx="0">
                  <c:v>Weekday</c:v>
                </c:pt>
              </c:strCache>
            </c:strRef>
          </c:tx>
          <c:spPr>
            <a:solidFill>
              <a:schemeClr val="bg2">
                <a:lumMod val="60000"/>
                <a:lumOff val="40000"/>
              </a:schemeClr>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cat>
            <c:strRef>
              <c:f>'Ferry patronage by day'!$J$20:$J$23</c:f>
              <c:strCache>
                <c:ptCount val="4"/>
                <c:pt idx="0">
                  <c:v>F1 Manly</c:v>
                </c:pt>
                <c:pt idx="1">
                  <c:v>F2 Taronga Zoo</c:v>
                </c:pt>
                <c:pt idx="2">
                  <c:v>F4 Cross Harbour</c:v>
                </c:pt>
                <c:pt idx="3">
                  <c:v>F3 Parramatta</c:v>
                </c:pt>
              </c:strCache>
            </c:strRef>
          </c:cat>
          <c:val>
            <c:numRef>
              <c:f>'Ferry patronage by day'!$K$20:$K$23</c:f>
              <c:numCache>
                <c:formatCode>0</c:formatCode>
                <c:ptCount val="4"/>
                <c:pt idx="0">
                  <c:v>646.33333333333337</c:v>
                </c:pt>
                <c:pt idx="1">
                  <c:v>165</c:v>
                </c:pt>
                <c:pt idx="2">
                  <c:v>173.33333333333334</c:v>
                </c:pt>
                <c:pt idx="3">
                  <c:v>172.66666666666666</c:v>
                </c:pt>
              </c:numCache>
            </c:numRef>
          </c:val>
          <c:extLst xmlns:c16r2="http://schemas.microsoft.com/office/drawing/2015/06/chart">
            <c:ext xmlns:c16="http://schemas.microsoft.com/office/drawing/2014/chart" uri="{C3380CC4-5D6E-409C-BE32-E72D297353CC}">
              <c16:uniqueId val="{00000000-9583-46B9-8B31-6628B55C59A2}"/>
            </c:ext>
          </c:extLst>
        </c:ser>
        <c:ser>
          <c:idx val="0"/>
          <c:order val="1"/>
          <c:tx>
            <c:strRef>
              <c:f>'Ferry patronage by day'!$L$19</c:f>
              <c:strCache>
                <c:ptCount val="1"/>
                <c:pt idx="0">
                  <c:v>Sunday</c:v>
                </c:pt>
              </c:strCache>
            </c:strRef>
          </c:tx>
          <c:spPr>
            <a:solidFill>
              <a:schemeClr val="accent3"/>
            </a:solidFill>
          </c:spPr>
          <c:invertIfNegative val="0"/>
          <c:cat>
            <c:strRef>
              <c:f>'Ferry patronage by day'!$J$20:$J$23</c:f>
              <c:strCache>
                <c:ptCount val="4"/>
                <c:pt idx="0">
                  <c:v>F1 Manly</c:v>
                </c:pt>
                <c:pt idx="1">
                  <c:v>F2 Taronga Zoo</c:v>
                </c:pt>
                <c:pt idx="2">
                  <c:v>F4 Cross Harbour</c:v>
                </c:pt>
                <c:pt idx="3">
                  <c:v>F3 Parramatta</c:v>
                </c:pt>
              </c:strCache>
            </c:strRef>
          </c:cat>
          <c:val>
            <c:numRef>
              <c:f>'Ferry patronage by day'!$L$20:$L$23</c:f>
              <c:numCache>
                <c:formatCode>0</c:formatCode>
                <c:ptCount val="4"/>
                <c:pt idx="0">
                  <c:v>1146.3333333333333</c:v>
                </c:pt>
                <c:pt idx="1">
                  <c:v>274.33333333333331</c:v>
                </c:pt>
                <c:pt idx="2">
                  <c:v>375.33333333333331</c:v>
                </c:pt>
                <c:pt idx="3">
                  <c:v>257.33333333333331</c:v>
                </c:pt>
              </c:numCache>
            </c:numRef>
          </c:val>
        </c:ser>
        <c:dLbls>
          <c:showLegendKey val="0"/>
          <c:showVal val="0"/>
          <c:showCatName val="0"/>
          <c:showSerName val="0"/>
          <c:showPercent val="0"/>
          <c:showBubbleSize val="0"/>
        </c:dLbls>
        <c:gapWidth val="150"/>
        <c:axId val="564770696"/>
        <c:axId val="564768344"/>
      </c:barChart>
      <c:catAx>
        <c:axId val="564770696"/>
        <c:scaling>
          <c:orientation val="maxMin"/>
        </c:scaling>
        <c:delete val="0"/>
        <c:axPos val="l"/>
        <c:numFmt formatCode="0" sourceLinked="0"/>
        <c:majorTickMark val="none"/>
        <c:minorTickMark val="none"/>
        <c:tickLblPos val="nextTo"/>
        <c:spPr>
          <a:ln w="3175">
            <a:solidFill>
              <a:srgbClr val="000000"/>
            </a:solidFill>
            <a:prstDash val="solid"/>
          </a:ln>
        </c:spPr>
        <c:txPr>
          <a:bodyPr rot="0" vert="horz"/>
          <a:lstStyle/>
          <a:p>
            <a:pPr>
              <a:defRPr sz="1000"/>
            </a:pPr>
            <a:endParaRPr lang="en-US"/>
          </a:p>
        </c:txPr>
        <c:crossAx val="564768344"/>
        <c:crosses val="autoZero"/>
        <c:auto val="1"/>
        <c:lblAlgn val="ctr"/>
        <c:lblOffset val="100"/>
        <c:tickLblSkip val="1"/>
        <c:tickMarkSkip val="1"/>
        <c:noMultiLvlLbl val="0"/>
      </c:catAx>
      <c:valAx>
        <c:axId val="564768344"/>
        <c:scaling>
          <c:orientation val="minMax"/>
        </c:scaling>
        <c:delete val="0"/>
        <c:axPos val="b"/>
        <c:majorGridlines>
          <c:spPr>
            <a:ln w="3175">
              <a:solidFill>
                <a:srgbClr val="BFBFBF"/>
              </a:solidFill>
              <a:prstDash val="solid"/>
            </a:ln>
          </c:spPr>
        </c:majorGridlines>
        <c:numFmt formatCode="0" sourceLinked="0"/>
        <c:majorTickMark val="none"/>
        <c:minorTickMark val="none"/>
        <c:tickLblPos val="nextTo"/>
        <c:spPr>
          <a:ln w="9525">
            <a:noFill/>
          </a:ln>
        </c:spPr>
        <c:txPr>
          <a:bodyPr rot="0" vert="horz"/>
          <a:lstStyle/>
          <a:p>
            <a:pPr>
              <a:defRPr/>
            </a:pPr>
            <a:endParaRPr lang="en-US"/>
          </a:p>
        </c:txPr>
        <c:crossAx val="564770696"/>
        <c:crosses val="max"/>
        <c:crossBetween val="between"/>
        <c:majorUnit val="500"/>
      </c:valAx>
      <c:spPr>
        <a:noFill/>
        <a:ln w="25400">
          <a:noFill/>
        </a:ln>
      </c:spPr>
    </c:plotArea>
    <c:legend>
      <c:legendPos val="r"/>
      <c:layout>
        <c:manualLayout>
          <c:xMode val="edge"/>
          <c:yMode val="edge"/>
          <c:x val="0.75112912575639534"/>
          <c:y val="0.45625318767215628"/>
          <c:w val="0.2006483096766474"/>
          <c:h val="0.32735962292168158"/>
        </c:manualLayout>
      </c:layout>
      <c:overlay val="0"/>
      <c:txPr>
        <a:bodyPr/>
        <a:lstStyle/>
        <a:p>
          <a:pPr>
            <a:defRPr sz="1000"/>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95907172386394"/>
          <c:y val="3.889914040417794E-2"/>
          <c:w val="0.65734693892046636"/>
          <c:h val="0.71879304956057644"/>
        </c:manualLayout>
      </c:layout>
      <c:lineChart>
        <c:grouping val="standard"/>
        <c:varyColors val="0"/>
        <c:ser>
          <c:idx val="0"/>
          <c:order val="0"/>
          <c:tx>
            <c:v>Trains</c:v>
          </c:tx>
          <c:spPr>
            <a:ln w="28575" cap="rnd">
              <a:solidFill>
                <a:srgbClr val="F68B1F"/>
              </a:solidFill>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day'!$Q$18:$Q$41</c:f>
              <c:numCache>
                <c:formatCode>0%</c:formatCode>
                <c:ptCount val="24"/>
                <c:pt idx="0">
                  <c:v>5.8149903787487684E-3</c:v>
                </c:pt>
                <c:pt idx="1">
                  <c:v>1.1545501478387385E-3</c:v>
                </c:pt>
                <c:pt idx="2">
                  <c:v>0</c:v>
                </c:pt>
                <c:pt idx="3">
                  <c:v>3.7546346271178488E-5</c:v>
                </c:pt>
                <c:pt idx="4">
                  <c:v>1.2859623597878631E-2</c:v>
                </c:pt>
                <c:pt idx="5">
                  <c:v>9.906603463650443E-2</c:v>
                </c:pt>
                <c:pt idx="6">
                  <c:v>0.24532313324259633</c:v>
                </c:pt>
                <c:pt idx="7">
                  <c:v>0.54227249260806309</c:v>
                </c:pt>
                <c:pt idx="8">
                  <c:v>1</c:v>
                </c:pt>
                <c:pt idx="9">
                  <c:v>0.44879147697939642</c:v>
                </c:pt>
                <c:pt idx="10">
                  <c:v>0.23091941615431549</c:v>
                </c:pt>
                <c:pt idx="11">
                  <c:v>0.17562772797672127</c:v>
                </c:pt>
                <c:pt idx="12">
                  <c:v>0.14793260430844324</c:v>
                </c:pt>
                <c:pt idx="13">
                  <c:v>0.16645703289998592</c:v>
                </c:pt>
                <c:pt idx="14">
                  <c:v>0.1712019524100061</c:v>
                </c:pt>
                <c:pt idx="15">
                  <c:v>0.27455296381470878</c:v>
                </c:pt>
                <c:pt idx="16">
                  <c:v>0.41159712770451024</c:v>
                </c:pt>
                <c:pt idx="17">
                  <c:v>0.66776176843290935</c:v>
                </c:pt>
                <c:pt idx="18">
                  <c:v>0.47124888534284509</c:v>
                </c:pt>
                <c:pt idx="19">
                  <c:v>0.22926737691838364</c:v>
                </c:pt>
                <c:pt idx="20">
                  <c:v>0.14253531703196132</c:v>
                </c:pt>
                <c:pt idx="21">
                  <c:v>0.11230581499037876</c:v>
                </c:pt>
                <c:pt idx="22">
                  <c:v>7.7612991035809833E-2</c:v>
                </c:pt>
                <c:pt idx="23">
                  <c:v>3.012155629605294E-2</c:v>
                </c:pt>
              </c:numCache>
            </c:numRef>
          </c:val>
          <c:smooth val="1"/>
        </c:ser>
        <c:ser>
          <c:idx val="3"/>
          <c:order val="1"/>
          <c:tx>
            <c:v>Buses</c:v>
          </c:tx>
          <c:spPr>
            <a:ln w="28575" cap="rnd">
              <a:solidFill>
                <a:srgbClr val="00B0F0"/>
              </a:solidFill>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day'!$T$18:$T$41</c:f>
              <c:numCache>
                <c:formatCode>0%</c:formatCode>
                <c:ptCount val="24"/>
                <c:pt idx="0">
                  <c:v>5.3247406188582655E-3</c:v>
                </c:pt>
                <c:pt idx="1">
                  <c:v>0</c:v>
                </c:pt>
                <c:pt idx="2">
                  <c:v>0</c:v>
                </c:pt>
                <c:pt idx="3">
                  <c:v>9.1411856117738465E-5</c:v>
                </c:pt>
                <c:pt idx="4">
                  <c:v>7.2215366333013391E-3</c:v>
                </c:pt>
                <c:pt idx="5">
                  <c:v>7.3449426390602868E-2</c:v>
                </c:pt>
                <c:pt idx="6">
                  <c:v>0.27894327894327892</c:v>
                </c:pt>
                <c:pt idx="7">
                  <c:v>0.66721513780337305</c:v>
                </c:pt>
                <c:pt idx="8">
                  <c:v>1</c:v>
                </c:pt>
                <c:pt idx="9">
                  <c:v>0.57203254262077796</c:v>
                </c:pt>
                <c:pt idx="10">
                  <c:v>0.38287855934914761</c:v>
                </c:pt>
                <c:pt idx="11">
                  <c:v>0.35751176927647516</c:v>
                </c:pt>
                <c:pt idx="12">
                  <c:v>0.36599021893139538</c:v>
                </c:pt>
                <c:pt idx="13">
                  <c:v>0.38518670871612049</c:v>
                </c:pt>
                <c:pt idx="14">
                  <c:v>0.43178390237213765</c:v>
                </c:pt>
                <c:pt idx="15">
                  <c:v>0.5819278760455231</c:v>
                </c:pt>
                <c:pt idx="16">
                  <c:v>0.65448603683897799</c:v>
                </c:pt>
                <c:pt idx="17">
                  <c:v>0.82078705608117375</c:v>
                </c:pt>
                <c:pt idx="18">
                  <c:v>0.73442570501394033</c:v>
                </c:pt>
                <c:pt idx="19">
                  <c:v>0.39380227615521735</c:v>
                </c:pt>
                <c:pt idx="20">
                  <c:v>0.25188536953242835</c:v>
                </c:pt>
                <c:pt idx="21">
                  <c:v>0.21682892271127566</c:v>
                </c:pt>
                <c:pt idx="22">
                  <c:v>0.14657891128479364</c:v>
                </c:pt>
                <c:pt idx="23">
                  <c:v>6.142876731112025E-2</c:v>
                </c:pt>
              </c:numCache>
            </c:numRef>
          </c:val>
          <c:smooth val="1"/>
        </c:ser>
        <c:ser>
          <c:idx val="6"/>
          <c:order val="2"/>
          <c:tx>
            <c:v>Light rail</c:v>
          </c:tx>
          <c:spPr>
            <a:ln w="28575" cap="rnd">
              <a:solidFill>
                <a:srgbClr val="D12026"/>
              </a:solidFill>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day'!$W$18:$W$41</c:f>
              <c:numCache>
                <c:formatCode>0%</c:formatCode>
                <c:ptCount val="24"/>
                <c:pt idx="0">
                  <c:v>0</c:v>
                </c:pt>
                <c:pt idx="1">
                  <c:v>0</c:v>
                </c:pt>
                <c:pt idx="2">
                  <c:v>0</c:v>
                </c:pt>
                <c:pt idx="3">
                  <c:v>0</c:v>
                </c:pt>
                <c:pt idx="4">
                  <c:v>0</c:v>
                </c:pt>
                <c:pt idx="5">
                  <c:v>2.3255813953488372E-3</c:v>
                </c:pt>
                <c:pt idx="6">
                  <c:v>0.26511627906976742</c:v>
                </c:pt>
                <c:pt idx="7">
                  <c:v>0.48643410852713176</c:v>
                </c:pt>
                <c:pt idx="8">
                  <c:v>1</c:v>
                </c:pt>
                <c:pt idx="9">
                  <c:v>0.51472868217054268</c:v>
                </c:pt>
                <c:pt idx="10">
                  <c:v>0.34728682170542635</c:v>
                </c:pt>
                <c:pt idx="11">
                  <c:v>0.33100775193798448</c:v>
                </c:pt>
                <c:pt idx="12">
                  <c:v>0.30116279069767443</c:v>
                </c:pt>
                <c:pt idx="13">
                  <c:v>0.34302325581395349</c:v>
                </c:pt>
                <c:pt idx="14">
                  <c:v>0.39147286821705424</c:v>
                </c:pt>
                <c:pt idx="15">
                  <c:v>0.53837209302325584</c:v>
                </c:pt>
                <c:pt idx="16">
                  <c:v>0.58294573643410852</c:v>
                </c:pt>
                <c:pt idx="17">
                  <c:v>0.88062015503875968</c:v>
                </c:pt>
                <c:pt idx="18">
                  <c:v>0.47635658914728685</c:v>
                </c:pt>
                <c:pt idx="19">
                  <c:v>0.39496124031007751</c:v>
                </c:pt>
                <c:pt idx="20">
                  <c:v>5.6201550387596902E-2</c:v>
                </c:pt>
                <c:pt idx="21">
                  <c:v>4.7286821705426356E-2</c:v>
                </c:pt>
                <c:pt idx="22">
                  <c:v>8.0620155038759689E-2</c:v>
                </c:pt>
                <c:pt idx="23">
                  <c:v>1.2403100775193798E-2</c:v>
                </c:pt>
              </c:numCache>
            </c:numRef>
          </c:val>
          <c:smooth val="1"/>
        </c:ser>
        <c:dLbls>
          <c:showLegendKey val="0"/>
          <c:showVal val="0"/>
          <c:showCatName val="0"/>
          <c:showSerName val="0"/>
          <c:showPercent val="0"/>
          <c:showBubbleSize val="0"/>
        </c:dLbls>
        <c:smooth val="0"/>
        <c:axId val="564773440"/>
        <c:axId val="564767952"/>
      </c:lineChart>
      <c:catAx>
        <c:axId val="56477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67952"/>
        <c:crosses val="autoZero"/>
        <c:auto val="1"/>
        <c:lblAlgn val="ctr"/>
        <c:lblOffset val="100"/>
        <c:tickLblSkip val="3"/>
        <c:noMultiLvlLbl val="0"/>
      </c:catAx>
      <c:valAx>
        <c:axId val="564767952"/>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mn-cs"/>
                  </a:defRPr>
                </a:pPr>
                <a:r>
                  <a:rPr lang="en-AU"/>
                  <a:t>Proportion</a:t>
                </a:r>
                <a:r>
                  <a:rPr lang="en-AU" baseline="0"/>
                  <a:t> </a:t>
                </a:r>
              </a:p>
              <a:p>
                <a:pPr>
                  <a:defRPr/>
                </a:pPr>
                <a:r>
                  <a:rPr lang="en-AU" baseline="0"/>
                  <a:t>of maximum</a:t>
                </a:r>
              </a:p>
              <a:p>
                <a:pPr>
                  <a:defRPr/>
                </a:pPr>
                <a:r>
                  <a:rPr lang="en-AU" baseline="0"/>
                  <a:t>demand</a:t>
                </a:r>
                <a:endParaRPr lang="en-AU"/>
              </a:p>
            </c:rich>
          </c:tx>
          <c:layout>
            <c:manualLayout>
              <c:xMode val="edge"/>
              <c:yMode val="edge"/>
              <c:x val="5.7411669139089197E-4"/>
              <c:y val="0.10431735906858139"/>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7344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0"/>
          <c:tx>
            <c:strRef>
              <c:f>'Peak and off peak journeys'!$C$16</c:f>
              <c:strCache>
                <c:ptCount val="1"/>
                <c:pt idx="0">
                  <c:v>Off-peak</c:v>
                </c:pt>
              </c:strCache>
            </c:strRef>
          </c:tx>
          <c:spPr>
            <a:solidFill>
              <a:srgbClr val="00B0F0"/>
            </a:solidFill>
            <a:ln>
              <a:noFill/>
            </a:ln>
            <a:effectLst/>
          </c:spPr>
          <c:invertIfNegative val="0"/>
          <c:cat>
            <c:strRef>
              <c:f>'Peak and off peak journeys'!$B$17:$B$20</c:f>
              <c:strCache>
                <c:ptCount val="4"/>
                <c:pt idx="0">
                  <c:v>Train</c:v>
                </c:pt>
                <c:pt idx="1">
                  <c:v>Bus</c:v>
                </c:pt>
                <c:pt idx="2">
                  <c:v>Light rail</c:v>
                </c:pt>
                <c:pt idx="3">
                  <c:v>Ferry</c:v>
                </c:pt>
              </c:strCache>
            </c:strRef>
          </c:cat>
          <c:val>
            <c:numRef>
              <c:f>'Peak and off peak journeys'!$C$17:$C$20</c:f>
              <c:numCache>
                <c:formatCode>0%</c:formatCode>
                <c:ptCount val="4"/>
                <c:pt idx="0">
                  <c:v>0.59034672614503581</c:v>
                </c:pt>
                <c:pt idx="1">
                  <c:v>0.59391868504201328</c:v>
                </c:pt>
                <c:pt idx="2">
                  <c:v>0.63818208189081649</c:v>
                </c:pt>
                <c:pt idx="3">
                  <c:v>0.99481639834276092</c:v>
                </c:pt>
              </c:numCache>
            </c:numRef>
          </c:val>
        </c:ser>
        <c:ser>
          <c:idx val="0"/>
          <c:order val="1"/>
          <c:tx>
            <c:strRef>
              <c:f>'Peak and off peak journeys'!$D$16</c:f>
              <c:strCache>
                <c:ptCount val="1"/>
                <c:pt idx="0">
                  <c:v>Peak</c:v>
                </c:pt>
              </c:strCache>
            </c:strRef>
          </c:tx>
          <c:spPr>
            <a:solidFill>
              <a:srgbClr val="002060"/>
            </a:solidFill>
            <a:ln>
              <a:noFill/>
            </a:ln>
            <a:effectLst/>
          </c:spPr>
          <c:invertIfNegative val="0"/>
          <c:cat>
            <c:strRef>
              <c:f>'Peak and off peak journeys'!$B$17:$B$20</c:f>
              <c:strCache>
                <c:ptCount val="4"/>
                <c:pt idx="0">
                  <c:v>Train</c:v>
                </c:pt>
                <c:pt idx="1">
                  <c:v>Bus</c:v>
                </c:pt>
                <c:pt idx="2">
                  <c:v>Light rail</c:v>
                </c:pt>
                <c:pt idx="3">
                  <c:v>Ferry</c:v>
                </c:pt>
              </c:strCache>
            </c:strRef>
          </c:cat>
          <c:val>
            <c:numRef>
              <c:f>'Peak and off peak journeys'!$D$17:$D$20</c:f>
              <c:numCache>
                <c:formatCode>0%</c:formatCode>
                <c:ptCount val="4"/>
                <c:pt idx="0">
                  <c:v>0.40965327385496419</c:v>
                </c:pt>
                <c:pt idx="1">
                  <c:v>0.40608131495798672</c:v>
                </c:pt>
                <c:pt idx="2">
                  <c:v>0.36181791810918357</c:v>
                </c:pt>
                <c:pt idx="3">
                  <c:v>0.40288314194366143</c:v>
                </c:pt>
              </c:numCache>
            </c:numRef>
          </c:val>
        </c:ser>
        <c:dLbls>
          <c:showLegendKey val="0"/>
          <c:showVal val="0"/>
          <c:showCatName val="0"/>
          <c:showSerName val="0"/>
          <c:showPercent val="0"/>
          <c:showBubbleSize val="0"/>
        </c:dLbls>
        <c:gapWidth val="156"/>
        <c:overlap val="100"/>
        <c:axId val="564773832"/>
        <c:axId val="564766384"/>
      </c:barChart>
      <c:catAx>
        <c:axId val="564773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66384"/>
        <c:crosses val="autoZero"/>
        <c:auto val="1"/>
        <c:lblAlgn val="ctr"/>
        <c:lblOffset val="100"/>
        <c:noMultiLvlLbl val="0"/>
      </c:catAx>
      <c:valAx>
        <c:axId val="564766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73832"/>
        <c:crosses val="autoZero"/>
        <c:crossBetween val="between"/>
        <c:majorUnit val="0.2"/>
      </c:valAx>
      <c:spPr>
        <a:noFill/>
        <a:ln>
          <a:noFill/>
        </a:ln>
        <a:effectLst/>
      </c:spPr>
    </c:plotArea>
    <c:legend>
      <c:legendPos val="b"/>
      <c:layout>
        <c:manualLayout>
          <c:xMode val="edge"/>
          <c:yMode val="edge"/>
          <c:x val="0.3413967146692215"/>
          <c:y val="0.91841426071741028"/>
          <c:w val="0.4861932883389577"/>
          <c:h val="7.08147419072615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00">
          <a:latin typeface="Raleway" panose="020B0503030101060003"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04362558238029E-2"/>
          <c:y val="5.1606515123912851E-2"/>
          <c:w val="0.89428741991749128"/>
          <c:h val="0.62283464566929136"/>
        </c:manualLayout>
      </c:layout>
      <c:scatterChart>
        <c:scatterStyle val="lineMarker"/>
        <c:varyColors val="0"/>
        <c:ser>
          <c:idx val="0"/>
          <c:order val="0"/>
          <c:tx>
            <c:strRef>
              <c:f>'Relativities between fares'!$C$19</c:f>
              <c:strCache>
                <c:ptCount val="1"/>
                <c:pt idx="0">
                  <c:v>Bus</c:v>
                </c:pt>
              </c:strCache>
            </c:strRef>
          </c:tx>
          <c:spPr>
            <a:ln w="31750" cap="rnd">
              <a:solidFill>
                <a:schemeClr val="accent2"/>
              </a:solidFill>
              <a:round/>
            </a:ln>
            <a:effectLst/>
          </c:spPr>
          <c:marker>
            <c:symbol val="none"/>
          </c:marker>
          <c:dPt>
            <c:idx val="1"/>
            <c:marker>
              <c:symbol val="none"/>
            </c:marker>
            <c:bubble3D val="0"/>
            <c:spPr>
              <a:ln w="31750" cap="rnd">
                <a:solidFill>
                  <a:schemeClr val="accent2"/>
                </a:solidFill>
                <a:round/>
              </a:ln>
              <a:effectLst/>
            </c:spPr>
          </c:dPt>
          <c:dPt>
            <c:idx val="2"/>
            <c:marker>
              <c:symbol val="none"/>
            </c:marker>
            <c:bubble3D val="0"/>
            <c:spPr>
              <a:ln w="31750" cap="rnd">
                <a:solidFill>
                  <a:schemeClr val="accent2"/>
                </a:solidFill>
                <a:round/>
              </a:ln>
              <a:effectLst/>
            </c:spPr>
          </c:dPt>
          <c:dPt>
            <c:idx val="3"/>
            <c:marker>
              <c:symbol val="none"/>
            </c:marker>
            <c:bubble3D val="0"/>
            <c:spPr>
              <a:ln w="31750" cap="rnd">
                <a:solidFill>
                  <a:schemeClr val="accent2"/>
                </a:solidFill>
                <a:prstDash val="sysDash"/>
                <a:round/>
              </a:ln>
              <a:effectLst/>
            </c:spPr>
          </c:dPt>
          <c:dPt>
            <c:idx val="4"/>
            <c:marker>
              <c:symbol val="none"/>
            </c:marker>
            <c:bubble3D val="0"/>
            <c:spPr>
              <a:ln w="31750" cap="rnd">
                <a:solidFill>
                  <a:schemeClr val="accent2"/>
                </a:solidFill>
                <a:prstDash val="sysDash"/>
                <a:round/>
              </a:ln>
              <a:effectLst/>
            </c:spPr>
          </c:dPt>
          <c:dPt>
            <c:idx val="5"/>
            <c:marker>
              <c:symbol val="none"/>
            </c:marker>
            <c:bubble3D val="0"/>
            <c:spPr>
              <a:ln w="31750" cap="rnd">
                <a:solidFill>
                  <a:schemeClr val="accent2"/>
                </a:solidFill>
                <a:prstDash val="sysDash"/>
                <a:round/>
              </a:ln>
              <a:effectLst/>
            </c:spPr>
          </c:dPt>
          <c:dPt>
            <c:idx val="7"/>
            <c:marker>
              <c:symbol val="none"/>
            </c:marker>
            <c:bubble3D val="0"/>
            <c:spPr>
              <a:ln w="31750" cap="rnd">
                <a:solidFill>
                  <a:schemeClr val="accent2"/>
                </a:solidFill>
                <a:prstDash val="sysDash"/>
                <a:round/>
              </a:ln>
              <a:effectLst/>
            </c:spPr>
          </c:dPt>
          <c:dPt>
            <c:idx val="9"/>
            <c:marker>
              <c:symbol val="none"/>
            </c:marker>
            <c:bubble3D val="0"/>
            <c:spPr>
              <a:ln w="31750" cap="rnd">
                <a:solidFill>
                  <a:schemeClr val="accent2"/>
                </a:solidFill>
                <a:round/>
              </a:ln>
              <a:effectLst/>
            </c:spPr>
          </c:dPt>
          <c:dPt>
            <c:idx val="11"/>
            <c:marker>
              <c:symbol val="none"/>
            </c:marker>
            <c:bubble3D val="0"/>
            <c:spPr>
              <a:ln w="31750" cap="rnd">
                <a:solidFill>
                  <a:schemeClr val="accent2"/>
                </a:solidFill>
                <a:round/>
              </a:ln>
              <a:effectLst/>
            </c:spPr>
          </c:dPt>
          <c:xVal>
            <c:numRef>
              <c:f>'Relativities between fares'!$B$21:$B$32</c:f>
              <c:numCache>
                <c:formatCode>General</c:formatCode>
                <c:ptCount val="12"/>
                <c:pt idx="0">
                  <c:v>0</c:v>
                </c:pt>
                <c:pt idx="1">
                  <c:v>3</c:v>
                </c:pt>
                <c:pt idx="2">
                  <c:v>3</c:v>
                </c:pt>
                <c:pt idx="3">
                  <c:v>8</c:v>
                </c:pt>
                <c:pt idx="4">
                  <c:v>8</c:v>
                </c:pt>
                <c:pt idx="5">
                  <c:v>10</c:v>
                </c:pt>
                <c:pt idx="6">
                  <c:v>10</c:v>
                </c:pt>
                <c:pt idx="7">
                  <c:v>20</c:v>
                </c:pt>
                <c:pt idx="8">
                  <c:v>20</c:v>
                </c:pt>
                <c:pt idx="9">
                  <c:v>35</c:v>
                </c:pt>
                <c:pt idx="10">
                  <c:v>35</c:v>
                </c:pt>
                <c:pt idx="11">
                  <c:v>40</c:v>
                </c:pt>
              </c:numCache>
            </c:numRef>
          </c:xVal>
          <c:yVal>
            <c:numRef>
              <c:f>'Relativities between fares'!$C$21:$C$32</c:f>
              <c:numCache>
                <c:formatCode>"$"#,##0.00</c:formatCode>
                <c:ptCount val="12"/>
                <c:pt idx="0">
                  <c:v>2.2400000000000002</c:v>
                </c:pt>
                <c:pt idx="1">
                  <c:v>2.2400000000000002</c:v>
                </c:pt>
                <c:pt idx="2">
                  <c:v>3.73</c:v>
                </c:pt>
                <c:pt idx="3">
                  <c:v>3.73</c:v>
                </c:pt>
                <c:pt idx="4">
                  <c:v>4.8</c:v>
                </c:pt>
                <c:pt idx="5">
                  <c:v>4.8</c:v>
                </c:pt>
                <c:pt idx="6">
                  <c:v>4.8</c:v>
                </c:pt>
                <c:pt idx="7">
                  <c:v>4.8</c:v>
                </c:pt>
                <c:pt idx="8">
                  <c:v>4.8</c:v>
                </c:pt>
                <c:pt idx="9">
                  <c:v>4.8</c:v>
                </c:pt>
                <c:pt idx="10">
                  <c:v>4.8</c:v>
                </c:pt>
                <c:pt idx="11">
                  <c:v>4.8</c:v>
                </c:pt>
              </c:numCache>
            </c:numRef>
          </c:yVal>
          <c:smooth val="0"/>
        </c:ser>
        <c:ser>
          <c:idx val="1"/>
          <c:order val="1"/>
          <c:tx>
            <c:strRef>
              <c:f>'Relativities between fares'!$D$19</c:f>
              <c:strCache>
                <c:ptCount val="1"/>
                <c:pt idx="0">
                  <c:v>Rail</c:v>
                </c:pt>
              </c:strCache>
            </c:strRef>
          </c:tx>
          <c:spPr>
            <a:ln w="31750" cap="rnd">
              <a:solidFill>
                <a:schemeClr val="accent4"/>
              </a:solidFill>
              <a:round/>
            </a:ln>
            <a:effectLst/>
          </c:spPr>
          <c:marker>
            <c:symbol val="none"/>
          </c:marker>
          <c:xVal>
            <c:numRef>
              <c:f>'Relativities between fares'!$B$21:$B$32</c:f>
              <c:numCache>
                <c:formatCode>General</c:formatCode>
                <c:ptCount val="12"/>
                <c:pt idx="0">
                  <c:v>0</c:v>
                </c:pt>
                <c:pt idx="1">
                  <c:v>3</c:v>
                </c:pt>
                <c:pt idx="2">
                  <c:v>3</c:v>
                </c:pt>
                <c:pt idx="3">
                  <c:v>8</c:v>
                </c:pt>
                <c:pt idx="4">
                  <c:v>8</c:v>
                </c:pt>
                <c:pt idx="5">
                  <c:v>10</c:v>
                </c:pt>
                <c:pt idx="6">
                  <c:v>10</c:v>
                </c:pt>
                <c:pt idx="7">
                  <c:v>20</c:v>
                </c:pt>
                <c:pt idx="8">
                  <c:v>20</c:v>
                </c:pt>
                <c:pt idx="9">
                  <c:v>35</c:v>
                </c:pt>
                <c:pt idx="10">
                  <c:v>35</c:v>
                </c:pt>
                <c:pt idx="11">
                  <c:v>40</c:v>
                </c:pt>
              </c:numCache>
            </c:numRef>
          </c:xVal>
          <c:yVal>
            <c:numRef>
              <c:f>'Relativities between fares'!$D$21:$D$32</c:f>
              <c:numCache>
                <c:formatCode>"$"#,##0.00</c:formatCode>
                <c:ptCount val="12"/>
                <c:pt idx="0">
                  <c:v>3.61</c:v>
                </c:pt>
                <c:pt idx="1">
                  <c:v>3.61</c:v>
                </c:pt>
                <c:pt idx="2">
                  <c:v>3.61</c:v>
                </c:pt>
                <c:pt idx="3">
                  <c:v>3.61</c:v>
                </c:pt>
                <c:pt idx="4">
                  <c:v>3.61</c:v>
                </c:pt>
                <c:pt idx="5">
                  <c:v>3.61</c:v>
                </c:pt>
                <c:pt idx="6">
                  <c:v>4.4800000000000004</c:v>
                </c:pt>
                <c:pt idx="7">
                  <c:v>4.4800000000000004</c:v>
                </c:pt>
                <c:pt idx="8">
                  <c:v>5.15</c:v>
                </c:pt>
                <c:pt idx="9">
                  <c:v>5.15</c:v>
                </c:pt>
                <c:pt idx="10">
                  <c:v>6.89</c:v>
                </c:pt>
                <c:pt idx="11">
                  <c:v>6.89</c:v>
                </c:pt>
              </c:numCache>
            </c:numRef>
          </c:yVal>
          <c:smooth val="0"/>
        </c:ser>
        <c:dLbls>
          <c:showLegendKey val="0"/>
          <c:showVal val="0"/>
          <c:showCatName val="0"/>
          <c:showSerName val="0"/>
          <c:showPercent val="0"/>
          <c:showBubbleSize val="0"/>
        </c:dLbls>
        <c:axId val="564769128"/>
        <c:axId val="564769520"/>
      </c:scatterChart>
      <c:valAx>
        <c:axId val="564769128"/>
        <c:scaling>
          <c:orientation val="minMax"/>
          <c:max val="40"/>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r>
                  <a:rPr lang="en-AU"/>
                  <a:t>kms</a:t>
                </a:r>
                <a:r>
                  <a:rPr lang="en-AU" baseline="0"/>
                  <a:t> travelled</a:t>
                </a:r>
                <a:endParaRPr lang="en-AU"/>
              </a:p>
            </c:rich>
          </c:tx>
          <c:layout>
            <c:manualLayout>
              <c:xMode val="edge"/>
              <c:yMode val="edge"/>
              <c:x val="0.71891948216294388"/>
              <c:y val="0.79586110551531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69520"/>
        <c:crosses val="autoZero"/>
        <c:crossBetween val="midCat"/>
        <c:majorUnit val="10"/>
      </c:valAx>
      <c:valAx>
        <c:axId val="564769520"/>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69128"/>
        <c:crosses val="autoZero"/>
        <c:crossBetween val="midCat"/>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900">
          <a:latin typeface="Raleway" panose="020B0503030101060003"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295987620353"/>
          <c:y val="5.0925925925925923E-2"/>
          <c:w val="0.84742652085897141"/>
          <c:h val="0.68442439486730822"/>
        </c:manualLayout>
      </c:layout>
      <c:barChart>
        <c:barDir val="bar"/>
        <c:grouping val="percentStacked"/>
        <c:varyColors val="0"/>
        <c:ser>
          <c:idx val="0"/>
          <c:order val="0"/>
          <c:tx>
            <c:strRef>
              <c:f>'Distance travelled distribution'!$C$30</c:f>
              <c:strCache>
                <c:ptCount val="1"/>
                <c:pt idx="0">
                  <c:v>0-3 km</c:v>
                </c:pt>
              </c:strCache>
            </c:strRef>
          </c:tx>
          <c:spPr>
            <a:solidFill>
              <a:schemeClr val="bg1">
                <a:lumMod val="75000"/>
              </a:schemeClr>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distribution'!$D$30:$G$30</c:f>
              <c:numCache>
                <c:formatCode>0.0%</c:formatCode>
                <c:ptCount val="4"/>
                <c:pt idx="0">
                  <c:v>0.79466238761049224</c:v>
                </c:pt>
                <c:pt idx="1">
                  <c:v>0.31021375821230096</c:v>
                </c:pt>
                <c:pt idx="2">
                  <c:v>0.44576114107952353</c:v>
                </c:pt>
                <c:pt idx="3">
                  <c:v>4.3726321185421663E-2</c:v>
                </c:pt>
              </c:numCache>
            </c:numRef>
          </c:val>
        </c:ser>
        <c:ser>
          <c:idx val="1"/>
          <c:order val="1"/>
          <c:tx>
            <c:strRef>
              <c:f>'Distance travelled distribution'!$C$31</c:f>
              <c:strCache>
                <c:ptCount val="1"/>
                <c:pt idx="0">
                  <c:v>3 to 5 km</c:v>
                </c:pt>
              </c:strCache>
            </c:strRef>
          </c:tx>
          <c:spPr>
            <a:solidFill>
              <a:srgbClr val="00AEEF"/>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distribution'!$D$31:$G$31</c:f>
              <c:numCache>
                <c:formatCode>0.0%</c:formatCode>
                <c:ptCount val="4"/>
                <c:pt idx="0">
                  <c:v>8.6218889649905373E-2</c:v>
                </c:pt>
                <c:pt idx="1">
                  <c:v>0.20687590891017904</c:v>
                </c:pt>
                <c:pt idx="2">
                  <c:v>0.21733232789258217</c:v>
                </c:pt>
                <c:pt idx="3">
                  <c:v>0.10781633609216398</c:v>
                </c:pt>
              </c:numCache>
            </c:numRef>
          </c:val>
        </c:ser>
        <c:ser>
          <c:idx val="2"/>
          <c:order val="2"/>
          <c:tx>
            <c:strRef>
              <c:f>'Distance travelled distribution'!$C$32</c:f>
              <c:strCache>
                <c:ptCount val="1"/>
                <c:pt idx="0">
                  <c:v>5 to 10 km</c:v>
                </c:pt>
              </c:strCache>
            </c:strRef>
          </c:tx>
          <c:spPr>
            <a:solidFill>
              <a:srgbClr val="0070C0"/>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distribution'!$D$32:$G$32</c:f>
              <c:numCache>
                <c:formatCode>0.0%</c:formatCode>
                <c:ptCount val="4"/>
                <c:pt idx="0">
                  <c:v>0.11911872273960243</c:v>
                </c:pt>
                <c:pt idx="1">
                  <c:v>0.42225993345819035</c:v>
                </c:pt>
                <c:pt idx="2">
                  <c:v>0.21619880581506332</c:v>
                </c:pt>
                <c:pt idx="3">
                  <c:v>0.18818387317851035</c:v>
                </c:pt>
              </c:numCache>
            </c:numRef>
          </c:val>
        </c:ser>
        <c:ser>
          <c:idx val="3"/>
          <c:order val="3"/>
          <c:tx>
            <c:strRef>
              <c:f>'Distance travelled distribution'!$C$33</c:f>
              <c:strCache>
                <c:ptCount val="1"/>
                <c:pt idx="0">
                  <c:v>10 to 20 km </c:v>
                </c:pt>
              </c:strCache>
            </c:strRef>
          </c:tx>
          <c:spPr>
            <a:solidFill>
              <a:srgbClr val="194787"/>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distribution'!$D$33:$G$33</c:f>
              <c:numCache>
                <c:formatCode>0.0%</c:formatCode>
                <c:ptCount val="4"/>
                <c:pt idx="0">
                  <c:v>0</c:v>
                </c:pt>
                <c:pt idx="1">
                  <c:v>5.9760435648104869E-2</c:v>
                </c:pt>
                <c:pt idx="2">
                  <c:v>8.5348670813201549E-2</c:v>
                </c:pt>
                <c:pt idx="3">
                  <c:v>0.29258404665942844</c:v>
                </c:pt>
              </c:numCache>
            </c:numRef>
          </c:val>
        </c:ser>
        <c:ser>
          <c:idx val="4"/>
          <c:order val="4"/>
          <c:tx>
            <c:strRef>
              <c:f>'Distance travelled distribution'!$C$34</c:f>
              <c:strCache>
                <c:ptCount val="1"/>
                <c:pt idx="0">
                  <c:v>20 to 35 km</c:v>
                </c:pt>
              </c:strCache>
            </c:strRef>
          </c:tx>
          <c:spPr>
            <a:solidFill>
              <a:srgbClr val="FFC000"/>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distribution'!$D$34:$G$34</c:f>
              <c:numCache>
                <c:formatCode>0.0%</c:formatCode>
                <c:ptCount val="4"/>
                <c:pt idx="0">
                  <c:v>0</c:v>
                </c:pt>
                <c:pt idx="1">
                  <c:v>8.8996377122469827E-4</c:v>
                </c:pt>
                <c:pt idx="2">
                  <c:v>3.4506161481328651E-2</c:v>
                </c:pt>
                <c:pt idx="3">
                  <c:v>0.23980000532831408</c:v>
                </c:pt>
              </c:numCache>
            </c:numRef>
          </c:val>
        </c:ser>
        <c:ser>
          <c:idx val="5"/>
          <c:order val="5"/>
          <c:tx>
            <c:strRef>
              <c:f>'Distance travelled distribution'!$C$35</c:f>
              <c:strCache>
                <c:ptCount val="1"/>
                <c:pt idx="0">
                  <c:v>35 to 65 km</c:v>
                </c:pt>
              </c:strCache>
            </c:strRef>
          </c:tx>
          <c:spPr>
            <a:solidFill>
              <a:schemeClr val="accent4"/>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distribution'!$D$35:$G$35</c:f>
              <c:numCache>
                <c:formatCode>0.0%</c:formatCode>
                <c:ptCount val="4"/>
                <c:pt idx="0">
                  <c:v>0</c:v>
                </c:pt>
                <c:pt idx="1">
                  <c:v>0</c:v>
                </c:pt>
                <c:pt idx="2">
                  <c:v>8.5219894861603791E-4</c:v>
                </c:pt>
                <c:pt idx="3">
                  <c:v>9.6263823287575004E-2</c:v>
                </c:pt>
              </c:numCache>
            </c:numRef>
          </c:val>
        </c:ser>
        <c:ser>
          <c:idx val="6"/>
          <c:order val="6"/>
          <c:tx>
            <c:strRef>
              <c:f>'Distance travelled distribution'!$C$36</c:f>
              <c:strCache>
                <c:ptCount val="1"/>
                <c:pt idx="0">
                  <c:v>65 km+</c:v>
                </c:pt>
              </c:strCache>
            </c:strRef>
          </c:tx>
          <c:spPr>
            <a:solidFill>
              <a:schemeClr val="accent6"/>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distribution'!$D$36:$G$36</c:f>
              <c:numCache>
                <c:formatCode>0.0%</c:formatCode>
                <c:ptCount val="4"/>
                <c:pt idx="0">
                  <c:v>0</c:v>
                </c:pt>
                <c:pt idx="1">
                  <c:v>0</c:v>
                </c:pt>
                <c:pt idx="2">
                  <c:v>6.939696847887344E-7</c:v>
                </c:pt>
                <c:pt idx="3">
                  <c:v>3.1625594268586382E-2</c:v>
                </c:pt>
              </c:numCache>
            </c:numRef>
          </c:val>
        </c:ser>
        <c:dLbls>
          <c:showLegendKey val="0"/>
          <c:showVal val="0"/>
          <c:showCatName val="0"/>
          <c:showSerName val="0"/>
          <c:showPercent val="0"/>
          <c:showBubbleSize val="0"/>
        </c:dLbls>
        <c:gapWidth val="150"/>
        <c:overlap val="100"/>
        <c:axId val="564771480"/>
        <c:axId val="564771872"/>
      </c:barChart>
      <c:catAx>
        <c:axId val="564771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71872"/>
        <c:crosses val="autoZero"/>
        <c:auto val="1"/>
        <c:lblAlgn val="ctr"/>
        <c:lblOffset val="100"/>
        <c:noMultiLvlLbl val="0"/>
      </c:catAx>
      <c:valAx>
        <c:axId val="564771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771480"/>
        <c:crosses val="autoZero"/>
        <c:crossBetween val="between"/>
      </c:valAx>
      <c:spPr>
        <a:noFill/>
        <a:ln>
          <a:noFill/>
        </a:ln>
        <a:effectLst/>
      </c:spPr>
    </c:plotArea>
    <c:legend>
      <c:legendPos val="b"/>
      <c:layout>
        <c:manualLayout>
          <c:xMode val="edge"/>
          <c:yMode val="edge"/>
          <c:x val="0.15657109530198138"/>
          <c:y val="0.85474253771818454"/>
          <c:w val="0.84342885318921146"/>
          <c:h val="7.24665917616759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81936534662721E-2"/>
          <c:y val="5.4604120129064286E-2"/>
          <c:w val="0.8848703346044009"/>
          <c:h val="0.67192891586226144"/>
        </c:manualLayout>
      </c:layout>
      <c:lineChart>
        <c:grouping val="standard"/>
        <c:varyColors val="0"/>
        <c:ser>
          <c:idx val="0"/>
          <c:order val="0"/>
          <c:tx>
            <c:strRef>
              <c:f>'Change in average single fare'!$B$18:$C$18</c:f>
              <c:strCache>
                <c:ptCount val="2"/>
                <c:pt idx="0">
                  <c:v>Average single fare</c:v>
                </c:pt>
              </c:strCache>
            </c:strRef>
          </c:tx>
          <c:spPr>
            <a:ln w="28575" cap="rnd">
              <a:solidFill>
                <a:schemeClr val="accent4"/>
              </a:solidFill>
              <a:round/>
            </a:ln>
            <a:effectLst/>
          </c:spPr>
          <c:marker>
            <c:symbol val="none"/>
          </c:marker>
          <c:cat>
            <c:numRef>
              <c:f>'Change in average single fare'!$D$17:$R$17</c:f>
              <c:numCache>
                <c:formatCode>General</c:formatCode>
                <c:ptCount val="15"/>
                <c:pt idx="0">
                  <c:v>2009</c:v>
                </c:pt>
                <c:pt idx="10">
                  <c:v>2019</c:v>
                </c:pt>
                <c:pt idx="14">
                  <c:v>2023</c:v>
                </c:pt>
              </c:numCache>
            </c:numRef>
          </c:cat>
          <c:val>
            <c:numRef>
              <c:f>'Change in average single fare'!$D$18:$R$18</c:f>
              <c:numCache>
                <c:formatCode>_("$"* #,##0.00_);_("$"* \(#,##0.00\);_("$"* "-"??_);_(@_)</c:formatCode>
                <c:ptCount val="15"/>
                <c:pt idx="0">
                  <c:v>3.8500853204957197</c:v>
                </c:pt>
                <c:pt idx="1">
                  <c:v>3.8830377455299709</c:v>
                </c:pt>
                <c:pt idx="2">
                  <c:v>3.9162722064738831</c:v>
                </c:pt>
                <c:pt idx="3">
                  <c:v>3.9497911172394597</c:v>
                </c:pt>
                <c:pt idx="4">
                  <c:v>3.9835969123990917</c:v>
                </c:pt>
                <c:pt idx="5">
                  <c:v>4.0176920473623881</c:v>
                </c:pt>
                <c:pt idx="6">
                  <c:v>4.0520789985545163</c:v>
                </c:pt>
                <c:pt idx="7">
                  <c:v>4.0867602635960765</c:v>
                </c:pt>
                <c:pt idx="8">
                  <c:v>4.121738361484506</c:v>
                </c:pt>
                <c:pt idx="9">
                  <c:v>4.1570158327770459</c:v>
                </c:pt>
                <c:pt idx="10">
                  <c:v>4.1925952397752635</c:v>
                </c:pt>
              </c:numCache>
            </c:numRef>
          </c:val>
          <c:smooth val="0"/>
        </c:ser>
        <c:ser>
          <c:idx val="1"/>
          <c:order val="1"/>
          <c:tx>
            <c:strRef>
              <c:f>'Change in average single fare'!$B$19:$C$19</c:f>
              <c:strCache>
                <c:ptCount val="2"/>
                <c:pt idx="0">
                  <c:v>Average determined maximum fare</c:v>
                </c:pt>
              </c:strCache>
            </c:strRef>
          </c:tx>
          <c:spPr>
            <a:ln w="28575" cap="rnd">
              <a:solidFill>
                <a:schemeClr val="accent4"/>
              </a:solidFill>
              <a:prstDash val="sysDash"/>
              <a:round/>
            </a:ln>
            <a:effectLst/>
          </c:spPr>
          <c:marker>
            <c:symbol val="none"/>
          </c:marker>
          <c:dPt>
            <c:idx val="10"/>
            <c:marker>
              <c:symbol val="circle"/>
              <c:size val="8"/>
              <c:spPr>
                <a:solidFill>
                  <a:schemeClr val="accent4"/>
                </a:solidFill>
                <a:ln w="9525">
                  <a:noFill/>
                </a:ln>
                <a:effectLst/>
              </c:spPr>
            </c:marker>
            <c:bubble3D val="0"/>
          </c:dPt>
          <c:dPt>
            <c:idx val="14"/>
            <c:marker>
              <c:symbol val="none"/>
            </c:marker>
            <c:bubble3D val="0"/>
          </c:dPt>
          <c:cat>
            <c:numRef>
              <c:f>'Change in average single fare'!$D$17:$R$17</c:f>
              <c:numCache>
                <c:formatCode>General</c:formatCode>
                <c:ptCount val="15"/>
                <c:pt idx="0">
                  <c:v>2009</c:v>
                </c:pt>
                <c:pt idx="10">
                  <c:v>2019</c:v>
                </c:pt>
                <c:pt idx="14">
                  <c:v>2023</c:v>
                </c:pt>
              </c:numCache>
            </c:numRef>
          </c:cat>
          <c:val>
            <c:numRef>
              <c:f>'Change in average single fare'!$D$19:$R$19</c:f>
              <c:numCache>
                <c:formatCode>_("$"* #,##0.00_);_("$"* \(#,##0.00\);_("$"* "-"??_);_(@_)</c:formatCode>
                <c:ptCount val="15"/>
                <c:pt idx="10">
                  <c:v>4.1925952397752635</c:v>
                </c:pt>
                <c:pt idx="11">
                  <c:v>4.4223839212528278</c:v>
                </c:pt>
                <c:pt idx="12">
                  <c:v>4.6647669112947518</c:v>
                </c:pt>
                <c:pt idx="13">
                  <c:v>4.9204344815331913</c:v>
                </c:pt>
                <c:pt idx="14">
                  <c:v>5.1901147361596456</c:v>
                </c:pt>
              </c:numCache>
            </c:numRef>
          </c:val>
          <c:smooth val="0"/>
        </c:ser>
        <c:ser>
          <c:idx val="2"/>
          <c:order val="2"/>
          <c:tx>
            <c:strRef>
              <c:f>'Change in average single fare'!$B$20:$C$20</c:f>
              <c:strCache>
                <c:ptCount val="2"/>
                <c:pt idx="0">
                  <c:v>Fare increasing in line with inflation</c:v>
                </c:pt>
              </c:strCache>
            </c:strRef>
          </c:tx>
          <c:spPr>
            <a:ln w="28575" cap="rnd">
              <a:solidFill>
                <a:schemeClr val="bg2"/>
              </a:solidFill>
              <a:prstDash val="sysDot"/>
              <a:round/>
            </a:ln>
            <a:effectLst/>
          </c:spPr>
          <c:marker>
            <c:symbol val="none"/>
          </c:marker>
          <c:dPt>
            <c:idx val="0"/>
            <c:marker>
              <c:symbol val="circle"/>
              <c:size val="7"/>
              <c:spPr>
                <a:solidFill>
                  <a:schemeClr val="accent4"/>
                </a:solidFill>
                <a:ln w="9525">
                  <a:noFill/>
                </a:ln>
                <a:effectLst/>
              </c:spPr>
            </c:marker>
            <c:bubble3D val="0"/>
          </c:dPt>
          <c:dPt>
            <c:idx val="14"/>
            <c:marker>
              <c:symbol val="circle"/>
              <c:size val="7"/>
              <c:spPr>
                <a:solidFill>
                  <a:schemeClr val="accent4"/>
                </a:solidFill>
                <a:ln w="9525">
                  <a:noFill/>
                </a:ln>
                <a:effectLst/>
              </c:spPr>
            </c:marker>
            <c:bubble3D val="0"/>
          </c:dPt>
          <c:cat>
            <c:numRef>
              <c:f>'Change in average single fare'!$D$17:$R$17</c:f>
              <c:numCache>
                <c:formatCode>General</c:formatCode>
                <c:ptCount val="15"/>
                <c:pt idx="0">
                  <c:v>2009</c:v>
                </c:pt>
                <c:pt idx="10">
                  <c:v>2019</c:v>
                </c:pt>
                <c:pt idx="14">
                  <c:v>2023</c:v>
                </c:pt>
              </c:numCache>
            </c:numRef>
          </c:cat>
          <c:val>
            <c:numRef>
              <c:f>'Change in average single fare'!$D$20:$R$20</c:f>
              <c:numCache>
                <c:formatCode>_("$"* #,##0.00_);_("$"* \(#,##0.00\);_("$"* "-"??_);_(@_)</c:formatCode>
                <c:ptCount val="15"/>
                <c:pt idx="0">
                  <c:v>3.8500853204957197</c:v>
                </c:pt>
                <c:pt idx="1">
                  <c:v>3.9313326877671519</c:v>
                </c:pt>
                <c:pt idx="2">
                  <c:v>4.0142945974809026</c:v>
                </c:pt>
                <c:pt idx="3">
                  <c:v>4.099007231188267</c:v>
                </c:pt>
                <c:pt idx="4">
                  <c:v>4.1855075339705774</c:v>
                </c:pt>
                <c:pt idx="5">
                  <c:v>4.2738332305517819</c:v>
                </c:pt>
                <c:pt idx="6">
                  <c:v>4.3640228417510434</c:v>
                </c:pt>
                <c:pt idx="7">
                  <c:v>4.4561157012825339</c:v>
                </c:pt>
                <c:pt idx="8">
                  <c:v>4.5501519729097515</c:v>
                </c:pt>
                <c:pt idx="9">
                  <c:v>4.6461726679618369</c:v>
                </c:pt>
                <c:pt idx="10">
                  <c:v>4.7442196632195373</c:v>
                </c:pt>
                <c:pt idx="11">
                  <c:v>4.854501423082584</c:v>
                </c:pt>
                <c:pt idx="12">
                  <c:v>4.9673467376336191</c:v>
                </c:pt>
                <c:pt idx="13">
                  <c:v>5.0828151979840506</c:v>
                </c:pt>
                <c:pt idx="14">
                  <c:v>5.2009677804704877</c:v>
                </c:pt>
              </c:numCache>
            </c:numRef>
          </c:val>
          <c:smooth val="0"/>
        </c:ser>
        <c:dLbls>
          <c:showLegendKey val="0"/>
          <c:showVal val="0"/>
          <c:showCatName val="0"/>
          <c:showSerName val="0"/>
          <c:showPercent val="0"/>
          <c:showBubbleSize val="0"/>
        </c:dLbls>
        <c:smooth val="0"/>
        <c:axId val="565824472"/>
        <c:axId val="565822120"/>
      </c:lineChart>
      <c:catAx>
        <c:axId val="565824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Raleway" panose="020B0503030101060003" pitchFamily="34" charset="0"/>
                <a:ea typeface="+mn-ea"/>
                <a:cs typeface="+mn-cs"/>
              </a:defRPr>
            </a:pPr>
            <a:endParaRPr lang="en-US"/>
          </a:p>
        </c:txPr>
        <c:crossAx val="565822120"/>
        <c:crosses val="autoZero"/>
        <c:auto val="1"/>
        <c:lblAlgn val="ctr"/>
        <c:lblOffset val="100"/>
        <c:noMultiLvlLbl val="0"/>
      </c:catAx>
      <c:valAx>
        <c:axId val="565822120"/>
        <c:scaling>
          <c:orientation val="minMax"/>
          <c:min val="1"/>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Raleway" panose="020B0503030101060003" pitchFamily="34" charset="0"/>
                <a:ea typeface="+mn-ea"/>
                <a:cs typeface="+mn-cs"/>
              </a:defRPr>
            </a:pPr>
            <a:endParaRPr lang="en-US"/>
          </a:p>
        </c:txPr>
        <c:crossAx val="565824472"/>
        <c:crosses val="autoZero"/>
        <c:crossBetween val="between"/>
        <c:majorUnit val="1"/>
      </c:valAx>
      <c:spPr>
        <a:noFill/>
        <a:ln>
          <a:noFill/>
        </a:ln>
        <a:effectLst/>
      </c:spPr>
    </c:plotArea>
    <c:legend>
      <c:legendPos val="b"/>
      <c:legendEntry>
        <c:idx val="1"/>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Entry>
      <c:layout>
        <c:manualLayout>
          <c:xMode val="edge"/>
          <c:yMode val="edge"/>
          <c:x val="0.13609672826886357"/>
          <c:y val="0.82540542897254121"/>
          <c:w val="0.78322767835838702"/>
          <c:h val="0.159168127239908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3592919419742"/>
          <c:y val="5.8666666666666666E-2"/>
          <c:w val="0.70208991344055194"/>
          <c:h val="0.57779023622047243"/>
        </c:manualLayout>
      </c:layout>
      <c:lineChart>
        <c:grouping val="standard"/>
        <c:varyColors val="0"/>
        <c:ser>
          <c:idx val="0"/>
          <c:order val="0"/>
          <c:tx>
            <c:strRef>
              <c:f>'Change in operating costs'!$B$18</c:f>
              <c:strCache>
                <c:ptCount val="1"/>
                <c:pt idx="0">
                  <c:v>Operating costs</c:v>
                </c:pt>
              </c:strCache>
            </c:strRef>
          </c:tx>
          <c:spPr>
            <a:ln w="28575" cap="rnd">
              <a:solidFill>
                <a:schemeClr val="accent6"/>
              </a:solidFill>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costs'!$C$18:$H$18</c:f>
              <c:numCache>
                <c:formatCode>0%</c:formatCode>
                <c:ptCount val="6"/>
                <c:pt idx="0">
                  <c:v>0</c:v>
                </c:pt>
                <c:pt idx="1">
                  <c:v>2.2816623913517686E-2</c:v>
                </c:pt>
                <c:pt idx="2">
                  <c:v>4.615384615384599E-2</c:v>
                </c:pt>
                <c:pt idx="3">
                  <c:v>0.18281211030123345</c:v>
                </c:pt>
                <c:pt idx="4">
                  <c:v>0.33732193732193716</c:v>
                </c:pt>
                <c:pt idx="5">
                  <c:v>0.38408276485136672</c:v>
                </c:pt>
              </c:numCache>
            </c:numRef>
          </c:val>
          <c:smooth val="0"/>
        </c:ser>
        <c:ser>
          <c:idx val="1"/>
          <c:order val="1"/>
          <c:tx>
            <c:strRef>
              <c:f>'Change in operating costs'!$B$19</c:f>
              <c:strCache>
                <c:ptCount val="1"/>
                <c:pt idx="0">
                  <c:v>Revenue</c:v>
                </c:pt>
              </c:strCache>
            </c:strRef>
          </c:tx>
          <c:spPr>
            <a:ln w="28575" cap="rnd">
              <a:solidFill>
                <a:srgbClr val="FFC000"/>
              </a:solidFill>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costs'!$C$19:$H$19</c:f>
              <c:numCache>
                <c:formatCode>0%</c:formatCode>
                <c:ptCount val="6"/>
                <c:pt idx="0">
                  <c:v>0</c:v>
                </c:pt>
                <c:pt idx="1">
                  <c:v>-2.687179699518738E-2</c:v>
                </c:pt>
                <c:pt idx="2">
                  <c:v>1.2961718419049362E-2</c:v>
                </c:pt>
                <c:pt idx="3">
                  <c:v>8.8132996563289323E-2</c:v>
                </c:pt>
                <c:pt idx="4">
                  <c:v>0.17886661804097925</c:v>
                </c:pt>
                <c:pt idx="5">
                  <c:v>0.2813329345626423</c:v>
                </c:pt>
              </c:numCache>
            </c:numRef>
          </c:val>
          <c:smooth val="0"/>
        </c:ser>
        <c:ser>
          <c:idx val="2"/>
          <c:order val="2"/>
          <c:tx>
            <c:strRef>
              <c:f>'Change in operating costs'!$B$20</c:f>
              <c:strCache>
                <c:ptCount val="1"/>
                <c:pt idx="0">
                  <c:v>Patronage</c:v>
                </c:pt>
              </c:strCache>
            </c:strRef>
          </c:tx>
          <c:spPr>
            <a:ln w="12700" cap="rnd">
              <a:solidFill>
                <a:schemeClr val="bg2"/>
              </a:solidFill>
              <a:prstDash val="solid"/>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costs'!$C$20:$H$20</c:f>
              <c:numCache>
                <c:formatCode>0%</c:formatCode>
                <c:ptCount val="6"/>
                <c:pt idx="0">
                  <c:v>0</c:v>
                </c:pt>
                <c:pt idx="1">
                  <c:v>8.429810313615782E-2</c:v>
                </c:pt>
                <c:pt idx="2">
                  <c:v>0.21340254870954589</c:v>
                </c:pt>
                <c:pt idx="3">
                  <c:v>0.30431570511673844</c:v>
                </c:pt>
                <c:pt idx="4">
                  <c:v>0.36779553081419913</c:v>
                </c:pt>
                <c:pt idx="5">
                  <c:v>0.43176728178195023</c:v>
                </c:pt>
              </c:numCache>
            </c:numRef>
          </c:val>
          <c:smooth val="0"/>
        </c:ser>
        <c:ser>
          <c:idx val="3"/>
          <c:order val="3"/>
          <c:tx>
            <c:strRef>
              <c:f>'Change in operating costs'!$B$21</c:f>
              <c:strCache>
                <c:ptCount val="1"/>
                <c:pt idx="0">
                  <c:v>Average fare paid</c:v>
                </c:pt>
              </c:strCache>
            </c:strRef>
          </c:tx>
          <c:spPr>
            <a:ln w="12700" cap="rnd">
              <a:solidFill>
                <a:schemeClr val="bg2"/>
              </a:solidFill>
              <a:prstDash val="sysDash"/>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costs'!$C$21:$H$21</c:f>
              <c:numCache>
                <c:formatCode>0%</c:formatCode>
                <c:ptCount val="6"/>
                <c:pt idx="0">
                  <c:v>0</c:v>
                </c:pt>
                <c:pt idx="1">
                  <c:v>2.954979360174154E-2</c:v>
                </c:pt>
                <c:pt idx="2">
                  <c:v>1.5405261778186073E-2</c:v>
                </c:pt>
                <c:pt idx="3">
                  <c:v>1.5405261778186073E-2</c:v>
                </c:pt>
                <c:pt idx="4">
                  <c:v>3.9872858447539843E-2</c:v>
                </c:pt>
                <c:pt idx="5">
                  <c:v>5.2106656782216945E-2</c:v>
                </c:pt>
              </c:numCache>
            </c:numRef>
          </c:val>
          <c:smooth val="0"/>
        </c:ser>
        <c:dLbls>
          <c:showLegendKey val="0"/>
          <c:showVal val="0"/>
          <c:showCatName val="0"/>
          <c:showSerName val="0"/>
          <c:showPercent val="0"/>
          <c:showBubbleSize val="0"/>
        </c:dLbls>
        <c:smooth val="0"/>
        <c:axId val="565819376"/>
        <c:axId val="565824864"/>
      </c:lineChart>
      <c:catAx>
        <c:axId val="565819376"/>
        <c:scaling>
          <c:orientation val="minMax"/>
        </c:scaling>
        <c:delete val="0"/>
        <c:axPos val="b"/>
        <c:numFmt formatCode="General" sourceLinked="1"/>
        <c:majorTickMark val="none"/>
        <c:minorTickMark val="none"/>
        <c:tickLblPos val="low"/>
        <c:spPr>
          <a:noFill/>
          <a:ln w="9525"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24864"/>
        <c:crosses val="autoZero"/>
        <c:auto val="1"/>
        <c:lblAlgn val="ctr"/>
        <c:lblOffset val="100"/>
        <c:noMultiLvlLbl val="0"/>
      </c:catAx>
      <c:valAx>
        <c:axId val="565824864"/>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lgn="r">
                  <a:defRPr sz="1000" b="0" i="0" u="none" strike="noStrike" kern="1200" baseline="0">
                    <a:solidFill>
                      <a:schemeClr val="tx1">
                        <a:lumMod val="65000"/>
                        <a:lumOff val="35000"/>
                      </a:schemeClr>
                    </a:solidFill>
                    <a:latin typeface="Raleway" panose="020B0503030101060003" pitchFamily="34" charset="0"/>
                    <a:ea typeface="+mn-ea"/>
                    <a:cs typeface="+mn-cs"/>
                  </a:defRPr>
                </a:pPr>
                <a:r>
                  <a:rPr lang="en-AU"/>
                  <a:t>Cumulative</a:t>
                </a:r>
              </a:p>
              <a:p>
                <a:pPr algn="r">
                  <a:defRPr/>
                </a:pPr>
                <a:r>
                  <a:rPr lang="en-AU" baseline="0"/>
                  <a:t>change</a:t>
                </a:r>
                <a:endParaRPr lang="en-AU"/>
              </a:p>
            </c:rich>
          </c:tx>
          <c:layout>
            <c:manualLayout>
              <c:xMode val="edge"/>
              <c:yMode val="edge"/>
              <c:x val="6.0687521881960479E-4"/>
              <c:y val="3.9901372698022602E-2"/>
            </c:manualLayout>
          </c:layout>
          <c:overlay val="0"/>
          <c:spPr>
            <a:noFill/>
            <a:ln>
              <a:noFill/>
            </a:ln>
            <a:effectLst/>
          </c:spPr>
          <c:txPr>
            <a:bodyPr rot="0" spcFirstLastPara="1" vertOverflow="ellipsis" wrap="square" anchor="ctr" anchorCtr="1"/>
            <a:lstStyle/>
            <a:p>
              <a:pPr algn="r">
                <a:defRPr sz="10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19376"/>
        <c:crosses val="autoZero"/>
        <c:crossBetween val="between"/>
        <c:majorUnit val="0.1"/>
      </c:valAx>
      <c:spPr>
        <a:noFill/>
        <a:ln>
          <a:noFill/>
        </a:ln>
        <a:effectLst/>
      </c:spPr>
    </c:plotArea>
    <c:legend>
      <c:legendPos val="b"/>
      <c:layout>
        <c:manualLayout>
          <c:xMode val="edge"/>
          <c:yMode val="edge"/>
          <c:x val="0.19190022903188059"/>
          <c:y val="0.78955044619422576"/>
          <c:w val="0.76998079043227574"/>
          <c:h val="0.11978288713910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4079767224197E-3"/>
          <c:y val="1.5199186985034E-2"/>
          <c:w val="0.97799324603773163"/>
          <c:h val="0.81203384593519135"/>
        </c:manualLayout>
      </c:layout>
      <c:barChart>
        <c:barDir val="bar"/>
        <c:grouping val="stacked"/>
        <c:varyColors val="0"/>
        <c:ser>
          <c:idx val="0"/>
          <c:order val="0"/>
          <c:tx>
            <c:strRef>
              <c:f>'External benefits'!$B$32</c:f>
              <c:strCache>
                <c:ptCount val="1"/>
                <c:pt idx="0">
                  <c:v>Avoided congestion</c:v>
                </c:pt>
              </c:strCache>
            </c:strRef>
          </c:tx>
          <c:spPr>
            <a:solidFill>
              <a:srgbClr val="007BC4"/>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val>
            <c:numRef>
              <c:f>'External benefits'!$C$32</c:f>
              <c:numCache>
                <c:formatCode>0.0%</c:formatCode>
                <c:ptCount val="1"/>
                <c:pt idx="0">
                  <c:v>0.7837176038280439</c:v>
                </c:pt>
              </c:numCache>
            </c:numRef>
          </c:val>
          <c:extLst xmlns:c16r2="http://schemas.microsoft.com/office/drawing/2015/06/chart">
            <c:ext xmlns:c16="http://schemas.microsoft.com/office/drawing/2014/chart" uri="{C3380CC4-5D6E-409C-BE32-E72D297353CC}">
              <c16:uniqueId val="{00000000-FFCF-4EFC-8261-A1C0C16F7C6A}"/>
            </c:ext>
          </c:extLst>
        </c:ser>
        <c:ser>
          <c:idx val="1"/>
          <c:order val="1"/>
          <c:tx>
            <c:strRef>
              <c:f>'External benefits'!$B$33</c:f>
              <c:strCache>
                <c:ptCount val="1"/>
                <c:pt idx="0">
                  <c:v>Avoided accidents</c:v>
                </c:pt>
              </c:strCache>
            </c:strRef>
          </c:tx>
          <c:spPr>
            <a:solidFill>
              <a:srgbClr val="A0A09A"/>
            </a:solidFill>
          </c:spPr>
          <c:invertIfNegative val="0"/>
          <c:val>
            <c:numRef>
              <c:f>'External benefits'!$C$33</c:f>
              <c:numCache>
                <c:formatCode>0.0%</c:formatCode>
                <c:ptCount val="1"/>
                <c:pt idx="0">
                  <c:v>2.4966580028262863E-2</c:v>
                </c:pt>
              </c:numCache>
            </c:numRef>
          </c:val>
        </c:ser>
        <c:ser>
          <c:idx val="3"/>
          <c:order val="2"/>
          <c:tx>
            <c:strRef>
              <c:f>'External benefits'!$B$34</c:f>
              <c:strCache>
                <c:ptCount val="1"/>
                <c:pt idx="0">
                  <c:v>Avoided pollution</c:v>
                </c:pt>
              </c:strCache>
            </c:strRef>
          </c:tx>
          <c:spPr>
            <a:solidFill>
              <a:srgbClr val="46B849"/>
            </a:solidFill>
          </c:spPr>
          <c:invertIfNegative val="0"/>
          <c:val>
            <c:numRef>
              <c:f>'External benefits'!$C$34</c:f>
              <c:numCache>
                <c:formatCode>0.0%</c:formatCode>
                <c:ptCount val="1"/>
                <c:pt idx="0">
                  <c:v>4.9315390894847395E-3</c:v>
                </c:pt>
              </c:numCache>
            </c:numRef>
          </c:val>
        </c:ser>
        <c:ser>
          <c:idx val="2"/>
          <c:order val="3"/>
          <c:tx>
            <c:strRef>
              <c:f>'External benefits'!$B$35</c:f>
              <c:strCache>
                <c:ptCount val="1"/>
                <c:pt idx="0">
                  <c:v>Active transport</c:v>
                </c:pt>
              </c:strCache>
            </c:strRef>
          </c:tx>
          <c:spPr>
            <a:solidFill>
              <a:srgbClr val="FFC000"/>
            </a:solidFill>
          </c:spPr>
          <c:invertIfNegative val="0"/>
          <c:dPt>
            <c:idx val="0"/>
            <c:invertIfNegative val="0"/>
            <c:bubble3D val="0"/>
          </c:dPt>
          <c:val>
            <c:numRef>
              <c:f>'External benefits'!$C$35</c:f>
              <c:numCache>
                <c:formatCode>0.0%</c:formatCode>
                <c:ptCount val="1"/>
                <c:pt idx="0">
                  <c:v>5.4189222589422326E-2</c:v>
                </c:pt>
              </c:numCache>
            </c:numRef>
          </c:val>
        </c:ser>
        <c:ser>
          <c:idx val="4"/>
          <c:order val="4"/>
          <c:tx>
            <c:strRef>
              <c:f>'External benefits'!$B$36</c:f>
              <c:strCache>
                <c:ptCount val="1"/>
                <c:pt idx="0">
                  <c:v>Frequency benefits</c:v>
                </c:pt>
              </c:strCache>
            </c:strRef>
          </c:tx>
          <c:spPr>
            <a:solidFill>
              <a:schemeClr val="accent6"/>
            </a:solidFill>
          </c:spPr>
          <c:invertIfNegative val="0"/>
          <c:dPt>
            <c:idx val="0"/>
            <c:invertIfNegative val="0"/>
            <c:bubble3D val="0"/>
          </c:dPt>
          <c:val>
            <c:numRef>
              <c:f>'External benefits'!$C$36</c:f>
              <c:numCache>
                <c:formatCode>0.0%</c:formatCode>
                <c:ptCount val="1"/>
                <c:pt idx="0">
                  <c:v>0.13219505446478616</c:v>
                </c:pt>
              </c:numCache>
            </c:numRef>
          </c:val>
        </c:ser>
        <c:dLbls>
          <c:showLegendKey val="0"/>
          <c:showVal val="0"/>
          <c:showCatName val="0"/>
          <c:showSerName val="0"/>
          <c:showPercent val="0"/>
          <c:showBubbleSize val="0"/>
        </c:dLbls>
        <c:gapWidth val="172"/>
        <c:overlap val="100"/>
        <c:axId val="561851120"/>
        <c:axId val="561853864"/>
      </c:barChart>
      <c:catAx>
        <c:axId val="561851120"/>
        <c:scaling>
          <c:orientation val="minMax"/>
        </c:scaling>
        <c:delete val="1"/>
        <c:axPos val="l"/>
        <c:numFmt formatCode="0" sourceLinked="0"/>
        <c:majorTickMark val="none"/>
        <c:minorTickMark val="none"/>
        <c:tickLblPos val="nextTo"/>
        <c:crossAx val="561853864"/>
        <c:crosses val="autoZero"/>
        <c:auto val="1"/>
        <c:lblAlgn val="ctr"/>
        <c:lblOffset val="100"/>
        <c:tickLblSkip val="1"/>
        <c:tickMarkSkip val="1"/>
        <c:noMultiLvlLbl val="0"/>
      </c:catAx>
      <c:valAx>
        <c:axId val="561853864"/>
        <c:scaling>
          <c:orientation val="minMax"/>
        </c:scaling>
        <c:delete val="1"/>
        <c:axPos val="b"/>
        <c:numFmt formatCode="0" sourceLinked="0"/>
        <c:majorTickMark val="out"/>
        <c:minorTickMark val="none"/>
        <c:tickLblPos val="nextTo"/>
        <c:crossAx val="561851120"/>
        <c:crosses val="autoZero"/>
        <c:crossBetween val="between"/>
      </c:valAx>
      <c:spPr>
        <a:noFill/>
        <a:ln w="25400">
          <a:noFill/>
        </a:ln>
      </c:spPr>
    </c:plotArea>
    <c:legend>
      <c:legendPos val="b"/>
      <c:layout>
        <c:manualLayout>
          <c:xMode val="edge"/>
          <c:yMode val="edge"/>
          <c:x val="5.5303002582358145E-2"/>
          <c:y val="0.78798671479772875"/>
          <c:w val="0.9446969974176419"/>
          <c:h val="0.19199451243408738"/>
        </c:manualLayout>
      </c:layout>
      <c:overlay val="0"/>
    </c:legend>
    <c:plotVisOnly val="1"/>
    <c:dispBlanksAs val="gap"/>
    <c:showDLblsOverMax val="0"/>
  </c:chart>
  <c:spPr>
    <a:noFill/>
    <a:ln w="9525">
      <a:noFill/>
    </a:ln>
  </c:spPr>
  <c:txPr>
    <a:bodyPr/>
    <a:lstStyle/>
    <a:p>
      <a:pPr>
        <a:defRPr sz="1000" b="0" i="0" u="none" strike="noStrike" baseline="0">
          <a:solidFill>
            <a:srgbClr val="000000"/>
          </a:solidFill>
          <a:latin typeface="Raleway" panose="020B0003030101060003" pitchFamily="34" charset="0"/>
          <a:ea typeface="Myriad Pro"/>
          <a:cs typeface="Myriad Pro"/>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noFill/>
            </a:ln>
          </c:spPr>
          <c:dPt>
            <c:idx val="0"/>
            <c:bubble3D val="0"/>
            <c:spPr>
              <a:solidFill>
                <a:srgbClr val="A5A5A5"/>
              </a:solidFill>
              <a:ln w="25400">
                <a:noFill/>
              </a:ln>
            </c:spPr>
          </c:dPt>
          <c:dPt>
            <c:idx val="1"/>
            <c:bubble3D val="0"/>
            <c:spPr>
              <a:solidFill>
                <a:srgbClr val="48B749"/>
              </a:solidFill>
              <a:ln w="25400">
                <a:noFill/>
              </a:ln>
            </c:spPr>
          </c:dPt>
          <c:dPt>
            <c:idx val="2"/>
            <c:bubble3D val="0"/>
            <c:spPr>
              <a:solidFill>
                <a:srgbClr val="8E4399"/>
              </a:solidFill>
              <a:ln w="25400">
                <a:noFill/>
              </a:ln>
            </c:spPr>
          </c:dPt>
          <c:dPt>
            <c:idx val="3"/>
            <c:bubble3D val="0"/>
            <c:spPr>
              <a:solidFill>
                <a:srgbClr val="F78D1E"/>
              </a:solidFill>
              <a:ln w="25400">
                <a:noFill/>
              </a:ln>
            </c:spPr>
          </c:dPt>
          <c:dPt>
            <c:idx val="4"/>
            <c:bubble3D val="0"/>
            <c:spPr>
              <a:solidFill>
                <a:srgbClr val="007BC4"/>
              </a:solidFill>
              <a:ln w="25400">
                <a:noFill/>
              </a:ln>
            </c:spPr>
          </c:dPt>
          <c:dLbls>
            <c:dLbl>
              <c:idx val="0"/>
              <c:layout>
                <c:manualLayout>
                  <c:x val="-3.5808374420488016E-3"/>
                  <c:y val="7.9365965448348813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35294318934432262"/>
                      <c:h val="0.20069730089708934"/>
                    </c:manualLayout>
                  </c15:layout>
                </c:ext>
              </c:extLst>
            </c:dLbl>
            <c:dLbl>
              <c:idx val="1"/>
              <c:layout>
                <c:manualLayout>
                  <c:x val="1.005999250093737E-3"/>
                  <c:y val="5.5897940642035134E-2"/>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2"/>
              <c:layout>
                <c:manualLayout>
                  <c:x val="1.5586942794180187E-3"/>
                  <c:y val="2.5927123071429914E-2"/>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7.0273580295785884E-2"/>
                  <c:y val="1.6428835060857117E-2"/>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8.3281788323199588E-2"/>
                  <c:y val="-6.0745272493925985E-4"/>
                </c:manualLayout>
              </c:layout>
              <c:showLegendKey val="0"/>
              <c:showVal val="1"/>
              <c:showCatName val="1"/>
              <c:showSerName val="0"/>
              <c:showPercent val="0"/>
              <c:showBubbleSize val="0"/>
              <c:extLst>
                <c:ext xmlns:c15="http://schemas.microsoft.com/office/drawing/2012/chart" uri="{CE6537A1-D6FC-4f65-9D91-7224C49458BB}"/>
              </c:extLst>
            </c:dLbl>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'Mode of travel'!$L$18:$L$22</c:f>
              <c:strCache>
                <c:ptCount val="5"/>
                <c:pt idx="0">
                  <c:v>Private vehicle</c:v>
                </c:pt>
                <c:pt idx="1">
                  <c:v>Walk</c:v>
                </c:pt>
                <c:pt idx="2">
                  <c:v>Other</c:v>
                </c:pt>
                <c:pt idx="3">
                  <c:v>Train</c:v>
                </c:pt>
                <c:pt idx="4">
                  <c:v>Bus</c:v>
                </c:pt>
              </c:strCache>
            </c:strRef>
          </c:cat>
          <c:val>
            <c:numRef>
              <c:f>'Mode of travel'!$M$18:$M$22</c:f>
              <c:numCache>
                <c:formatCode>0%</c:formatCode>
                <c:ptCount val="5"/>
                <c:pt idx="0">
                  <c:v>0.69032423221156325</c:v>
                </c:pt>
                <c:pt idx="1">
                  <c:v>0.17460600083697703</c:v>
                </c:pt>
                <c:pt idx="2">
                  <c:v>1.8882479048052063E-2</c:v>
                </c:pt>
                <c:pt idx="3">
                  <c:v>6.3762155458277486E-2</c:v>
                </c:pt>
                <c:pt idx="4">
                  <c:v>5.2425132445130168E-2</c:v>
                </c:pt>
              </c:numCache>
            </c:numRef>
          </c:val>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spPr>
    <a:noFill/>
    <a:ln w="6350">
      <a:noFill/>
    </a:ln>
  </c:spPr>
  <c:txPr>
    <a:bodyPr/>
    <a:lstStyle/>
    <a:p>
      <a:pPr>
        <a:defRPr sz="1100">
          <a:latin typeface="Raleway" panose="020B0003030101060003"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noFill/>
            </a:ln>
          </c:spPr>
          <c:dPt>
            <c:idx val="0"/>
            <c:bubble3D val="0"/>
            <c:spPr>
              <a:solidFill>
                <a:schemeClr val="bg1">
                  <a:lumMod val="65000"/>
                </a:schemeClr>
              </a:solidFill>
              <a:ln w="25400">
                <a:noFill/>
              </a:ln>
            </c:spPr>
          </c:dPt>
          <c:dPt>
            <c:idx val="1"/>
            <c:bubble3D val="0"/>
            <c:spPr>
              <a:solidFill>
                <a:schemeClr val="bg1">
                  <a:lumMod val="50000"/>
                </a:schemeClr>
              </a:solidFill>
              <a:ln w="25400">
                <a:noFill/>
              </a:ln>
            </c:spPr>
          </c:dPt>
          <c:dPt>
            <c:idx val="2"/>
            <c:bubble3D val="0"/>
            <c:spPr>
              <a:solidFill>
                <a:schemeClr val="bg1">
                  <a:lumMod val="85000"/>
                </a:schemeClr>
              </a:solidFill>
              <a:ln w="25400">
                <a:noFill/>
              </a:ln>
            </c:spPr>
          </c:dPt>
          <c:dPt>
            <c:idx val="3"/>
            <c:bubble3D val="0"/>
            <c:spPr>
              <a:solidFill>
                <a:schemeClr val="accent6"/>
              </a:solidFill>
              <a:ln w="25400">
                <a:noFill/>
              </a:ln>
            </c:spPr>
          </c:dPt>
          <c:dPt>
            <c:idx val="4"/>
            <c:bubble3D val="0"/>
            <c:spPr>
              <a:solidFill>
                <a:srgbClr val="007BC4"/>
              </a:solidFill>
              <a:ln w="25400">
                <a:noFill/>
              </a:ln>
            </c:spPr>
          </c:dPt>
          <c:dLbls>
            <c:dLbl>
              <c:idx val="0"/>
              <c:layout>
                <c:manualLayout>
                  <c:x val="-5.042717486401227E-3"/>
                  <c:y val="-5.3612485307225266E-3"/>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1"/>
              <c:layout>
                <c:manualLayout>
                  <c:x val="-7.8966868271900803E-3"/>
                  <c:y val="2.5139985016597994E-2"/>
                </c:manualLayout>
              </c:layout>
              <c:dLblPos val="bestFit"/>
              <c:showLegendKey val="0"/>
              <c:showVal val="1"/>
              <c:showCatName val="1"/>
              <c:showSerName val="0"/>
              <c:showPercent val="0"/>
              <c:showBubbleSize val="0"/>
              <c:extLst>
                <c:ext xmlns:c15="http://schemas.microsoft.com/office/drawing/2012/chart" uri="{CE6537A1-D6FC-4f65-9D91-7224C49458BB}"/>
              </c:extLst>
            </c:dLbl>
            <c:dLbl>
              <c:idx val="2"/>
              <c:layout>
                <c:manualLayout>
                  <c:x val="-1.1967895317433147E-2"/>
                  <c:y val="4.6432400315168113E-2"/>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1070391591993714"/>
                  <c:y val="2.5661559339152084E-4"/>
                </c:manualLayout>
              </c:layout>
              <c:showLegendKey val="0"/>
              <c:showVal val="1"/>
              <c:showCatName val="1"/>
              <c:showSerName val="0"/>
              <c:showPercent val="0"/>
              <c:showBubbleSize val="0"/>
              <c:extLst>
                <c:ext xmlns:c15="http://schemas.microsoft.com/office/drawing/2012/chart" uri="{CE6537A1-D6FC-4f65-9D91-7224C49458BB}">
                  <c15:layout>
                    <c:manualLayout>
                      <c:w val="0.33000059162686629"/>
                      <c:h val="0.19803149606299214"/>
                    </c:manualLayout>
                  </c15:layout>
                </c:ext>
              </c:extLst>
            </c:dLbl>
            <c:dLbl>
              <c:idx val="4"/>
              <c:layout>
                <c:manualLayout>
                  <c:x val="-3.1282137196025619E-3"/>
                  <c:y val="1.2708924510927781E-2"/>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9.5239073376697472E-2"/>
                  <c:y val="1.2495519510714424E-2"/>
                </c:manualLayout>
              </c:layout>
              <c:numFmt formatCode="0.0%" sourceLinked="0"/>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9487922705314009"/>
                      <c:h val="0.15848055709838668"/>
                    </c:manualLayout>
                  </c15:layout>
                </c:ext>
              </c:extLst>
            </c:dLbl>
            <c:spPr>
              <a:noFill/>
              <a:ln w="25400">
                <a:noFill/>
              </a:ln>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'Mode of travel'!$B$18:$B$21</c:f>
              <c:strCache>
                <c:ptCount val="4"/>
                <c:pt idx="0">
                  <c:v>Private vehicle</c:v>
                </c:pt>
                <c:pt idx="1">
                  <c:v>Walk</c:v>
                </c:pt>
                <c:pt idx="2">
                  <c:v>Other</c:v>
                </c:pt>
                <c:pt idx="3">
                  <c:v>Public transport</c:v>
                </c:pt>
              </c:strCache>
            </c:strRef>
          </c:cat>
          <c:val>
            <c:numRef>
              <c:f>'Mode of travel'!$C$18:$C$21</c:f>
              <c:numCache>
                <c:formatCode>0%</c:formatCode>
                <c:ptCount val="4"/>
                <c:pt idx="0">
                  <c:v>0.69032423221156325</c:v>
                </c:pt>
                <c:pt idx="1">
                  <c:v>0.17460600083697703</c:v>
                </c:pt>
                <c:pt idx="2">
                  <c:v>1.4315176495966862E-2</c:v>
                </c:pt>
                <c:pt idx="3">
                  <c:v>0.12075459045549286</c:v>
                </c:pt>
              </c:numCache>
            </c:numRef>
          </c:val>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spPr>
    <a:noFill/>
    <a:ln w="6350">
      <a:noFill/>
    </a:ln>
  </c:spPr>
  <c:txPr>
    <a:bodyPr/>
    <a:lstStyle/>
    <a:p>
      <a:pPr>
        <a:defRPr sz="1100">
          <a:latin typeface="Raleway" panose="020B0003030101060003"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162234238792441"/>
          <c:y val="6.2004921259842513E-2"/>
          <c:w val="0.50566596389125862"/>
          <c:h val="0.88848978288633462"/>
        </c:manualLayout>
      </c:layout>
      <c:barChart>
        <c:barDir val="bar"/>
        <c:grouping val="clustered"/>
        <c:varyColors val="0"/>
        <c:ser>
          <c:idx val="0"/>
          <c:order val="0"/>
          <c:spPr>
            <a:solidFill>
              <a:schemeClr val="bg1">
                <a:lumMod val="75000"/>
                <a:alpha val="43000"/>
              </a:schemeClr>
            </a:solidFill>
            <a:ln>
              <a:noFill/>
            </a:ln>
            <a:effectLst/>
          </c:spPr>
          <c:invertIfNegative val="0"/>
          <c:dPt>
            <c:idx val="0"/>
            <c:invertIfNegative val="0"/>
            <c:bubble3D val="0"/>
            <c:spPr>
              <a:solidFill>
                <a:schemeClr val="bg1">
                  <a:lumMod val="75000"/>
                  <a:alpha val="43000"/>
                </a:schemeClr>
              </a:solidFill>
              <a:ln>
                <a:noFill/>
              </a:ln>
              <a:effectLst/>
            </c:spPr>
          </c:dPt>
          <c:dPt>
            <c:idx val="1"/>
            <c:invertIfNegative val="0"/>
            <c:bubble3D val="0"/>
            <c:spPr>
              <a:solidFill>
                <a:schemeClr val="bg1">
                  <a:lumMod val="75000"/>
                  <a:alpha val="43000"/>
                </a:schemeClr>
              </a:solidFill>
              <a:ln>
                <a:noFill/>
              </a:ln>
              <a:effectLst/>
            </c:spPr>
          </c:dPt>
          <c:dPt>
            <c:idx val="2"/>
            <c:invertIfNegative val="0"/>
            <c:bubble3D val="0"/>
            <c:spPr>
              <a:solidFill>
                <a:schemeClr val="accent6"/>
              </a:solidFill>
              <a:ln>
                <a:noFill/>
              </a:ln>
              <a:effectLst/>
            </c:spPr>
          </c:dPt>
          <c:dPt>
            <c:idx val="3"/>
            <c:invertIfNegative val="0"/>
            <c:bubble3D val="0"/>
            <c:spPr>
              <a:solidFill>
                <a:schemeClr val="bg1">
                  <a:lumMod val="75000"/>
                  <a:alpha val="43000"/>
                </a:schemeClr>
              </a:solidFill>
              <a:ln>
                <a:noFill/>
              </a:ln>
              <a:effectLst/>
            </c:spPr>
          </c:dPt>
          <c:dPt>
            <c:idx val="4"/>
            <c:invertIfNegative val="0"/>
            <c:bubble3D val="0"/>
            <c:spPr>
              <a:solidFill>
                <a:schemeClr val="bg1">
                  <a:lumMod val="75000"/>
                  <a:alpha val="43000"/>
                </a:schemeClr>
              </a:solidFill>
              <a:ln>
                <a:noFill/>
              </a:ln>
              <a:effectLst/>
            </c:spPr>
          </c:dPt>
          <c:dPt>
            <c:idx val="5"/>
            <c:invertIfNegative val="0"/>
            <c:bubble3D val="0"/>
            <c:spPr>
              <a:solidFill>
                <a:schemeClr val="bg1">
                  <a:lumMod val="75000"/>
                  <a:alpha val="43000"/>
                </a:schemeClr>
              </a:solidFill>
              <a:ln>
                <a:noFill/>
              </a:ln>
              <a:effectLst/>
            </c:spPr>
          </c:dPt>
          <c:dLbls>
            <c:dLbl>
              <c:idx val="2"/>
              <c:layout>
                <c:manualLayout>
                  <c:x val="-1.896862499516043E-2"/>
                  <c:y val="3.8637164926975717E-3"/>
                </c:manualLayout>
              </c:layout>
              <c:tx>
                <c:rich>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Raleway" panose="020B0003030101060003" pitchFamily="34" charset="0"/>
                        <a:ea typeface="+mn-ea"/>
                        <a:cs typeface="+mn-cs"/>
                      </a:defRPr>
                    </a:pPr>
                    <a:fld id="{BA67EE8E-961C-40E5-8D6E-A0EEA666FFCD}" type="VALUE">
                      <a:rPr lang="en-US" sz="1600" b="1">
                        <a:solidFill>
                          <a:schemeClr val="accent6"/>
                        </a:solidFill>
                      </a:rPr>
                      <a:pPr>
                        <a:defRPr sz="1600">
                          <a:latin typeface="Raleway" panose="020B0003030101060003" pitchFamily="34" charset="0"/>
                        </a:defRPr>
                      </a:pPr>
                      <a:t>[VALUE]</a:t>
                    </a:fld>
                    <a:endParaRPr lang="en-AU"/>
                  </a:p>
                </c:rich>
              </c:tx>
              <c:numFmt formatCode="&quot;$&quot;#,##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0.23015826597063394"/>
                      <c:h val="0.1217667557021042"/>
                    </c:manualLayout>
                  </c15:layout>
                  <c15:dlblFieldTable/>
                  <c15:showDataLabelsRange val="0"/>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'Taxpayer spending'!$M$35:$M$41</c15:sqref>
                  </c15:fullRef>
                </c:ext>
              </c:extLst>
              <c:f>'Taxpayer spending'!$M$35:$M$40</c:f>
              <c:strCache>
                <c:ptCount val="6"/>
                <c:pt idx="0">
                  <c:v>Health</c:v>
                </c:pt>
                <c:pt idx="1">
                  <c:v>Education</c:v>
                </c:pt>
                <c:pt idx="2">
                  <c:v>Public Transport</c:v>
                </c:pt>
                <c:pt idx="3">
                  <c:v>Roads</c:v>
                </c:pt>
                <c:pt idx="4">
                  <c:v>Justice</c:v>
                </c:pt>
                <c:pt idx="5">
                  <c:v>Social protection</c:v>
                </c:pt>
              </c:strCache>
            </c:strRef>
          </c:cat>
          <c:val>
            <c:numRef>
              <c:extLst>
                <c:ext xmlns:c15="http://schemas.microsoft.com/office/drawing/2012/chart" uri="{02D57815-91ED-43cb-92C2-25804820EDAC}">
                  <c15:fullRef>
                    <c15:sqref>'Taxpayer spending'!$N$35:$N$41</c15:sqref>
                  </c15:fullRef>
                </c:ext>
              </c:extLst>
              <c:f>'Taxpayer spending'!$N$35:$N$40</c:f>
              <c:numCache>
                <c:formatCode>_-"$"* #,##0_-;\-"$"* #,##0_-;_-"$"* "-"??_-;_-@_-</c:formatCode>
                <c:ptCount val="6"/>
                <c:pt idx="0">
                  <c:v>9300</c:v>
                </c:pt>
                <c:pt idx="1">
                  <c:v>7400</c:v>
                </c:pt>
                <c:pt idx="2">
                  <c:v>4900</c:v>
                </c:pt>
                <c:pt idx="3">
                  <c:v>4600</c:v>
                </c:pt>
                <c:pt idx="4">
                  <c:v>3500</c:v>
                </c:pt>
                <c:pt idx="5">
                  <c:v>2800</c:v>
                </c:pt>
              </c:numCache>
            </c:numRef>
          </c:val>
          <c:extLst>
            <c:ext xmlns:c15="http://schemas.microsoft.com/office/drawing/2012/chart" uri="{02D57815-91ED-43cb-92C2-25804820EDAC}">
              <c15:categoryFilterExceptions>
                <c15:categoryFilterException>
                  <c15:sqref>'Taxpayer spending'!$N$41</c15:sqref>
                  <c15:spPr xmlns:c15="http://schemas.microsoft.com/office/drawing/2012/chart">
                    <a:solidFill>
                      <a:schemeClr val="bg1">
                        <a:lumMod val="75000"/>
                        <a:alpha val="43000"/>
                      </a:schemeClr>
                    </a:solidFill>
                    <a:ln>
                      <a:noFill/>
                    </a:ln>
                    <a:effectLst/>
                  </c15:spPr>
                  <c15:invertIfNegative val="0"/>
                  <c15:bubble3D val="0"/>
                </c15:categoryFilterException>
              </c15:categoryFilterExceptions>
            </c:ext>
          </c:extLst>
        </c:ser>
        <c:dLbls>
          <c:dLblPos val="outEnd"/>
          <c:showLegendKey val="0"/>
          <c:showVal val="1"/>
          <c:showCatName val="0"/>
          <c:showSerName val="0"/>
          <c:showPercent val="0"/>
          <c:showBubbleSize val="0"/>
        </c:dLbls>
        <c:gapWidth val="60"/>
        <c:axId val="565824080"/>
        <c:axId val="565829568"/>
      </c:barChart>
      <c:catAx>
        <c:axId val="565824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Raleway" panose="020B0003030101060003" pitchFamily="34" charset="0"/>
                <a:ea typeface="+mn-ea"/>
                <a:cs typeface="+mn-cs"/>
              </a:defRPr>
            </a:pPr>
            <a:endParaRPr lang="en-US"/>
          </a:p>
        </c:txPr>
        <c:crossAx val="565829568"/>
        <c:crosses val="autoZero"/>
        <c:auto val="1"/>
        <c:lblAlgn val="ctr"/>
        <c:lblOffset val="100"/>
        <c:noMultiLvlLbl val="0"/>
      </c:catAx>
      <c:valAx>
        <c:axId val="565829568"/>
        <c:scaling>
          <c:orientation val="minMax"/>
        </c:scaling>
        <c:delete val="1"/>
        <c:axPos val="b"/>
        <c:numFmt formatCode="_-&quot;$&quot;* #,##0_-;\-&quot;$&quot;* #,##0_-;_-&quot;$&quot;* &quot;-&quot;??_-;_-@_-" sourceLinked="1"/>
        <c:majorTickMark val="none"/>
        <c:minorTickMark val="none"/>
        <c:tickLblPos val="nextTo"/>
        <c:crossAx val="565824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800">
          <a:latin typeface="Arial" panose="020B0604020202020204" pitchFamily="34" charset="0"/>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64829396325463E-2"/>
          <c:y val="3.2130572020780686E-2"/>
          <c:w val="0.90571850393700792"/>
          <c:h val="0.64908264030408291"/>
        </c:manualLayout>
      </c:layout>
      <c:barChart>
        <c:barDir val="col"/>
        <c:grouping val="clustered"/>
        <c:varyColors val="0"/>
        <c:ser>
          <c:idx val="0"/>
          <c:order val="0"/>
          <c:tx>
            <c:strRef>
              <c:f>'Historical fare comparison'!$F$142</c:f>
              <c:strCache>
                <c:ptCount val="1"/>
                <c:pt idx="0">
                  <c:v>2009</c:v>
                </c:pt>
              </c:strCache>
            </c:strRef>
          </c:tx>
          <c:spPr>
            <a:solidFill>
              <a:schemeClr val="bg1">
                <a:lumMod val="75000"/>
              </a:schemeClr>
            </a:solidFill>
            <a:ln>
              <a:noFill/>
            </a:ln>
            <a:effectLst/>
          </c:spPr>
          <c:invertIfNegative val="0"/>
          <c:cat>
            <c:strRef>
              <c:f>'Historical fare comparison'!$B$143:$B$152</c:f>
              <c:strCache>
                <c:ptCount val="10"/>
                <c:pt idx="0">
                  <c:v>North Sydney</c:v>
                </c:pt>
                <c:pt idx="1">
                  <c:v>Strathfield</c:v>
                </c:pt>
                <c:pt idx="2">
                  <c:v>Parramatta</c:v>
                </c:pt>
                <c:pt idx="3">
                  <c:v>Gosford</c:v>
                </c:pt>
                <c:pt idx="4">
                  <c:v>Katoomba</c:v>
                </c:pt>
                <c:pt idx="5">
                  <c:v>Newcastle</c:v>
                </c:pt>
                <c:pt idx="6">
                  <c:v>Blakehurst to Hurstville</c:v>
                </c:pt>
                <c:pt idx="7">
                  <c:v>Brookvale to city</c:v>
                </c:pt>
                <c:pt idx="8">
                  <c:v>Rose Bay to Circular Quay</c:v>
                </c:pt>
                <c:pt idx="9">
                  <c:v>Manly to Circular Quay</c:v>
                </c:pt>
              </c:strCache>
            </c:strRef>
          </c:cat>
          <c:val>
            <c:numRef>
              <c:f>'Historical fare comparison'!$F$143:$F$152</c:f>
              <c:numCache>
                <c:formatCode>#,##0.00_ ;\-#,##0.00\ </c:formatCode>
                <c:ptCount val="10"/>
                <c:pt idx="0">
                  <c:v>4.1896076352067881</c:v>
                </c:pt>
                <c:pt idx="1">
                  <c:v>4.6825026511134693</c:v>
                </c:pt>
                <c:pt idx="2">
                  <c:v>5.9147401908801713</c:v>
                </c:pt>
                <c:pt idx="3">
                  <c:v>10.597242841993641</c:v>
                </c:pt>
                <c:pt idx="4">
                  <c:v>15.033297985153769</c:v>
                </c:pt>
                <c:pt idx="5">
                  <c:v>22.180275715800644</c:v>
                </c:pt>
                <c:pt idx="6">
                  <c:v>2.3412513255567347</c:v>
                </c:pt>
                <c:pt idx="7">
                  <c:v>6.1611876988335119</c:v>
                </c:pt>
                <c:pt idx="8">
                  <c:v>6.4076352067868534</c:v>
                </c:pt>
                <c:pt idx="9">
                  <c:v>7.886320254506896</c:v>
                </c:pt>
              </c:numCache>
            </c:numRef>
          </c:val>
        </c:ser>
        <c:ser>
          <c:idx val="1"/>
          <c:order val="1"/>
          <c:tx>
            <c:strRef>
              <c:f>'Historical fare comparison'!$G$142</c:f>
              <c:strCache>
                <c:ptCount val="1"/>
                <c:pt idx="0">
                  <c:v>2019</c:v>
                </c:pt>
              </c:strCache>
            </c:strRef>
          </c:tx>
          <c:spPr>
            <a:solidFill>
              <a:srgbClr val="F68B1F"/>
            </a:solidFill>
            <a:ln>
              <a:noFill/>
            </a:ln>
            <a:effectLst/>
          </c:spPr>
          <c:invertIfNegative val="0"/>
          <c:dPt>
            <c:idx val="6"/>
            <c:invertIfNegative val="0"/>
            <c:bubble3D val="0"/>
            <c:spPr>
              <a:solidFill>
                <a:schemeClr val="accent2"/>
              </a:solidFill>
              <a:ln>
                <a:noFill/>
              </a:ln>
              <a:effectLst/>
            </c:spPr>
          </c:dPt>
          <c:dPt>
            <c:idx val="7"/>
            <c:invertIfNegative val="0"/>
            <c:bubble3D val="0"/>
            <c:spPr>
              <a:solidFill>
                <a:schemeClr val="accent2"/>
              </a:solidFill>
              <a:ln>
                <a:noFill/>
              </a:ln>
              <a:effectLst/>
            </c:spPr>
          </c:dPt>
          <c:dPt>
            <c:idx val="8"/>
            <c:invertIfNegative val="0"/>
            <c:bubble3D val="0"/>
            <c:spPr>
              <a:solidFill>
                <a:srgbClr val="46B849"/>
              </a:solidFill>
              <a:ln>
                <a:noFill/>
              </a:ln>
              <a:effectLst/>
            </c:spPr>
          </c:dPt>
          <c:dPt>
            <c:idx val="9"/>
            <c:invertIfNegative val="0"/>
            <c:bubble3D val="0"/>
            <c:spPr>
              <a:solidFill>
                <a:srgbClr val="46B849"/>
              </a:solidFill>
              <a:ln>
                <a:noFill/>
              </a:ln>
              <a:effectLst/>
            </c:spPr>
          </c:dPt>
          <c:cat>
            <c:strRef>
              <c:f>'Historical fare comparison'!$B$143:$B$152</c:f>
              <c:strCache>
                <c:ptCount val="10"/>
                <c:pt idx="0">
                  <c:v>North Sydney</c:v>
                </c:pt>
                <c:pt idx="1">
                  <c:v>Strathfield</c:v>
                </c:pt>
                <c:pt idx="2">
                  <c:v>Parramatta</c:v>
                </c:pt>
                <c:pt idx="3">
                  <c:v>Gosford</c:v>
                </c:pt>
                <c:pt idx="4">
                  <c:v>Katoomba</c:v>
                </c:pt>
                <c:pt idx="5">
                  <c:v>Newcastle</c:v>
                </c:pt>
                <c:pt idx="6">
                  <c:v>Blakehurst to Hurstville</c:v>
                </c:pt>
                <c:pt idx="7">
                  <c:v>Brookvale to city</c:v>
                </c:pt>
                <c:pt idx="8">
                  <c:v>Rose Bay to Circular Quay</c:v>
                </c:pt>
                <c:pt idx="9">
                  <c:v>Manly to Circular Quay</c:v>
                </c:pt>
              </c:strCache>
            </c:strRef>
          </c:cat>
          <c:val>
            <c:numRef>
              <c:f>'Historical fare comparison'!$G$143:$G$152</c:f>
              <c:numCache>
                <c:formatCode>#,##0.00_ ;\-#,##0.00\ </c:formatCode>
                <c:ptCount val="10"/>
                <c:pt idx="0">
                  <c:v>3.61</c:v>
                </c:pt>
                <c:pt idx="1">
                  <c:v>4.4800000000000004</c:v>
                </c:pt>
                <c:pt idx="2">
                  <c:v>5.15</c:v>
                </c:pt>
                <c:pt idx="3">
                  <c:v>8.86</c:v>
                </c:pt>
                <c:pt idx="4">
                  <c:v>8.86</c:v>
                </c:pt>
                <c:pt idx="5">
                  <c:v>8.86</c:v>
                </c:pt>
                <c:pt idx="6">
                  <c:v>2.2400000000000002</c:v>
                </c:pt>
                <c:pt idx="7">
                  <c:v>4.8</c:v>
                </c:pt>
                <c:pt idx="8">
                  <c:v>6.12</c:v>
                </c:pt>
                <c:pt idx="9">
                  <c:v>7.65</c:v>
                </c:pt>
              </c:numCache>
            </c:numRef>
          </c:val>
        </c:ser>
        <c:dLbls>
          <c:showLegendKey val="0"/>
          <c:showVal val="0"/>
          <c:showCatName val="0"/>
          <c:showSerName val="0"/>
          <c:showPercent val="0"/>
          <c:showBubbleSize val="0"/>
        </c:dLbls>
        <c:gapWidth val="90"/>
        <c:overlap val="-13"/>
        <c:axId val="565828784"/>
        <c:axId val="565829176"/>
      </c:barChart>
      <c:catAx>
        <c:axId val="5658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003030101060003" pitchFamily="34" charset="0"/>
                <a:ea typeface="+mn-ea"/>
                <a:cs typeface="Arial" panose="020B0604020202020204" pitchFamily="34" charset="0"/>
              </a:defRPr>
            </a:pPr>
            <a:endParaRPr lang="en-US"/>
          </a:p>
        </c:txPr>
        <c:crossAx val="565829176"/>
        <c:crosses val="autoZero"/>
        <c:auto val="1"/>
        <c:lblAlgn val="ctr"/>
        <c:lblOffset val="100"/>
        <c:noMultiLvlLbl val="0"/>
      </c:catAx>
      <c:valAx>
        <c:axId val="565829176"/>
        <c:scaling>
          <c:orientation val="minMax"/>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003030101060003" pitchFamily="34" charset="0"/>
                <a:ea typeface="+mn-ea"/>
                <a:cs typeface="Arial" panose="020B0604020202020204" pitchFamily="34" charset="0"/>
              </a:defRPr>
            </a:pPr>
            <a:endParaRPr lang="en-US"/>
          </a:p>
        </c:txPr>
        <c:crossAx val="565828784"/>
        <c:crosses val="autoZero"/>
        <c:crossBetween val="between"/>
      </c:valAx>
      <c:spPr>
        <a:noFill/>
        <a:ln>
          <a:noFill/>
        </a:ln>
        <a:effectLst/>
      </c:spPr>
    </c:plotArea>
    <c:legend>
      <c:legendPos val="b"/>
      <c:layout>
        <c:manualLayout>
          <c:xMode val="edge"/>
          <c:yMode val="edge"/>
          <c:x val="0.7766829305133619"/>
          <c:y val="0.92543917097246697"/>
          <c:w val="0.22331711128277137"/>
          <c:h val="5.131283220365131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003030101060003"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35613693926196E-2"/>
          <c:y val="6.2374912515501639E-2"/>
          <c:w val="0.91146063211923334"/>
          <c:h val="0.72068094808827599"/>
        </c:manualLayout>
      </c:layout>
      <c:scatterChart>
        <c:scatterStyle val="lineMarker"/>
        <c:varyColors val="0"/>
        <c:ser>
          <c:idx val="0"/>
          <c:order val="0"/>
          <c:tx>
            <c:v>2009</c:v>
          </c:tx>
          <c:spPr>
            <a:ln w="19050" cap="rnd">
              <a:solidFill>
                <a:schemeClr val="accent4"/>
              </a:solidFill>
              <a:round/>
            </a:ln>
            <a:effectLst/>
          </c:spPr>
          <c:marker>
            <c:symbol val="none"/>
          </c:marker>
          <c:xVal>
            <c:numRef>
              <c:f>'Historical fare comparison'!$E$109:$E$123</c:f>
              <c:numCache>
                <c:formatCode>General</c:formatCode>
                <c:ptCount val="15"/>
                <c:pt idx="0">
                  <c:v>0</c:v>
                </c:pt>
                <c:pt idx="1">
                  <c:v>5</c:v>
                </c:pt>
                <c:pt idx="2">
                  <c:v>10</c:v>
                </c:pt>
                <c:pt idx="3">
                  <c:v>15</c:v>
                </c:pt>
                <c:pt idx="4">
                  <c:v>20</c:v>
                </c:pt>
                <c:pt idx="5">
                  <c:v>25</c:v>
                </c:pt>
                <c:pt idx="6">
                  <c:v>30</c:v>
                </c:pt>
                <c:pt idx="7">
                  <c:v>35</c:v>
                </c:pt>
                <c:pt idx="8">
                  <c:v>45</c:v>
                </c:pt>
                <c:pt idx="9">
                  <c:v>55</c:v>
                </c:pt>
                <c:pt idx="10">
                  <c:v>65</c:v>
                </c:pt>
                <c:pt idx="11">
                  <c:v>75</c:v>
                </c:pt>
                <c:pt idx="12">
                  <c:v>85</c:v>
                </c:pt>
                <c:pt idx="13">
                  <c:v>95</c:v>
                </c:pt>
                <c:pt idx="14">
                  <c:v>105</c:v>
                </c:pt>
              </c:numCache>
            </c:numRef>
          </c:xVal>
          <c:yVal>
            <c:numRef>
              <c:f>'Historical fare comparison'!$F$109:$F$123</c:f>
              <c:numCache>
                <c:formatCode>_("$"* #,##0.00_);_("$"* \(#,##0.00\);_("$"* "-"??_);_(@_)</c:formatCode>
                <c:ptCount val="15"/>
                <c:pt idx="0">
                  <c:v>3.943160127253448</c:v>
                </c:pt>
                <c:pt idx="1">
                  <c:v>4.1896076352067881</c:v>
                </c:pt>
                <c:pt idx="2">
                  <c:v>4.6825026511134693</c:v>
                </c:pt>
                <c:pt idx="3">
                  <c:v>4.9289501590668099</c:v>
                </c:pt>
                <c:pt idx="4">
                  <c:v>5.4218451749734911</c:v>
                </c:pt>
                <c:pt idx="5">
                  <c:v>5.9147401908801713</c:v>
                </c:pt>
                <c:pt idx="6">
                  <c:v>6.1611876988335119</c:v>
                </c:pt>
                <c:pt idx="7">
                  <c:v>6.9005302226935337</c:v>
                </c:pt>
                <c:pt idx="8">
                  <c:v>8.1327677624602366</c:v>
                </c:pt>
                <c:pt idx="9">
                  <c:v>8.8721102863202574</c:v>
                </c:pt>
                <c:pt idx="10">
                  <c:v>10.597242841993641</c:v>
                </c:pt>
                <c:pt idx="11">
                  <c:v>11.829480381760343</c:v>
                </c:pt>
                <c:pt idx="12">
                  <c:v>13.061717921527046</c:v>
                </c:pt>
                <c:pt idx="13">
                  <c:v>13.554612937433728</c:v>
                </c:pt>
                <c:pt idx="14">
                  <c:v>15.033297985153769</c:v>
                </c:pt>
              </c:numCache>
            </c:numRef>
          </c:yVal>
          <c:smooth val="0"/>
        </c:ser>
        <c:ser>
          <c:idx val="1"/>
          <c:order val="1"/>
          <c:tx>
            <c:v>Current 2019</c:v>
          </c:tx>
          <c:spPr>
            <a:ln w="19050" cap="rnd">
              <a:solidFill>
                <a:schemeClr val="tx2"/>
              </a:solidFill>
              <a:round/>
            </a:ln>
            <a:effectLst/>
          </c:spPr>
          <c:marker>
            <c:symbol val="none"/>
          </c:marker>
          <c:xVal>
            <c:numRef>
              <c:f>'Historical fare comparison'!$E$109:$E$123</c:f>
              <c:numCache>
                <c:formatCode>General</c:formatCode>
                <c:ptCount val="15"/>
                <c:pt idx="0">
                  <c:v>0</c:v>
                </c:pt>
                <c:pt idx="1">
                  <c:v>5</c:v>
                </c:pt>
                <c:pt idx="2">
                  <c:v>10</c:v>
                </c:pt>
                <c:pt idx="3">
                  <c:v>15</c:v>
                </c:pt>
                <c:pt idx="4">
                  <c:v>20</c:v>
                </c:pt>
                <c:pt idx="5">
                  <c:v>25</c:v>
                </c:pt>
                <c:pt idx="6">
                  <c:v>30</c:v>
                </c:pt>
                <c:pt idx="7">
                  <c:v>35</c:v>
                </c:pt>
                <c:pt idx="8">
                  <c:v>45</c:v>
                </c:pt>
                <c:pt idx="9">
                  <c:v>55</c:v>
                </c:pt>
                <c:pt idx="10">
                  <c:v>65</c:v>
                </c:pt>
                <c:pt idx="11">
                  <c:v>75</c:v>
                </c:pt>
                <c:pt idx="12">
                  <c:v>85</c:v>
                </c:pt>
                <c:pt idx="13">
                  <c:v>95</c:v>
                </c:pt>
                <c:pt idx="14">
                  <c:v>105</c:v>
                </c:pt>
              </c:numCache>
            </c:numRef>
          </c:xVal>
          <c:yVal>
            <c:numRef>
              <c:f>'Historical fare comparison'!$G$109:$G$123</c:f>
              <c:numCache>
                <c:formatCode>"$"#,##0.00_);[Red]\("$"#,##0.00\)</c:formatCode>
                <c:ptCount val="15"/>
                <c:pt idx="0">
                  <c:v>3.61</c:v>
                </c:pt>
                <c:pt idx="1">
                  <c:v>3.61</c:v>
                </c:pt>
                <c:pt idx="2">
                  <c:v>4.4800000000000004</c:v>
                </c:pt>
                <c:pt idx="3">
                  <c:v>4.4800000000000004</c:v>
                </c:pt>
                <c:pt idx="4">
                  <c:v>5.15</c:v>
                </c:pt>
                <c:pt idx="5">
                  <c:v>5.15</c:v>
                </c:pt>
                <c:pt idx="6">
                  <c:v>5.15</c:v>
                </c:pt>
                <c:pt idx="7">
                  <c:v>6.89</c:v>
                </c:pt>
                <c:pt idx="8">
                  <c:v>6.89</c:v>
                </c:pt>
                <c:pt idx="9">
                  <c:v>6.89</c:v>
                </c:pt>
                <c:pt idx="10">
                  <c:v>8.86</c:v>
                </c:pt>
                <c:pt idx="11">
                  <c:v>8.86</c:v>
                </c:pt>
                <c:pt idx="12">
                  <c:v>8.86</c:v>
                </c:pt>
                <c:pt idx="13">
                  <c:v>8.86</c:v>
                </c:pt>
                <c:pt idx="14">
                  <c:v>8.86</c:v>
                </c:pt>
              </c:numCache>
            </c:numRef>
          </c:yVal>
          <c:smooth val="0"/>
        </c:ser>
        <c:ser>
          <c:idx val="2"/>
          <c:order val="2"/>
          <c:tx>
            <c:v>Determined 2024</c:v>
          </c:tx>
          <c:spPr>
            <a:ln w="31750" cap="rnd">
              <a:solidFill>
                <a:schemeClr val="accent6"/>
              </a:solidFill>
              <a:prstDash val="sysDash"/>
              <a:round/>
            </a:ln>
            <a:effectLst/>
          </c:spPr>
          <c:marker>
            <c:symbol val="none"/>
          </c:marker>
          <c:xVal>
            <c:numRef>
              <c:f>'Historical fare comparison'!$E$109:$E$123</c:f>
              <c:numCache>
                <c:formatCode>General</c:formatCode>
                <c:ptCount val="15"/>
                <c:pt idx="0">
                  <c:v>0</c:v>
                </c:pt>
                <c:pt idx="1">
                  <c:v>5</c:v>
                </c:pt>
                <c:pt idx="2">
                  <c:v>10</c:v>
                </c:pt>
                <c:pt idx="3">
                  <c:v>15</c:v>
                </c:pt>
                <c:pt idx="4">
                  <c:v>20</c:v>
                </c:pt>
                <c:pt idx="5">
                  <c:v>25</c:v>
                </c:pt>
                <c:pt idx="6">
                  <c:v>30</c:v>
                </c:pt>
                <c:pt idx="7">
                  <c:v>35</c:v>
                </c:pt>
                <c:pt idx="8">
                  <c:v>45</c:v>
                </c:pt>
                <c:pt idx="9">
                  <c:v>55</c:v>
                </c:pt>
                <c:pt idx="10">
                  <c:v>65</c:v>
                </c:pt>
                <c:pt idx="11">
                  <c:v>75</c:v>
                </c:pt>
                <c:pt idx="12">
                  <c:v>85</c:v>
                </c:pt>
                <c:pt idx="13">
                  <c:v>95</c:v>
                </c:pt>
                <c:pt idx="14">
                  <c:v>105</c:v>
                </c:pt>
              </c:numCache>
            </c:numRef>
          </c:xVal>
          <c:yVal>
            <c:numRef>
              <c:f>'Historical fare comparison'!$H$109:$H$123</c:f>
              <c:numCache>
                <c:formatCode>"$"#,##0.00</c:formatCode>
                <c:ptCount val="15"/>
                <c:pt idx="0">
                  <c:v>4.0135927387494066</c:v>
                </c:pt>
                <c:pt idx="1">
                  <c:v>4.0135927387494066</c:v>
                </c:pt>
                <c:pt idx="2">
                  <c:v>4.9257729066469986</c:v>
                </c:pt>
                <c:pt idx="3">
                  <c:v>4.9257729066469986</c:v>
                </c:pt>
                <c:pt idx="4">
                  <c:v>5.7467350577548313</c:v>
                </c:pt>
                <c:pt idx="5">
                  <c:v>5.7467350577548313</c:v>
                </c:pt>
                <c:pt idx="6">
                  <c:v>5.7467350577548313</c:v>
                </c:pt>
                <c:pt idx="7">
                  <c:v>7.5710953935500171</c:v>
                </c:pt>
                <c:pt idx="8">
                  <c:v>7.5710953935500171</c:v>
                </c:pt>
                <c:pt idx="9">
                  <c:v>7.5710953935500171</c:v>
                </c:pt>
                <c:pt idx="10">
                  <c:v>9.760327796504237</c:v>
                </c:pt>
                <c:pt idx="11">
                  <c:v>9.760327796504237</c:v>
                </c:pt>
                <c:pt idx="12">
                  <c:v>9.760327796504237</c:v>
                </c:pt>
                <c:pt idx="13">
                  <c:v>9.760327796504237</c:v>
                </c:pt>
                <c:pt idx="14">
                  <c:v>9.760327796504237</c:v>
                </c:pt>
              </c:numCache>
            </c:numRef>
          </c:yVal>
          <c:smooth val="0"/>
        </c:ser>
        <c:dLbls>
          <c:showLegendKey val="0"/>
          <c:showVal val="0"/>
          <c:showCatName val="0"/>
          <c:showSerName val="0"/>
          <c:showPercent val="0"/>
          <c:showBubbleSize val="0"/>
        </c:dLbls>
        <c:axId val="565826040"/>
        <c:axId val="565817416"/>
      </c:scatterChart>
      <c:valAx>
        <c:axId val="565826040"/>
        <c:scaling>
          <c:orientation val="minMax"/>
          <c:max val="120"/>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r>
                  <a:rPr lang="en-AU"/>
                  <a:t>kms</a:t>
                </a:r>
                <a:r>
                  <a:rPr lang="en-AU" baseline="0"/>
                  <a:t> travelled</a:t>
                </a:r>
                <a:endParaRPr lang="en-AU"/>
              </a:p>
            </c:rich>
          </c:tx>
          <c:layout>
            <c:manualLayout>
              <c:xMode val="edge"/>
              <c:yMode val="edge"/>
              <c:x val="0.77164441725184296"/>
              <c:y val="0.8744000056539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17416"/>
        <c:crosses val="autoZero"/>
        <c:crossBetween val="midCat"/>
      </c:valAx>
      <c:valAx>
        <c:axId val="56581741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26040"/>
        <c:crosses val="autoZero"/>
        <c:crossBetween val="midCat"/>
        <c:majorUnit val="5"/>
      </c:valAx>
      <c:spPr>
        <a:noFill/>
        <a:ln>
          <a:noFill/>
        </a:ln>
        <a:effectLst/>
      </c:spPr>
    </c:plotArea>
    <c:legend>
      <c:legendPos val="b"/>
      <c:layout>
        <c:manualLayout>
          <c:xMode val="edge"/>
          <c:yMode val="edge"/>
          <c:x val="3.1469306768964052E-4"/>
          <c:y val="0.92028948428544166"/>
          <c:w val="0.69223035890771245"/>
          <c:h val="6.534938124147483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50">
          <a:latin typeface="Raleway" panose="020B05030301010600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78993133109637E-2"/>
          <c:y val="5.1803622111313084E-2"/>
          <c:w val="0.91712323224292369"/>
          <c:h val="0.73375896855116896"/>
        </c:manualLayout>
      </c:layout>
      <c:lineChart>
        <c:grouping val="standard"/>
        <c:varyColors val="0"/>
        <c:ser>
          <c:idx val="0"/>
          <c:order val="0"/>
          <c:tx>
            <c:strRef>
              <c:f>'Demand by time of day'!$Q$17</c:f>
              <c:strCache>
                <c:ptCount val="1"/>
                <c:pt idx="0">
                  <c:v>Trains
Weekday</c:v>
                </c:pt>
              </c:strCache>
            </c:strRef>
          </c:tx>
          <c:spPr>
            <a:ln w="28575" cap="rnd">
              <a:solidFill>
                <a:srgbClr val="00B0F0"/>
              </a:solidFill>
              <a:prstDash val="sysDot"/>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day'!$Q$18:$Q$41</c:f>
              <c:numCache>
                <c:formatCode>0%</c:formatCode>
                <c:ptCount val="24"/>
                <c:pt idx="0">
                  <c:v>5.8149903787487684E-3</c:v>
                </c:pt>
                <c:pt idx="1">
                  <c:v>1.1545501478387385E-3</c:v>
                </c:pt>
                <c:pt idx="2">
                  <c:v>0</c:v>
                </c:pt>
                <c:pt idx="3">
                  <c:v>3.7546346271178488E-5</c:v>
                </c:pt>
                <c:pt idx="4">
                  <c:v>1.2859623597878631E-2</c:v>
                </c:pt>
                <c:pt idx="5">
                  <c:v>9.906603463650443E-2</c:v>
                </c:pt>
                <c:pt idx="6">
                  <c:v>0.24532313324259633</c:v>
                </c:pt>
                <c:pt idx="7">
                  <c:v>0.54227249260806309</c:v>
                </c:pt>
                <c:pt idx="8">
                  <c:v>1</c:v>
                </c:pt>
                <c:pt idx="9">
                  <c:v>0.44879147697939642</c:v>
                </c:pt>
                <c:pt idx="10">
                  <c:v>0.23091941615431549</c:v>
                </c:pt>
                <c:pt idx="11">
                  <c:v>0.17562772797672127</c:v>
                </c:pt>
                <c:pt idx="12">
                  <c:v>0.14793260430844324</c:v>
                </c:pt>
                <c:pt idx="13">
                  <c:v>0.16645703289998592</c:v>
                </c:pt>
                <c:pt idx="14">
                  <c:v>0.1712019524100061</c:v>
                </c:pt>
                <c:pt idx="15">
                  <c:v>0.27455296381470878</c:v>
                </c:pt>
                <c:pt idx="16">
                  <c:v>0.41159712770451024</c:v>
                </c:pt>
                <c:pt idx="17">
                  <c:v>0.66776176843290935</c:v>
                </c:pt>
                <c:pt idx="18">
                  <c:v>0.47124888534284509</c:v>
                </c:pt>
                <c:pt idx="19">
                  <c:v>0.22926737691838364</c:v>
                </c:pt>
                <c:pt idx="20">
                  <c:v>0.14253531703196132</c:v>
                </c:pt>
                <c:pt idx="21">
                  <c:v>0.11230581499037876</c:v>
                </c:pt>
                <c:pt idx="22">
                  <c:v>7.7612991035809833E-2</c:v>
                </c:pt>
                <c:pt idx="23">
                  <c:v>3.012155629605294E-2</c:v>
                </c:pt>
              </c:numCache>
            </c:numRef>
          </c:val>
          <c:smooth val="1"/>
        </c:ser>
        <c:ser>
          <c:idx val="3"/>
          <c:order val="1"/>
          <c:tx>
            <c:strRef>
              <c:f>'Demand by time of day'!$R$17</c:f>
              <c:strCache>
                <c:ptCount val="1"/>
                <c:pt idx="0">
                  <c:v>Trains
Saturday</c:v>
                </c:pt>
              </c:strCache>
            </c:strRef>
          </c:tx>
          <c:spPr>
            <a:ln w="28575" cap="rnd">
              <a:solidFill>
                <a:srgbClr val="46B849"/>
              </a:solidFill>
              <a:prstDash val="dash"/>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day'!$R$18:$R$41</c:f>
              <c:numCache>
                <c:formatCode>0%</c:formatCode>
                <c:ptCount val="24"/>
                <c:pt idx="0">
                  <c:v>2.3015910264232411E-2</c:v>
                </c:pt>
                <c:pt idx="1">
                  <c:v>1.2488853428450743E-2</c:v>
                </c:pt>
                <c:pt idx="2">
                  <c:v>1.6942788754869293E-3</c:v>
                </c:pt>
                <c:pt idx="3">
                  <c:v>2.8159759703383863E-5</c:v>
                </c:pt>
                <c:pt idx="4">
                  <c:v>6.1622940817571692E-3</c:v>
                </c:pt>
                <c:pt idx="5">
                  <c:v>4.4891350260477775E-2</c:v>
                </c:pt>
                <c:pt idx="6">
                  <c:v>7.705448913502605E-2</c:v>
                </c:pt>
                <c:pt idx="7">
                  <c:v>7.71389684141362E-2</c:v>
                </c:pt>
                <c:pt idx="8">
                  <c:v>0.12790632186605341</c:v>
                </c:pt>
                <c:pt idx="9">
                  <c:v>0.14204721453043601</c:v>
                </c:pt>
                <c:pt idx="10">
                  <c:v>0.14107100952738535</c:v>
                </c:pt>
                <c:pt idx="11">
                  <c:v>0.14740695546064675</c:v>
                </c:pt>
                <c:pt idx="12">
                  <c:v>0.15873187215469095</c:v>
                </c:pt>
                <c:pt idx="13">
                  <c:v>0.14035293565494908</c:v>
                </c:pt>
                <c:pt idx="14">
                  <c:v>0.15005866616604871</c:v>
                </c:pt>
                <c:pt idx="15">
                  <c:v>0.16249589336837658</c:v>
                </c:pt>
                <c:pt idx="16">
                  <c:v>0.16059980288168207</c:v>
                </c:pt>
                <c:pt idx="17">
                  <c:v>0.17718590134697518</c:v>
                </c:pt>
                <c:pt idx="18">
                  <c:v>0.16464542169240157</c:v>
                </c:pt>
                <c:pt idx="19">
                  <c:v>0.12119491247008025</c:v>
                </c:pt>
                <c:pt idx="20">
                  <c:v>9.4945323133242596E-2</c:v>
                </c:pt>
                <c:pt idx="21">
                  <c:v>7.9767212653118688E-2</c:v>
                </c:pt>
                <c:pt idx="22">
                  <c:v>8.6197024452058013E-2</c:v>
                </c:pt>
                <c:pt idx="23">
                  <c:v>4.6318111418782559E-2</c:v>
                </c:pt>
              </c:numCache>
            </c:numRef>
          </c:val>
          <c:smooth val="1"/>
        </c:ser>
        <c:ser>
          <c:idx val="6"/>
          <c:order val="2"/>
          <c:tx>
            <c:strRef>
              <c:f>'Demand by time of day'!$S$17</c:f>
              <c:strCache>
                <c:ptCount val="1"/>
                <c:pt idx="0">
                  <c:v>Trains
Sunday</c:v>
                </c:pt>
              </c:strCache>
            </c:strRef>
          </c:tx>
          <c:spPr>
            <a:ln w="28575" cap="rnd">
              <a:solidFill>
                <a:srgbClr val="F68B1F"/>
              </a:solidFill>
              <a:prstDash val="solid"/>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day'!$S$18:$S$41</c:f>
              <c:numCache>
                <c:formatCode>0%</c:formatCode>
                <c:ptCount val="24"/>
                <c:pt idx="0">
                  <c:v>2.5343783733045478E-4</c:v>
                </c:pt>
                <c:pt idx="1">
                  <c:v>1.8773173135589244E-5</c:v>
                </c:pt>
                <c:pt idx="2">
                  <c:v>0</c:v>
                </c:pt>
                <c:pt idx="3">
                  <c:v>0</c:v>
                </c:pt>
                <c:pt idx="4">
                  <c:v>6.7207959825409487E-3</c:v>
                </c:pt>
                <c:pt idx="5">
                  <c:v>3.2923452386539633E-2</c:v>
                </c:pt>
                <c:pt idx="6">
                  <c:v>4.7580607312150934E-2</c:v>
                </c:pt>
                <c:pt idx="7">
                  <c:v>7.5702820669263621E-2</c:v>
                </c:pt>
                <c:pt idx="8">
                  <c:v>0.14702210541136715</c:v>
                </c:pt>
                <c:pt idx="9">
                  <c:v>0.15878349838081382</c:v>
                </c:pt>
                <c:pt idx="10">
                  <c:v>0.15996151499507205</c:v>
                </c:pt>
                <c:pt idx="11">
                  <c:v>0.13358051344628527</c:v>
                </c:pt>
                <c:pt idx="12">
                  <c:v>0.1266954521988079</c:v>
                </c:pt>
                <c:pt idx="13">
                  <c:v>0.12728211385929505</c:v>
                </c:pt>
                <c:pt idx="14">
                  <c:v>0.14612099310085888</c:v>
                </c:pt>
                <c:pt idx="15">
                  <c:v>0.14387290561787205</c:v>
                </c:pt>
                <c:pt idx="16">
                  <c:v>0.15180457126765851</c:v>
                </c:pt>
                <c:pt idx="17">
                  <c:v>0.13703008400994979</c:v>
                </c:pt>
                <c:pt idx="18">
                  <c:v>8.5248979208710746E-2</c:v>
                </c:pt>
                <c:pt idx="19">
                  <c:v>6.9925376636786038E-2</c:v>
                </c:pt>
                <c:pt idx="20">
                  <c:v>5.35786361289717E-2</c:v>
                </c:pt>
                <c:pt idx="21">
                  <c:v>4.9476697798845448E-2</c:v>
                </c:pt>
                <c:pt idx="22">
                  <c:v>4.4135730041770307E-2</c:v>
                </c:pt>
                <c:pt idx="23">
                  <c:v>1.0630309288027408E-2</c:v>
                </c:pt>
              </c:numCache>
            </c:numRef>
          </c:val>
          <c:smooth val="1"/>
        </c:ser>
        <c:dLbls>
          <c:showLegendKey val="0"/>
          <c:showVal val="0"/>
          <c:showCatName val="0"/>
          <c:showSerName val="0"/>
          <c:showPercent val="0"/>
          <c:showBubbleSize val="0"/>
        </c:dLbls>
        <c:smooth val="0"/>
        <c:axId val="565833096"/>
        <c:axId val="565829960"/>
        <c:extLst>
          <c:ext xmlns:c15="http://schemas.microsoft.com/office/drawing/2012/chart" uri="{02D57815-91ED-43cb-92C2-25804820EDAC}">
            <c15:filteredLineSeries>
              <c15:ser>
                <c:idx val="1"/>
                <c:order val="3"/>
                <c:tx>
                  <c:strRef>
                    <c:extLst>
                      <c:ext uri="{02D57815-91ED-43cb-92C2-25804820EDAC}">
                        <c15:formulaRef>
                          <c15:sqref>'Demand by time of day'!$U$17</c15:sqref>
                        </c15:formulaRef>
                      </c:ext>
                    </c:extLst>
                    <c:strCache>
                      <c:ptCount val="1"/>
                      <c:pt idx="0">
                        <c:v>Buses
Saturday</c:v>
                      </c:pt>
                    </c:strCache>
                  </c:strRef>
                </c:tx>
                <c:spPr>
                  <a:ln w="28575" cap="rnd">
                    <a:solidFill>
                      <a:srgbClr val="00B050"/>
                    </a:solidFill>
                    <a:round/>
                  </a:ln>
                  <a:effectLst/>
                </c:spPr>
                <c:marker>
                  <c:symbol val="none"/>
                </c:marker>
                <c:cat>
                  <c:strRef>
                    <c:extLst>
                      <c:ex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c:ext uri="{02D57815-91ED-43cb-92C2-25804820EDAC}">
                        <c15:formulaRef>
                          <c15:sqref>'Demand by time of day'!$U$18:$U$41</c15:sqref>
                        </c15:formulaRef>
                      </c:ext>
                    </c:extLst>
                    <c:numCache>
                      <c:formatCode>0%</c:formatCode>
                      <c:ptCount val="24"/>
                      <c:pt idx="0">
                        <c:v>4.1135335252982314E-4</c:v>
                      </c:pt>
                      <c:pt idx="1">
                        <c:v>0</c:v>
                      </c:pt>
                      <c:pt idx="2">
                        <c:v>9.1411856117738465E-5</c:v>
                      </c:pt>
                      <c:pt idx="3">
                        <c:v>2.5138260432378077E-4</c:v>
                      </c:pt>
                      <c:pt idx="4">
                        <c:v>3.9764157411216238E-3</c:v>
                      </c:pt>
                      <c:pt idx="5">
                        <c:v>3.0920060331825039E-2</c:v>
                      </c:pt>
                      <c:pt idx="6">
                        <c:v>8.2773435714612181E-2</c:v>
                      </c:pt>
                      <c:pt idx="7">
                        <c:v>0.13279857397504458</c:v>
                      </c:pt>
                      <c:pt idx="8">
                        <c:v>0.21959413135883724</c:v>
                      </c:pt>
                      <c:pt idx="9">
                        <c:v>0.26381461675579321</c:v>
                      </c:pt>
                      <c:pt idx="10">
                        <c:v>0.29644864938982585</c:v>
                      </c:pt>
                      <c:pt idx="11">
                        <c:v>0.331527949175008</c:v>
                      </c:pt>
                      <c:pt idx="12">
                        <c:v>0.35755747520453401</c:v>
                      </c:pt>
                      <c:pt idx="13">
                        <c:v>0.35371817724758903</c:v>
                      </c:pt>
                      <c:pt idx="14">
                        <c:v>0.36658439599616072</c:v>
                      </c:pt>
                      <c:pt idx="15">
                        <c:v>0.38075323369441016</c:v>
                      </c:pt>
                      <c:pt idx="16">
                        <c:v>0.39032862562274329</c:v>
                      </c:pt>
                      <c:pt idx="17">
                        <c:v>0.40495452260158143</c:v>
                      </c:pt>
                      <c:pt idx="18">
                        <c:v>0.39046574340691986</c:v>
                      </c:pt>
                      <c:pt idx="19">
                        <c:v>0.2802230449289273</c:v>
                      </c:pt>
                      <c:pt idx="20">
                        <c:v>0.18725718725718726</c:v>
                      </c:pt>
                      <c:pt idx="21">
                        <c:v>0.16143333790392614</c:v>
                      </c:pt>
                      <c:pt idx="22">
                        <c:v>0.16223319164495634</c:v>
                      </c:pt>
                      <c:pt idx="23">
                        <c:v>0.10761460761460762</c:v>
                      </c:pt>
                    </c:numCache>
                  </c:numRef>
                </c:val>
                <c:smooth val="1"/>
              </c15:ser>
            </c15:filteredLineSeries>
            <c15:filteredLineSeries>
              <c15:ser>
                <c:idx val="5"/>
                <c:order val="4"/>
                <c:tx>
                  <c:strRef>
                    <c:extLst xmlns:c15="http://schemas.microsoft.com/office/drawing/2012/chart">
                      <c:ext xmlns:c15="http://schemas.microsoft.com/office/drawing/2012/chart" uri="{02D57815-91ED-43cb-92C2-25804820EDAC}">
                        <c15:formulaRef>
                          <c15:sqref>'Demand by time of day'!$X$17</c15:sqref>
                        </c15:formulaRef>
                      </c:ext>
                    </c:extLst>
                    <c:strCache>
                      <c:ptCount val="1"/>
                      <c:pt idx="0">
                        <c:v>Light rail
Saturday</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day'!$X$18:$X$41</c15:sqref>
                        </c15:formulaRef>
                      </c:ext>
                    </c:extLst>
                    <c:numCache>
                      <c:formatCode>0%</c:formatCode>
                      <c:ptCount val="24"/>
                      <c:pt idx="0">
                        <c:v>1.7054263565891473E-2</c:v>
                      </c:pt>
                      <c:pt idx="1">
                        <c:v>0</c:v>
                      </c:pt>
                      <c:pt idx="2">
                        <c:v>0</c:v>
                      </c:pt>
                      <c:pt idx="3">
                        <c:v>0</c:v>
                      </c:pt>
                      <c:pt idx="4">
                        <c:v>0</c:v>
                      </c:pt>
                      <c:pt idx="5">
                        <c:v>3.875968992248062E-4</c:v>
                      </c:pt>
                      <c:pt idx="6">
                        <c:v>0.10697674418604651</c:v>
                      </c:pt>
                      <c:pt idx="7">
                        <c:v>0.12751937984496123</c:v>
                      </c:pt>
                      <c:pt idx="8">
                        <c:v>0.14534883720930233</c:v>
                      </c:pt>
                      <c:pt idx="9">
                        <c:v>0.20193798449612402</c:v>
                      </c:pt>
                      <c:pt idx="10">
                        <c:v>0.5</c:v>
                      </c:pt>
                      <c:pt idx="11">
                        <c:v>0.54689922480620157</c:v>
                      </c:pt>
                      <c:pt idx="12">
                        <c:v>0.48410852713178293</c:v>
                      </c:pt>
                      <c:pt idx="13">
                        <c:v>0.50387596899224807</c:v>
                      </c:pt>
                      <c:pt idx="14">
                        <c:v>0.51666666666666672</c:v>
                      </c:pt>
                      <c:pt idx="15">
                        <c:v>0.52093023255813953</c:v>
                      </c:pt>
                      <c:pt idx="16">
                        <c:v>0.44186046511627908</c:v>
                      </c:pt>
                      <c:pt idx="17">
                        <c:v>0.60503875968992249</c:v>
                      </c:pt>
                      <c:pt idx="18">
                        <c:v>0.41124031007751938</c:v>
                      </c:pt>
                      <c:pt idx="19">
                        <c:v>0.36046511627906974</c:v>
                      </c:pt>
                      <c:pt idx="20">
                        <c:v>9.9224806201550386E-2</c:v>
                      </c:pt>
                      <c:pt idx="21">
                        <c:v>9.4961240310077522E-2</c:v>
                      </c:pt>
                      <c:pt idx="22">
                        <c:v>0.10930232558139535</c:v>
                      </c:pt>
                      <c:pt idx="23">
                        <c:v>6.0077519379844964E-2</c:v>
                      </c:pt>
                    </c:numCache>
                  </c:numRef>
                </c:val>
                <c:smooth val="0"/>
              </c15:ser>
            </c15:filteredLineSeries>
            <c15:filteredLineSeries>
              <c15:ser>
                <c:idx val="9"/>
                <c:order val="5"/>
                <c:tx>
                  <c:strRef>
                    <c:extLst xmlns:c15="http://schemas.microsoft.com/office/drawing/2012/chart">
                      <c:ext xmlns:c15="http://schemas.microsoft.com/office/drawing/2012/chart" uri="{02D57815-91ED-43cb-92C2-25804820EDAC}">
                        <c15:formulaRef>
                          <c15:sqref>'Demand by time of day'!$AA$17</c15:sqref>
                        </c15:formulaRef>
                      </c:ext>
                    </c:extLst>
                    <c:strCache>
                      <c:ptCount val="1"/>
                      <c:pt idx="0">
                        <c:v>Ferry
Saturday</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day'!$AA$18:$AA$41</c15:sqref>
                        </c15:formulaRef>
                      </c:ext>
                    </c:extLst>
                    <c:numCache>
                      <c:formatCode>0%</c:formatCode>
                      <c:ptCount val="24"/>
                      <c:pt idx="0">
                        <c:v>4.2498487598306108E-2</c:v>
                      </c:pt>
                      <c:pt idx="1">
                        <c:v>3.1760435571687841E-3</c:v>
                      </c:pt>
                      <c:pt idx="2">
                        <c:v>0</c:v>
                      </c:pt>
                      <c:pt idx="3">
                        <c:v>0</c:v>
                      </c:pt>
                      <c:pt idx="4">
                        <c:v>0</c:v>
                      </c:pt>
                      <c:pt idx="5">
                        <c:v>0</c:v>
                      </c:pt>
                      <c:pt idx="6">
                        <c:v>6.5033272837265576E-3</c:v>
                      </c:pt>
                      <c:pt idx="7">
                        <c:v>1.9056261343012703E-2</c:v>
                      </c:pt>
                      <c:pt idx="8">
                        <c:v>5.777374470659407E-2</c:v>
                      </c:pt>
                      <c:pt idx="9">
                        <c:v>0.13127646702964307</c:v>
                      </c:pt>
                      <c:pt idx="10">
                        <c:v>0.29204476709013916</c:v>
                      </c:pt>
                      <c:pt idx="11">
                        <c:v>0.39866908650937688</c:v>
                      </c:pt>
                      <c:pt idx="12">
                        <c:v>0.48759830611010285</c:v>
                      </c:pt>
                      <c:pt idx="13">
                        <c:v>0.48321234119782214</c:v>
                      </c:pt>
                      <c:pt idx="14">
                        <c:v>0.48714458560193585</c:v>
                      </c:pt>
                      <c:pt idx="15">
                        <c:v>0.52692075015124018</c:v>
                      </c:pt>
                      <c:pt idx="16">
                        <c:v>0.5428009679370841</c:v>
                      </c:pt>
                      <c:pt idx="17">
                        <c:v>0.52404718693284935</c:v>
                      </c:pt>
                      <c:pt idx="18">
                        <c:v>0.36872353297035693</c:v>
                      </c:pt>
                      <c:pt idx="19">
                        <c:v>0.27298850574712646</c:v>
                      </c:pt>
                      <c:pt idx="20">
                        <c:v>0.14503932244404114</c:v>
                      </c:pt>
                      <c:pt idx="21">
                        <c:v>8.5601935874168172E-2</c:v>
                      </c:pt>
                      <c:pt idx="22">
                        <c:v>0.14927404718693285</c:v>
                      </c:pt>
                      <c:pt idx="23">
                        <c:v>7.1082879612825167E-2</c:v>
                      </c:pt>
                    </c:numCache>
                  </c:numRef>
                </c:val>
                <c:smooth val="0"/>
              </c15:ser>
            </c15:filteredLineSeries>
          </c:ext>
        </c:extLst>
      </c:lineChart>
      <c:catAx>
        <c:axId val="56583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29960"/>
        <c:crosses val="autoZero"/>
        <c:auto val="1"/>
        <c:lblAlgn val="ctr"/>
        <c:lblOffset val="100"/>
        <c:tickLblSkip val="3"/>
        <c:noMultiLvlLbl val="0"/>
      </c:catAx>
      <c:valAx>
        <c:axId val="565829960"/>
        <c:scaling>
          <c:orientation val="minMax"/>
          <c:max val="1.01"/>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65833096"/>
        <c:crosses val="autoZero"/>
        <c:crossBetween val="between"/>
        <c:majorUnit val="0.25"/>
      </c:valAx>
      <c:spPr>
        <a:noFill/>
        <a:ln>
          <a:noFill/>
        </a:ln>
        <a:effectLst/>
      </c:spPr>
    </c:plotArea>
    <c:legend>
      <c:legendPos val="b"/>
      <c:layout>
        <c:manualLayout>
          <c:xMode val="edge"/>
          <c:yMode val="edge"/>
          <c:x val="3.3518855343616968E-2"/>
          <c:y val="0.85659539623414005"/>
          <c:w val="0.9329619131275475"/>
          <c:h val="0.137414170534898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84332673146671"/>
          <c:y val="3.889914040417794E-2"/>
          <c:w val="0.77515256179412051"/>
          <c:h val="0.80138689218700876"/>
        </c:manualLayout>
      </c:layout>
      <c:lineChart>
        <c:grouping val="standard"/>
        <c:varyColors val="0"/>
        <c:ser>
          <c:idx val="0"/>
          <c:order val="0"/>
          <c:tx>
            <c:v>Trains</c:v>
          </c:tx>
          <c:spPr>
            <a:ln w="28575" cap="rnd">
              <a:solidFill>
                <a:srgbClr val="F68B1F"/>
              </a:solidFill>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day'!$Q$18:$Q$41</c:f>
              <c:numCache>
                <c:formatCode>0%</c:formatCode>
                <c:ptCount val="24"/>
                <c:pt idx="0">
                  <c:v>5.8149903787487684E-3</c:v>
                </c:pt>
                <c:pt idx="1">
                  <c:v>1.1545501478387385E-3</c:v>
                </c:pt>
                <c:pt idx="2">
                  <c:v>0</c:v>
                </c:pt>
                <c:pt idx="3">
                  <c:v>3.7546346271178488E-5</c:v>
                </c:pt>
                <c:pt idx="4">
                  <c:v>1.2859623597878631E-2</c:v>
                </c:pt>
                <c:pt idx="5">
                  <c:v>9.906603463650443E-2</c:v>
                </c:pt>
                <c:pt idx="6">
                  <c:v>0.24532313324259633</c:v>
                </c:pt>
                <c:pt idx="7">
                  <c:v>0.54227249260806309</c:v>
                </c:pt>
                <c:pt idx="8">
                  <c:v>1</c:v>
                </c:pt>
                <c:pt idx="9">
                  <c:v>0.44879147697939642</c:v>
                </c:pt>
                <c:pt idx="10">
                  <c:v>0.23091941615431549</c:v>
                </c:pt>
                <c:pt idx="11">
                  <c:v>0.17562772797672127</c:v>
                </c:pt>
                <c:pt idx="12">
                  <c:v>0.14793260430844324</c:v>
                </c:pt>
                <c:pt idx="13">
                  <c:v>0.16645703289998592</c:v>
                </c:pt>
                <c:pt idx="14">
                  <c:v>0.1712019524100061</c:v>
                </c:pt>
                <c:pt idx="15">
                  <c:v>0.27455296381470878</c:v>
                </c:pt>
                <c:pt idx="16">
                  <c:v>0.41159712770451024</c:v>
                </c:pt>
                <c:pt idx="17">
                  <c:v>0.66776176843290935</c:v>
                </c:pt>
                <c:pt idx="18">
                  <c:v>0.47124888534284509</c:v>
                </c:pt>
                <c:pt idx="19">
                  <c:v>0.22926737691838364</c:v>
                </c:pt>
                <c:pt idx="20">
                  <c:v>0.14253531703196132</c:v>
                </c:pt>
                <c:pt idx="21">
                  <c:v>0.11230581499037876</c:v>
                </c:pt>
                <c:pt idx="22">
                  <c:v>7.7612991035809833E-2</c:v>
                </c:pt>
                <c:pt idx="23">
                  <c:v>3.012155629605294E-2</c:v>
                </c:pt>
              </c:numCache>
            </c:numRef>
          </c:val>
          <c:smooth val="1"/>
        </c:ser>
        <c:ser>
          <c:idx val="3"/>
          <c:order val="1"/>
          <c:tx>
            <c:v>Buses</c:v>
          </c:tx>
          <c:spPr>
            <a:ln w="28575" cap="rnd">
              <a:solidFill>
                <a:srgbClr val="00B0F0"/>
              </a:solidFill>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day'!$T$18:$T$41</c:f>
              <c:numCache>
                <c:formatCode>0%</c:formatCode>
                <c:ptCount val="24"/>
                <c:pt idx="0">
                  <c:v>5.3247406188582655E-3</c:v>
                </c:pt>
                <c:pt idx="1">
                  <c:v>0</c:v>
                </c:pt>
                <c:pt idx="2">
                  <c:v>0</c:v>
                </c:pt>
                <c:pt idx="3">
                  <c:v>9.1411856117738465E-5</c:v>
                </c:pt>
                <c:pt idx="4">
                  <c:v>7.2215366333013391E-3</c:v>
                </c:pt>
                <c:pt idx="5">
                  <c:v>7.3449426390602868E-2</c:v>
                </c:pt>
                <c:pt idx="6">
                  <c:v>0.27894327894327892</c:v>
                </c:pt>
                <c:pt idx="7">
                  <c:v>0.66721513780337305</c:v>
                </c:pt>
                <c:pt idx="8">
                  <c:v>1</c:v>
                </c:pt>
                <c:pt idx="9">
                  <c:v>0.57203254262077796</c:v>
                </c:pt>
                <c:pt idx="10">
                  <c:v>0.38287855934914761</c:v>
                </c:pt>
                <c:pt idx="11">
                  <c:v>0.35751176927647516</c:v>
                </c:pt>
                <c:pt idx="12">
                  <c:v>0.36599021893139538</c:v>
                </c:pt>
                <c:pt idx="13">
                  <c:v>0.38518670871612049</c:v>
                </c:pt>
                <c:pt idx="14">
                  <c:v>0.43178390237213765</c:v>
                </c:pt>
                <c:pt idx="15">
                  <c:v>0.5819278760455231</c:v>
                </c:pt>
                <c:pt idx="16">
                  <c:v>0.65448603683897799</c:v>
                </c:pt>
                <c:pt idx="17">
                  <c:v>0.82078705608117375</c:v>
                </c:pt>
                <c:pt idx="18">
                  <c:v>0.73442570501394033</c:v>
                </c:pt>
                <c:pt idx="19">
                  <c:v>0.39380227615521735</c:v>
                </c:pt>
                <c:pt idx="20">
                  <c:v>0.25188536953242835</c:v>
                </c:pt>
                <c:pt idx="21">
                  <c:v>0.21682892271127566</c:v>
                </c:pt>
                <c:pt idx="22">
                  <c:v>0.14657891128479364</c:v>
                </c:pt>
                <c:pt idx="23">
                  <c:v>6.142876731112025E-2</c:v>
                </c:pt>
              </c:numCache>
            </c:numRef>
          </c:val>
          <c:smooth val="1"/>
        </c:ser>
        <c:ser>
          <c:idx val="6"/>
          <c:order val="2"/>
          <c:tx>
            <c:v>Light rail</c:v>
          </c:tx>
          <c:spPr>
            <a:ln w="28575" cap="rnd">
              <a:solidFill>
                <a:srgbClr val="D12026"/>
              </a:solidFill>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day'!$W$18:$W$41</c:f>
              <c:numCache>
                <c:formatCode>0%</c:formatCode>
                <c:ptCount val="24"/>
                <c:pt idx="0">
                  <c:v>0</c:v>
                </c:pt>
                <c:pt idx="1">
                  <c:v>0</c:v>
                </c:pt>
                <c:pt idx="2">
                  <c:v>0</c:v>
                </c:pt>
                <c:pt idx="3">
                  <c:v>0</c:v>
                </c:pt>
                <c:pt idx="4">
                  <c:v>0</c:v>
                </c:pt>
                <c:pt idx="5">
                  <c:v>2.3255813953488372E-3</c:v>
                </c:pt>
                <c:pt idx="6">
                  <c:v>0.26511627906976742</c:v>
                </c:pt>
                <c:pt idx="7">
                  <c:v>0.48643410852713176</c:v>
                </c:pt>
                <c:pt idx="8">
                  <c:v>1</c:v>
                </c:pt>
                <c:pt idx="9">
                  <c:v>0.51472868217054268</c:v>
                </c:pt>
                <c:pt idx="10">
                  <c:v>0.34728682170542635</c:v>
                </c:pt>
                <c:pt idx="11">
                  <c:v>0.33100775193798448</c:v>
                </c:pt>
                <c:pt idx="12">
                  <c:v>0.30116279069767443</c:v>
                </c:pt>
                <c:pt idx="13">
                  <c:v>0.34302325581395349</c:v>
                </c:pt>
                <c:pt idx="14">
                  <c:v>0.39147286821705424</c:v>
                </c:pt>
                <c:pt idx="15">
                  <c:v>0.53837209302325584</c:v>
                </c:pt>
                <c:pt idx="16">
                  <c:v>0.58294573643410852</c:v>
                </c:pt>
                <c:pt idx="17">
                  <c:v>0.88062015503875968</c:v>
                </c:pt>
                <c:pt idx="18">
                  <c:v>0.47635658914728685</c:v>
                </c:pt>
                <c:pt idx="19">
                  <c:v>0.39496124031007751</c:v>
                </c:pt>
                <c:pt idx="20">
                  <c:v>5.6201550387596902E-2</c:v>
                </c:pt>
                <c:pt idx="21">
                  <c:v>4.7286821705426356E-2</c:v>
                </c:pt>
                <c:pt idx="22">
                  <c:v>8.0620155038759689E-2</c:v>
                </c:pt>
                <c:pt idx="23">
                  <c:v>1.2403100775193798E-2</c:v>
                </c:pt>
              </c:numCache>
            </c:numRef>
          </c:val>
          <c:smooth val="1"/>
        </c:ser>
        <c:dLbls>
          <c:showLegendKey val="0"/>
          <c:showVal val="0"/>
          <c:showCatName val="0"/>
          <c:showSerName val="0"/>
          <c:showPercent val="0"/>
          <c:showBubbleSize val="0"/>
        </c:dLbls>
        <c:smooth val="0"/>
        <c:axId val="565832704"/>
        <c:axId val="565832312"/>
      </c:lineChart>
      <c:catAx>
        <c:axId val="56583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32312"/>
        <c:crosses val="autoZero"/>
        <c:auto val="1"/>
        <c:lblAlgn val="ctr"/>
        <c:lblOffset val="100"/>
        <c:tickLblSkip val="3"/>
        <c:noMultiLvlLbl val="0"/>
      </c:catAx>
      <c:valAx>
        <c:axId val="565832312"/>
        <c:scaling>
          <c:orientation val="minMax"/>
          <c:max val="1.0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mn-cs"/>
                  </a:defRPr>
                </a:pPr>
                <a:r>
                  <a:rPr lang="en-AU"/>
                  <a:t>Proportion</a:t>
                </a:r>
                <a:r>
                  <a:rPr lang="en-AU" baseline="0"/>
                  <a:t> </a:t>
                </a:r>
              </a:p>
              <a:p>
                <a:pPr>
                  <a:defRPr/>
                </a:pPr>
                <a:r>
                  <a:rPr lang="en-AU" baseline="0"/>
                  <a:t>of maximum</a:t>
                </a:r>
              </a:p>
              <a:p>
                <a:pPr>
                  <a:defRPr/>
                </a:pPr>
                <a:r>
                  <a:rPr lang="en-AU" baseline="0"/>
                  <a:t>demand</a:t>
                </a:r>
                <a:endParaRPr lang="en-AU"/>
              </a:p>
            </c:rich>
          </c:tx>
          <c:layout>
            <c:manualLayout>
              <c:xMode val="edge"/>
              <c:yMode val="edge"/>
              <c:x val="5.7411669139089197E-4"/>
              <c:y val="0.10431735906858139"/>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5832704"/>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8"/>
          <c:order val="8"/>
          <c:tx>
            <c:strRef>
              <c:f>'Demand by time of day'!$Z$17</c:f>
              <c:strCache>
                <c:ptCount val="1"/>
                <c:pt idx="0">
                  <c:v>Ferry
Weekday</c:v>
                </c:pt>
              </c:strCache>
            </c:strRef>
          </c:tx>
          <c:spPr>
            <a:ln w="28575" cap="rnd">
              <a:solidFill>
                <a:srgbClr val="00B0F0"/>
              </a:solidFill>
              <a:prstDash val="sysDot"/>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day'!$Z$18:$Z$41</c:f>
              <c:numCache>
                <c:formatCode>0%</c:formatCode>
                <c:ptCount val="24"/>
                <c:pt idx="0">
                  <c:v>7.1082879612825167E-3</c:v>
                </c:pt>
                <c:pt idx="1">
                  <c:v>0</c:v>
                </c:pt>
                <c:pt idx="2">
                  <c:v>0</c:v>
                </c:pt>
                <c:pt idx="3">
                  <c:v>0</c:v>
                </c:pt>
                <c:pt idx="4">
                  <c:v>0</c:v>
                </c:pt>
                <c:pt idx="5">
                  <c:v>0</c:v>
                </c:pt>
                <c:pt idx="6">
                  <c:v>5.6261343012704176E-2</c:v>
                </c:pt>
                <c:pt idx="7">
                  <c:v>0.29401088929219599</c:v>
                </c:pt>
                <c:pt idx="8">
                  <c:v>0.75862068965517238</c:v>
                </c:pt>
                <c:pt idx="9">
                  <c:v>0.18663036902601332</c:v>
                </c:pt>
                <c:pt idx="10">
                  <c:v>0.26996370235934664</c:v>
                </c:pt>
                <c:pt idx="11">
                  <c:v>0.28977616454930427</c:v>
                </c:pt>
                <c:pt idx="12">
                  <c:v>0.28342407743496673</c:v>
                </c:pt>
                <c:pt idx="13">
                  <c:v>0.29204476709013916</c:v>
                </c:pt>
                <c:pt idx="14">
                  <c:v>0.27676950998185118</c:v>
                </c:pt>
                <c:pt idx="15">
                  <c:v>0.30671506352087113</c:v>
                </c:pt>
                <c:pt idx="16">
                  <c:v>0.39050211736237145</c:v>
                </c:pt>
                <c:pt idx="17">
                  <c:v>0.53932244404113727</c:v>
                </c:pt>
                <c:pt idx="18">
                  <c:v>0.45039322444041135</c:v>
                </c:pt>
                <c:pt idx="19">
                  <c:v>0.17437991530550515</c:v>
                </c:pt>
                <c:pt idx="20">
                  <c:v>7.834240774349667E-2</c:v>
                </c:pt>
                <c:pt idx="21">
                  <c:v>7.9249848759830613E-2</c:v>
                </c:pt>
                <c:pt idx="22">
                  <c:v>6.1403508771929821E-2</c:v>
                </c:pt>
                <c:pt idx="23">
                  <c:v>2.5710828796128252E-2</c:v>
                </c:pt>
              </c:numCache>
            </c:numRef>
          </c:val>
          <c:smooth val="1"/>
        </c:ser>
        <c:ser>
          <c:idx val="9"/>
          <c:order val="9"/>
          <c:tx>
            <c:strRef>
              <c:f>'Demand by time of day'!$AA$17</c:f>
              <c:strCache>
                <c:ptCount val="1"/>
                <c:pt idx="0">
                  <c:v>Ferry
Saturday</c:v>
                </c:pt>
              </c:strCache>
            </c:strRef>
          </c:tx>
          <c:spPr>
            <a:ln w="28575" cap="rnd">
              <a:solidFill>
                <a:srgbClr val="46B849"/>
              </a:solidFill>
              <a:prstDash val="sysDash"/>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day'!$AA$18:$AA$41</c:f>
              <c:numCache>
                <c:formatCode>0%</c:formatCode>
                <c:ptCount val="24"/>
                <c:pt idx="0">
                  <c:v>4.2498487598306108E-2</c:v>
                </c:pt>
                <c:pt idx="1">
                  <c:v>3.1760435571687841E-3</c:v>
                </c:pt>
                <c:pt idx="2">
                  <c:v>0</c:v>
                </c:pt>
                <c:pt idx="3">
                  <c:v>0</c:v>
                </c:pt>
                <c:pt idx="4">
                  <c:v>0</c:v>
                </c:pt>
                <c:pt idx="5">
                  <c:v>0</c:v>
                </c:pt>
                <c:pt idx="6">
                  <c:v>6.5033272837265576E-3</c:v>
                </c:pt>
                <c:pt idx="7">
                  <c:v>1.9056261343012703E-2</c:v>
                </c:pt>
                <c:pt idx="8">
                  <c:v>5.777374470659407E-2</c:v>
                </c:pt>
                <c:pt idx="9">
                  <c:v>0.13127646702964307</c:v>
                </c:pt>
                <c:pt idx="10">
                  <c:v>0.29204476709013916</c:v>
                </c:pt>
                <c:pt idx="11">
                  <c:v>0.39866908650937688</c:v>
                </c:pt>
                <c:pt idx="12">
                  <c:v>0.48759830611010285</c:v>
                </c:pt>
                <c:pt idx="13">
                  <c:v>0.48321234119782214</c:v>
                </c:pt>
                <c:pt idx="14">
                  <c:v>0.48714458560193585</c:v>
                </c:pt>
                <c:pt idx="15">
                  <c:v>0.52692075015124018</c:v>
                </c:pt>
                <c:pt idx="16">
                  <c:v>0.5428009679370841</c:v>
                </c:pt>
                <c:pt idx="17">
                  <c:v>0.52404718693284935</c:v>
                </c:pt>
                <c:pt idx="18">
                  <c:v>0.36872353297035693</c:v>
                </c:pt>
                <c:pt idx="19">
                  <c:v>0.27298850574712646</c:v>
                </c:pt>
                <c:pt idx="20">
                  <c:v>0.14503932244404114</c:v>
                </c:pt>
                <c:pt idx="21">
                  <c:v>8.5601935874168172E-2</c:v>
                </c:pt>
                <c:pt idx="22">
                  <c:v>0.14927404718693285</c:v>
                </c:pt>
                <c:pt idx="23">
                  <c:v>7.1082879612825167E-2</c:v>
                </c:pt>
              </c:numCache>
            </c:numRef>
          </c:val>
          <c:smooth val="1"/>
        </c:ser>
        <c:ser>
          <c:idx val="10"/>
          <c:order val="10"/>
          <c:tx>
            <c:strRef>
              <c:f>'Demand by time of day'!$AB$17</c:f>
              <c:strCache>
                <c:ptCount val="1"/>
                <c:pt idx="0">
                  <c:v>Ferry
Sunday</c:v>
                </c:pt>
              </c:strCache>
            </c:strRef>
          </c:tx>
          <c:spPr>
            <a:ln w="28575" cap="rnd">
              <a:solidFill>
                <a:srgbClr val="F68B1F"/>
              </a:solidFill>
              <a:prstDash val="solid"/>
              <a:round/>
            </a:ln>
            <a:effectLst/>
          </c:spPr>
          <c:marker>
            <c:symbol val="none"/>
          </c:marker>
          <c:cat>
            <c:strRef>
              <c:f>'Demand by time of day'!$P$18:$P$41</c:f>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f>'Demand by time of day'!$AB$18:$AB$41</c:f>
              <c:numCache>
                <c:formatCode>0%</c:formatCode>
                <c:ptCount val="24"/>
                <c:pt idx="0">
                  <c:v>0</c:v>
                </c:pt>
                <c:pt idx="1">
                  <c:v>0</c:v>
                </c:pt>
                <c:pt idx="2">
                  <c:v>0</c:v>
                </c:pt>
                <c:pt idx="3">
                  <c:v>0</c:v>
                </c:pt>
                <c:pt idx="4">
                  <c:v>0</c:v>
                </c:pt>
                <c:pt idx="5">
                  <c:v>0</c:v>
                </c:pt>
                <c:pt idx="6">
                  <c:v>0</c:v>
                </c:pt>
                <c:pt idx="7">
                  <c:v>3.327283726557774E-2</c:v>
                </c:pt>
                <c:pt idx="8">
                  <c:v>0.22005444646098005</c:v>
                </c:pt>
                <c:pt idx="9">
                  <c:v>0.56276467029643074</c:v>
                </c:pt>
                <c:pt idx="10">
                  <c:v>0.81427707199032062</c:v>
                </c:pt>
                <c:pt idx="11">
                  <c:v>0.83242589231699937</c:v>
                </c:pt>
                <c:pt idx="12">
                  <c:v>0.94948578342407741</c:v>
                </c:pt>
                <c:pt idx="13">
                  <c:v>0.92377495462794923</c:v>
                </c:pt>
                <c:pt idx="14">
                  <c:v>1</c:v>
                </c:pt>
                <c:pt idx="15">
                  <c:v>0.9522081064730793</c:v>
                </c:pt>
                <c:pt idx="16">
                  <c:v>0.78357531760435573</c:v>
                </c:pt>
                <c:pt idx="17">
                  <c:v>0.70598911070780401</c:v>
                </c:pt>
                <c:pt idx="18">
                  <c:v>0.29930429522081065</c:v>
                </c:pt>
                <c:pt idx="19">
                  <c:v>0.16848154869933454</c:v>
                </c:pt>
                <c:pt idx="20">
                  <c:v>6.639443436176648E-2</c:v>
                </c:pt>
                <c:pt idx="21">
                  <c:v>3.4180278281911676E-2</c:v>
                </c:pt>
                <c:pt idx="22">
                  <c:v>3.2970356926799761E-2</c:v>
                </c:pt>
                <c:pt idx="23">
                  <c:v>5.4446460980036296E-3</c:v>
                </c:pt>
              </c:numCache>
            </c:numRef>
          </c:val>
          <c:smooth val="1"/>
        </c:ser>
        <c:dLbls>
          <c:showLegendKey val="0"/>
          <c:showVal val="0"/>
          <c:showCatName val="0"/>
          <c:showSerName val="0"/>
          <c:showPercent val="0"/>
          <c:showBubbleSize val="0"/>
        </c:dLbls>
        <c:smooth val="0"/>
        <c:axId val="566788512"/>
        <c:axId val="566782632"/>
        <c:extLst>
          <c:ext xmlns:c15="http://schemas.microsoft.com/office/drawing/2012/chart" uri="{02D57815-91ED-43cb-92C2-25804820EDAC}">
            <c15:filteredLineSeries>
              <c15:ser>
                <c:idx val="0"/>
                <c:order val="0"/>
                <c:tx>
                  <c:strRef>
                    <c:extLst>
                      <c:ext uri="{02D57815-91ED-43cb-92C2-25804820EDAC}">
                        <c15:formulaRef>
                          <c15:sqref>'Demand by time of day'!$Q$17</c15:sqref>
                        </c15:formulaRef>
                      </c:ext>
                    </c:extLst>
                    <c:strCache>
                      <c:ptCount val="1"/>
                      <c:pt idx="0">
                        <c:v>Trains
Weekday</c:v>
                      </c:pt>
                    </c:strCache>
                  </c:strRef>
                </c:tx>
                <c:spPr>
                  <a:ln w="28575" cap="rnd">
                    <a:solidFill>
                      <a:srgbClr val="F68B1F"/>
                    </a:solidFill>
                    <a:round/>
                  </a:ln>
                  <a:effectLst/>
                </c:spPr>
                <c:marker>
                  <c:symbol val="none"/>
                </c:marker>
                <c:cat>
                  <c:strRef>
                    <c:extLst>
                      <c:ex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c:ext uri="{02D57815-91ED-43cb-92C2-25804820EDAC}">
                        <c15:formulaRef>
                          <c15:sqref>'Demand by time of day'!$Q$18:$Q$41</c15:sqref>
                        </c15:formulaRef>
                      </c:ext>
                    </c:extLst>
                    <c:numCache>
                      <c:formatCode>0%</c:formatCode>
                      <c:ptCount val="24"/>
                      <c:pt idx="0">
                        <c:v>5.8149903787487684E-3</c:v>
                      </c:pt>
                      <c:pt idx="1">
                        <c:v>1.1545501478387385E-3</c:v>
                      </c:pt>
                      <c:pt idx="2">
                        <c:v>0</c:v>
                      </c:pt>
                      <c:pt idx="3">
                        <c:v>3.7546346271178488E-5</c:v>
                      </c:pt>
                      <c:pt idx="4">
                        <c:v>1.2859623597878631E-2</c:v>
                      </c:pt>
                      <c:pt idx="5">
                        <c:v>9.906603463650443E-2</c:v>
                      </c:pt>
                      <c:pt idx="6">
                        <c:v>0.24532313324259633</c:v>
                      </c:pt>
                      <c:pt idx="7">
                        <c:v>0.54227249260806309</c:v>
                      </c:pt>
                      <c:pt idx="8">
                        <c:v>1</c:v>
                      </c:pt>
                      <c:pt idx="9">
                        <c:v>0.44879147697939642</c:v>
                      </c:pt>
                      <c:pt idx="10">
                        <c:v>0.23091941615431549</c:v>
                      </c:pt>
                      <c:pt idx="11">
                        <c:v>0.17562772797672127</c:v>
                      </c:pt>
                      <c:pt idx="12">
                        <c:v>0.14793260430844324</c:v>
                      </c:pt>
                      <c:pt idx="13">
                        <c:v>0.16645703289998592</c:v>
                      </c:pt>
                      <c:pt idx="14">
                        <c:v>0.1712019524100061</c:v>
                      </c:pt>
                      <c:pt idx="15">
                        <c:v>0.27455296381470878</c:v>
                      </c:pt>
                      <c:pt idx="16">
                        <c:v>0.41159712770451024</c:v>
                      </c:pt>
                      <c:pt idx="17">
                        <c:v>0.66776176843290935</c:v>
                      </c:pt>
                      <c:pt idx="18">
                        <c:v>0.47124888534284509</c:v>
                      </c:pt>
                      <c:pt idx="19">
                        <c:v>0.22926737691838364</c:v>
                      </c:pt>
                      <c:pt idx="20">
                        <c:v>0.14253531703196132</c:v>
                      </c:pt>
                      <c:pt idx="21">
                        <c:v>0.11230581499037876</c:v>
                      </c:pt>
                      <c:pt idx="22">
                        <c:v>7.7612991035809833E-2</c:v>
                      </c:pt>
                      <c:pt idx="23">
                        <c:v>3.012155629605294E-2</c:v>
                      </c:pt>
                    </c:numCache>
                  </c:numRef>
                </c:val>
                <c:smooth val="1"/>
              </c15:ser>
            </c15:filteredLineSeries>
            <c15:filteredLineSeries>
              <c15:ser>
                <c:idx val="3"/>
                <c:order val="1"/>
                <c:tx>
                  <c:strRef>
                    <c:extLst xmlns:c15="http://schemas.microsoft.com/office/drawing/2012/chart">
                      <c:ext xmlns:c15="http://schemas.microsoft.com/office/drawing/2012/chart" uri="{02D57815-91ED-43cb-92C2-25804820EDAC}">
                        <c15:formulaRef>
                          <c15:sqref>'Demand by time of day'!$R$17</c15:sqref>
                        </c15:formulaRef>
                      </c:ext>
                    </c:extLst>
                    <c:strCache>
                      <c:ptCount val="1"/>
                      <c:pt idx="0">
                        <c:v>Trains
Saturday</c:v>
                      </c:pt>
                    </c:strCache>
                  </c:strRef>
                </c:tx>
                <c:spPr>
                  <a:ln w="28575" cap="rnd">
                    <a:solidFill>
                      <a:srgbClr val="F68B1F"/>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day'!$R$18:$R$41</c15:sqref>
                        </c15:formulaRef>
                      </c:ext>
                    </c:extLst>
                    <c:numCache>
                      <c:formatCode>0%</c:formatCode>
                      <c:ptCount val="24"/>
                      <c:pt idx="0">
                        <c:v>2.3015910264232411E-2</c:v>
                      </c:pt>
                      <c:pt idx="1">
                        <c:v>1.2488853428450743E-2</c:v>
                      </c:pt>
                      <c:pt idx="2">
                        <c:v>1.6942788754869293E-3</c:v>
                      </c:pt>
                      <c:pt idx="3">
                        <c:v>2.8159759703383863E-5</c:v>
                      </c:pt>
                      <c:pt idx="4">
                        <c:v>6.1622940817571692E-3</c:v>
                      </c:pt>
                      <c:pt idx="5">
                        <c:v>4.4891350260477775E-2</c:v>
                      </c:pt>
                      <c:pt idx="6">
                        <c:v>7.705448913502605E-2</c:v>
                      </c:pt>
                      <c:pt idx="7">
                        <c:v>7.71389684141362E-2</c:v>
                      </c:pt>
                      <c:pt idx="8">
                        <c:v>0.12790632186605341</c:v>
                      </c:pt>
                      <c:pt idx="9">
                        <c:v>0.14204721453043601</c:v>
                      </c:pt>
                      <c:pt idx="10">
                        <c:v>0.14107100952738535</c:v>
                      </c:pt>
                      <c:pt idx="11">
                        <c:v>0.14740695546064675</c:v>
                      </c:pt>
                      <c:pt idx="12">
                        <c:v>0.15873187215469095</c:v>
                      </c:pt>
                      <c:pt idx="13">
                        <c:v>0.14035293565494908</c:v>
                      </c:pt>
                      <c:pt idx="14">
                        <c:v>0.15005866616604871</c:v>
                      </c:pt>
                      <c:pt idx="15">
                        <c:v>0.16249589336837658</c:v>
                      </c:pt>
                      <c:pt idx="16">
                        <c:v>0.16059980288168207</c:v>
                      </c:pt>
                      <c:pt idx="17">
                        <c:v>0.17718590134697518</c:v>
                      </c:pt>
                      <c:pt idx="18">
                        <c:v>0.16464542169240157</c:v>
                      </c:pt>
                      <c:pt idx="19">
                        <c:v>0.12119491247008025</c:v>
                      </c:pt>
                      <c:pt idx="20">
                        <c:v>9.4945323133242596E-2</c:v>
                      </c:pt>
                      <c:pt idx="21">
                        <c:v>7.9767212653118688E-2</c:v>
                      </c:pt>
                      <c:pt idx="22">
                        <c:v>8.6197024452058013E-2</c:v>
                      </c:pt>
                      <c:pt idx="23">
                        <c:v>4.6318111418782559E-2</c:v>
                      </c:pt>
                    </c:numCache>
                  </c:numRef>
                </c:val>
                <c:smooth val="1"/>
              </c15:ser>
            </c15:filteredLineSeries>
            <c15:filteredLineSeries>
              <c15:ser>
                <c:idx val="6"/>
                <c:order val="2"/>
                <c:tx>
                  <c:strRef>
                    <c:extLst xmlns:c15="http://schemas.microsoft.com/office/drawing/2012/chart">
                      <c:ext xmlns:c15="http://schemas.microsoft.com/office/drawing/2012/chart" uri="{02D57815-91ED-43cb-92C2-25804820EDAC}">
                        <c15:formulaRef>
                          <c15:sqref>'Demand by time of day'!$S$17</c15:sqref>
                        </c15:formulaRef>
                      </c:ext>
                    </c:extLst>
                    <c:strCache>
                      <c:ptCount val="1"/>
                      <c:pt idx="0">
                        <c:v>Trains
Sunday</c:v>
                      </c:pt>
                    </c:strCache>
                  </c:strRef>
                </c:tx>
                <c:spPr>
                  <a:ln w="28575" cap="rnd">
                    <a:solidFill>
                      <a:srgbClr val="F68B1F"/>
                    </a:solidFill>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day'!$S$18:$S$41</c15:sqref>
                        </c15:formulaRef>
                      </c:ext>
                    </c:extLst>
                    <c:numCache>
                      <c:formatCode>0%</c:formatCode>
                      <c:ptCount val="24"/>
                      <c:pt idx="0">
                        <c:v>2.5343783733045478E-4</c:v>
                      </c:pt>
                      <c:pt idx="1">
                        <c:v>1.8773173135589244E-5</c:v>
                      </c:pt>
                      <c:pt idx="2">
                        <c:v>0</c:v>
                      </c:pt>
                      <c:pt idx="3">
                        <c:v>0</c:v>
                      </c:pt>
                      <c:pt idx="4">
                        <c:v>6.7207959825409487E-3</c:v>
                      </c:pt>
                      <c:pt idx="5">
                        <c:v>3.2923452386539633E-2</c:v>
                      </c:pt>
                      <c:pt idx="6">
                        <c:v>4.7580607312150934E-2</c:v>
                      </c:pt>
                      <c:pt idx="7">
                        <c:v>7.5702820669263621E-2</c:v>
                      </c:pt>
                      <c:pt idx="8">
                        <c:v>0.14702210541136715</c:v>
                      </c:pt>
                      <c:pt idx="9">
                        <c:v>0.15878349838081382</c:v>
                      </c:pt>
                      <c:pt idx="10">
                        <c:v>0.15996151499507205</c:v>
                      </c:pt>
                      <c:pt idx="11">
                        <c:v>0.13358051344628527</c:v>
                      </c:pt>
                      <c:pt idx="12">
                        <c:v>0.1266954521988079</c:v>
                      </c:pt>
                      <c:pt idx="13">
                        <c:v>0.12728211385929505</c:v>
                      </c:pt>
                      <c:pt idx="14">
                        <c:v>0.14612099310085888</c:v>
                      </c:pt>
                      <c:pt idx="15">
                        <c:v>0.14387290561787205</c:v>
                      </c:pt>
                      <c:pt idx="16">
                        <c:v>0.15180457126765851</c:v>
                      </c:pt>
                      <c:pt idx="17">
                        <c:v>0.13703008400994979</c:v>
                      </c:pt>
                      <c:pt idx="18">
                        <c:v>8.5248979208710746E-2</c:v>
                      </c:pt>
                      <c:pt idx="19">
                        <c:v>6.9925376636786038E-2</c:v>
                      </c:pt>
                      <c:pt idx="20">
                        <c:v>5.35786361289717E-2</c:v>
                      </c:pt>
                      <c:pt idx="21">
                        <c:v>4.9476697798845448E-2</c:v>
                      </c:pt>
                      <c:pt idx="22">
                        <c:v>4.4135730041770307E-2</c:v>
                      </c:pt>
                      <c:pt idx="23">
                        <c:v>1.0630309288027408E-2</c:v>
                      </c:pt>
                    </c:numCache>
                  </c:numRef>
                </c:val>
                <c:smooth val="1"/>
              </c15:ser>
            </c15:filteredLineSeries>
            <c15:filteredLineSeries>
              <c15:ser>
                <c:idx val="11"/>
                <c:order val="3"/>
                <c:tx>
                  <c:strRef>
                    <c:extLst xmlns:c15="http://schemas.microsoft.com/office/drawing/2012/chart">
                      <c:ext xmlns:c15="http://schemas.microsoft.com/office/drawing/2012/chart" uri="{02D57815-91ED-43cb-92C2-25804820EDAC}">
                        <c15:formulaRef>
                          <c15:sqref>'Demand by time of day'!$T$17</c15:sqref>
                        </c15:formulaRef>
                      </c:ext>
                    </c:extLst>
                    <c:strCache>
                      <c:ptCount val="1"/>
                      <c:pt idx="0">
                        <c:v>Buses
Weekday</c:v>
                      </c:pt>
                    </c:strCache>
                  </c:strRef>
                </c:tx>
                <c:spPr>
                  <a:ln w="28575" cap="rnd">
                    <a:solidFill>
                      <a:srgbClr val="00B050"/>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day'!$T$18:$T$41</c15:sqref>
                        </c15:formulaRef>
                      </c:ext>
                    </c:extLst>
                    <c:numCache>
                      <c:formatCode>0%</c:formatCode>
                      <c:ptCount val="24"/>
                      <c:pt idx="0">
                        <c:v>5.3247406188582655E-3</c:v>
                      </c:pt>
                      <c:pt idx="1">
                        <c:v>0</c:v>
                      </c:pt>
                      <c:pt idx="2">
                        <c:v>0</c:v>
                      </c:pt>
                      <c:pt idx="3">
                        <c:v>9.1411856117738465E-5</c:v>
                      </c:pt>
                      <c:pt idx="4">
                        <c:v>7.2215366333013391E-3</c:v>
                      </c:pt>
                      <c:pt idx="5">
                        <c:v>7.3449426390602868E-2</c:v>
                      </c:pt>
                      <c:pt idx="6">
                        <c:v>0.27894327894327892</c:v>
                      </c:pt>
                      <c:pt idx="7">
                        <c:v>0.66721513780337305</c:v>
                      </c:pt>
                      <c:pt idx="8">
                        <c:v>1</c:v>
                      </c:pt>
                      <c:pt idx="9">
                        <c:v>0.57203254262077796</c:v>
                      </c:pt>
                      <c:pt idx="10">
                        <c:v>0.38287855934914761</c:v>
                      </c:pt>
                      <c:pt idx="11">
                        <c:v>0.35751176927647516</c:v>
                      </c:pt>
                      <c:pt idx="12">
                        <c:v>0.36599021893139538</c:v>
                      </c:pt>
                      <c:pt idx="13">
                        <c:v>0.38518670871612049</c:v>
                      </c:pt>
                      <c:pt idx="14">
                        <c:v>0.43178390237213765</c:v>
                      </c:pt>
                      <c:pt idx="15">
                        <c:v>0.5819278760455231</c:v>
                      </c:pt>
                      <c:pt idx="16">
                        <c:v>0.65448603683897799</c:v>
                      </c:pt>
                      <c:pt idx="17">
                        <c:v>0.82078705608117375</c:v>
                      </c:pt>
                      <c:pt idx="18">
                        <c:v>0.73442570501394033</c:v>
                      </c:pt>
                      <c:pt idx="19">
                        <c:v>0.39380227615521735</c:v>
                      </c:pt>
                      <c:pt idx="20">
                        <c:v>0.25188536953242835</c:v>
                      </c:pt>
                      <c:pt idx="21">
                        <c:v>0.21682892271127566</c:v>
                      </c:pt>
                      <c:pt idx="22">
                        <c:v>0.14657891128479364</c:v>
                      </c:pt>
                      <c:pt idx="23">
                        <c:v>6.142876731112025E-2</c:v>
                      </c:pt>
                    </c:numCache>
                  </c:numRef>
                </c:val>
                <c:smooth val="1"/>
              </c15:ser>
            </c15:filteredLineSeries>
            <c15:filteredLineSeries>
              <c15:ser>
                <c:idx val="1"/>
                <c:order val="4"/>
                <c:tx>
                  <c:strRef>
                    <c:extLst xmlns:c15="http://schemas.microsoft.com/office/drawing/2012/chart">
                      <c:ext xmlns:c15="http://schemas.microsoft.com/office/drawing/2012/chart" uri="{02D57815-91ED-43cb-92C2-25804820EDAC}">
                        <c15:formulaRef>
                          <c15:sqref>'Demand by time of day'!$U$17</c15:sqref>
                        </c15:formulaRef>
                      </c:ext>
                    </c:extLst>
                    <c:strCache>
                      <c:ptCount val="1"/>
                      <c:pt idx="0">
                        <c:v>Buses
Saturday</c:v>
                      </c:pt>
                    </c:strCache>
                  </c:strRef>
                </c:tx>
                <c:spPr>
                  <a:ln w="28575" cap="rnd">
                    <a:solidFill>
                      <a:srgbClr val="00B0F0"/>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day'!$U$18:$U$41</c15:sqref>
                        </c15:formulaRef>
                      </c:ext>
                    </c:extLst>
                    <c:numCache>
                      <c:formatCode>0%</c:formatCode>
                      <c:ptCount val="24"/>
                      <c:pt idx="0">
                        <c:v>4.1135335252982314E-4</c:v>
                      </c:pt>
                      <c:pt idx="1">
                        <c:v>0</c:v>
                      </c:pt>
                      <c:pt idx="2">
                        <c:v>9.1411856117738465E-5</c:v>
                      </c:pt>
                      <c:pt idx="3">
                        <c:v>2.5138260432378077E-4</c:v>
                      </c:pt>
                      <c:pt idx="4">
                        <c:v>3.9764157411216238E-3</c:v>
                      </c:pt>
                      <c:pt idx="5">
                        <c:v>3.0920060331825039E-2</c:v>
                      </c:pt>
                      <c:pt idx="6">
                        <c:v>8.2773435714612181E-2</c:v>
                      </c:pt>
                      <c:pt idx="7">
                        <c:v>0.13279857397504458</c:v>
                      </c:pt>
                      <c:pt idx="8">
                        <c:v>0.21959413135883724</c:v>
                      </c:pt>
                      <c:pt idx="9">
                        <c:v>0.26381461675579321</c:v>
                      </c:pt>
                      <c:pt idx="10">
                        <c:v>0.29644864938982585</c:v>
                      </c:pt>
                      <c:pt idx="11">
                        <c:v>0.331527949175008</c:v>
                      </c:pt>
                      <c:pt idx="12">
                        <c:v>0.35755747520453401</c:v>
                      </c:pt>
                      <c:pt idx="13">
                        <c:v>0.35371817724758903</c:v>
                      </c:pt>
                      <c:pt idx="14">
                        <c:v>0.36658439599616072</c:v>
                      </c:pt>
                      <c:pt idx="15">
                        <c:v>0.38075323369441016</c:v>
                      </c:pt>
                      <c:pt idx="16">
                        <c:v>0.39032862562274329</c:v>
                      </c:pt>
                      <c:pt idx="17">
                        <c:v>0.40495452260158143</c:v>
                      </c:pt>
                      <c:pt idx="18">
                        <c:v>0.39046574340691986</c:v>
                      </c:pt>
                      <c:pt idx="19">
                        <c:v>0.2802230449289273</c:v>
                      </c:pt>
                      <c:pt idx="20">
                        <c:v>0.18725718725718726</c:v>
                      </c:pt>
                      <c:pt idx="21">
                        <c:v>0.16143333790392614</c:v>
                      </c:pt>
                      <c:pt idx="22">
                        <c:v>0.16223319164495634</c:v>
                      </c:pt>
                      <c:pt idx="23">
                        <c:v>0.10761460761460762</c:v>
                      </c:pt>
                    </c:numCache>
                  </c:numRef>
                </c:val>
                <c:smooth val="1"/>
              </c15:ser>
            </c15:filteredLineSeries>
            <c15:filteredLineSeries>
              <c15:ser>
                <c:idx val="2"/>
                <c:order val="5"/>
                <c:tx>
                  <c:strRef>
                    <c:extLst xmlns:c15="http://schemas.microsoft.com/office/drawing/2012/chart">
                      <c:ext xmlns:c15="http://schemas.microsoft.com/office/drawing/2012/chart" uri="{02D57815-91ED-43cb-92C2-25804820EDAC}">
                        <c15:formulaRef>
                          <c15:sqref>'Demand by time of day'!$V$17</c15:sqref>
                        </c15:formulaRef>
                      </c:ext>
                    </c:extLst>
                    <c:strCache>
                      <c:ptCount val="1"/>
                      <c:pt idx="0">
                        <c:v>Buses
Sunday</c:v>
                      </c:pt>
                    </c:strCache>
                  </c:strRef>
                </c:tx>
                <c:spPr>
                  <a:ln w="28575" cap="rnd">
                    <a:solidFill>
                      <a:srgbClr val="00B0F0"/>
                    </a:solidFill>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day'!$V$18:$V$41</c15:sqref>
                        </c15:formulaRef>
                      </c:ext>
                    </c:extLst>
                    <c:numCache>
                      <c:formatCode>0%</c:formatCode>
                      <c:ptCount val="24"/>
                      <c:pt idx="0">
                        <c:v>5.3475935828877002E-3</c:v>
                      </c:pt>
                      <c:pt idx="1">
                        <c:v>0</c:v>
                      </c:pt>
                      <c:pt idx="2">
                        <c:v>0</c:v>
                      </c:pt>
                      <c:pt idx="3">
                        <c:v>2.2852964029434618E-4</c:v>
                      </c:pt>
                      <c:pt idx="4">
                        <c:v>2.6509438274144159E-3</c:v>
                      </c:pt>
                      <c:pt idx="5">
                        <c:v>1.1655011655011656E-2</c:v>
                      </c:pt>
                      <c:pt idx="6">
                        <c:v>4.5134603958133367E-2</c:v>
                      </c:pt>
                      <c:pt idx="7">
                        <c:v>8.6498468851410035E-2</c:v>
                      </c:pt>
                      <c:pt idx="8">
                        <c:v>0.17962429727135609</c:v>
                      </c:pt>
                      <c:pt idx="9">
                        <c:v>0.28100004570592807</c:v>
                      </c:pt>
                      <c:pt idx="10">
                        <c:v>0.32519767813885458</c:v>
                      </c:pt>
                      <c:pt idx="11">
                        <c:v>0.34976461447049684</c:v>
                      </c:pt>
                      <c:pt idx="12">
                        <c:v>0.35860871154988799</c:v>
                      </c:pt>
                      <c:pt idx="13">
                        <c:v>0.35239270533388178</c:v>
                      </c:pt>
                      <c:pt idx="14">
                        <c:v>0.35362676539147125</c:v>
                      </c:pt>
                      <c:pt idx="15">
                        <c:v>0.36443621737739385</c:v>
                      </c:pt>
                      <c:pt idx="16">
                        <c:v>0.36850404497463318</c:v>
                      </c:pt>
                      <c:pt idx="17">
                        <c:v>0.38326705973764796</c:v>
                      </c:pt>
                      <c:pt idx="18">
                        <c:v>0.31331413684354859</c:v>
                      </c:pt>
                      <c:pt idx="19">
                        <c:v>0.20990447461035697</c:v>
                      </c:pt>
                      <c:pt idx="20">
                        <c:v>0.14381370263723206</c:v>
                      </c:pt>
                      <c:pt idx="21">
                        <c:v>0.12002376708259062</c:v>
                      </c:pt>
                      <c:pt idx="22">
                        <c:v>0.10030165912518854</c:v>
                      </c:pt>
                      <c:pt idx="23">
                        <c:v>4.9750902692079164E-2</c:v>
                      </c:pt>
                    </c:numCache>
                  </c:numRef>
                </c:val>
                <c:smooth val="1"/>
              </c15:ser>
            </c15:filteredLineSeries>
            <c15:filteredLineSeries>
              <c15:ser>
                <c:idx val="4"/>
                <c:order val="6"/>
                <c:tx>
                  <c:strRef>
                    <c:extLst xmlns:c15="http://schemas.microsoft.com/office/drawing/2012/chart">
                      <c:ext xmlns:c15="http://schemas.microsoft.com/office/drawing/2012/chart" uri="{02D57815-91ED-43cb-92C2-25804820EDAC}">
                        <c15:formulaRef>
                          <c15:sqref>'Demand by time of day'!$W$17</c15:sqref>
                        </c15:formulaRef>
                      </c:ext>
                    </c:extLst>
                    <c:strCache>
                      <c:ptCount val="1"/>
                      <c:pt idx="0">
                        <c:v>Light rail
Weekday</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day'!$W$18:$W$41</c15:sqref>
                        </c15:formulaRef>
                      </c:ext>
                    </c:extLst>
                    <c:numCache>
                      <c:formatCode>0%</c:formatCode>
                      <c:ptCount val="24"/>
                      <c:pt idx="0">
                        <c:v>0</c:v>
                      </c:pt>
                      <c:pt idx="1">
                        <c:v>0</c:v>
                      </c:pt>
                      <c:pt idx="2">
                        <c:v>0</c:v>
                      </c:pt>
                      <c:pt idx="3">
                        <c:v>0</c:v>
                      </c:pt>
                      <c:pt idx="4">
                        <c:v>0</c:v>
                      </c:pt>
                      <c:pt idx="5">
                        <c:v>2.3255813953488372E-3</c:v>
                      </c:pt>
                      <c:pt idx="6">
                        <c:v>0.26511627906976742</c:v>
                      </c:pt>
                      <c:pt idx="7">
                        <c:v>0.48643410852713176</c:v>
                      </c:pt>
                      <c:pt idx="8">
                        <c:v>1</c:v>
                      </c:pt>
                      <c:pt idx="9">
                        <c:v>0.51472868217054268</c:v>
                      </c:pt>
                      <c:pt idx="10">
                        <c:v>0.34728682170542635</c:v>
                      </c:pt>
                      <c:pt idx="11">
                        <c:v>0.33100775193798448</c:v>
                      </c:pt>
                      <c:pt idx="12">
                        <c:v>0.30116279069767443</c:v>
                      </c:pt>
                      <c:pt idx="13">
                        <c:v>0.34302325581395349</c:v>
                      </c:pt>
                      <c:pt idx="14">
                        <c:v>0.39147286821705424</c:v>
                      </c:pt>
                      <c:pt idx="15">
                        <c:v>0.53837209302325584</c:v>
                      </c:pt>
                      <c:pt idx="16">
                        <c:v>0.58294573643410852</c:v>
                      </c:pt>
                      <c:pt idx="17">
                        <c:v>0.88062015503875968</c:v>
                      </c:pt>
                      <c:pt idx="18">
                        <c:v>0.47635658914728685</c:v>
                      </c:pt>
                      <c:pt idx="19">
                        <c:v>0.39496124031007751</c:v>
                      </c:pt>
                      <c:pt idx="20">
                        <c:v>5.6201550387596902E-2</c:v>
                      </c:pt>
                      <c:pt idx="21">
                        <c:v>4.7286821705426356E-2</c:v>
                      </c:pt>
                      <c:pt idx="22">
                        <c:v>8.0620155038759689E-2</c:v>
                      </c:pt>
                      <c:pt idx="23">
                        <c:v>1.2403100775193798E-2</c:v>
                      </c:pt>
                    </c:numCache>
                  </c:numRef>
                </c:val>
                <c:smooth val="0"/>
              </c15:ser>
            </c15:filteredLineSeries>
            <c15:filteredLineSeries>
              <c15:ser>
                <c:idx val="5"/>
                <c:order val="7"/>
                <c:tx>
                  <c:strRef>
                    <c:extLst xmlns:c15="http://schemas.microsoft.com/office/drawing/2012/chart">
                      <c:ext xmlns:c15="http://schemas.microsoft.com/office/drawing/2012/chart" uri="{02D57815-91ED-43cb-92C2-25804820EDAC}">
                        <c15:formulaRef>
                          <c15:sqref>'Demand by time of day'!$X$17</c15:sqref>
                        </c15:formulaRef>
                      </c:ext>
                    </c:extLst>
                    <c:strCache>
                      <c:ptCount val="1"/>
                      <c:pt idx="0">
                        <c:v>Light rail
Saturday</c:v>
                      </c:pt>
                    </c:strCache>
                  </c:strRef>
                </c:tx>
                <c:spPr>
                  <a:ln w="28575" cap="rnd">
                    <a:solidFill>
                      <a:srgbClr val="D12026"/>
                    </a:solidFill>
                    <a:prstDash val="sysDash"/>
                    <a:round/>
                  </a:ln>
                  <a:effectLst/>
                </c:spPr>
                <c:marker>
                  <c:symbol val="none"/>
                </c:marker>
                <c:cat>
                  <c:strRef>
                    <c:extLst xmlns:c15="http://schemas.microsoft.com/office/drawing/2012/chart">
                      <c:ext xmlns:c15="http://schemas.microsoft.com/office/drawing/2012/chart" uri="{02D57815-91ED-43cb-92C2-25804820EDAC}">
                        <c15:formulaRef>
                          <c15:sqref>'Demand by time of day'!$P$18:$P$41</c15:sqref>
                        </c15:formulaRef>
                      </c:ext>
                    </c:extLst>
                    <c:strCache>
                      <c:ptCount val="24"/>
                      <c:pt idx="0">
                        <c:v>12am</c:v>
                      </c:pt>
                      <c:pt idx="1">
                        <c:v>1am</c:v>
                      </c:pt>
                      <c:pt idx="2">
                        <c:v>2am</c:v>
                      </c:pt>
                      <c:pt idx="3">
                        <c:v>3am</c:v>
                      </c:pt>
                      <c:pt idx="4">
                        <c:v>4am</c:v>
                      </c:pt>
                      <c:pt idx="5">
                        <c:v>5am</c:v>
                      </c:pt>
                      <c:pt idx="6">
                        <c:v>6am</c:v>
                      </c:pt>
                      <c:pt idx="7">
                        <c:v>7am</c:v>
                      </c:pt>
                      <c:pt idx="8">
                        <c:v>8am</c:v>
                      </c:pt>
                      <c:pt idx="9">
                        <c:v>9am</c:v>
                      </c:pt>
                      <c:pt idx="10">
                        <c:v>10am</c:v>
                      </c:pt>
                      <c:pt idx="11">
                        <c:v>11am</c:v>
                      </c:pt>
                      <c:pt idx="12">
                        <c:v>12pm</c:v>
                      </c:pt>
                      <c:pt idx="13">
                        <c:v>1pm</c:v>
                      </c:pt>
                      <c:pt idx="14">
                        <c:v>2pm</c:v>
                      </c:pt>
                      <c:pt idx="15">
                        <c:v>3pm</c:v>
                      </c:pt>
                      <c:pt idx="16">
                        <c:v>4pm</c:v>
                      </c:pt>
                      <c:pt idx="17">
                        <c:v>5pm</c:v>
                      </c:pt>
                      <c:pt idx="18">
                        <c:v>6pm</c:v>
                      </c:pt>
                      <c:pt idx="19">
                        <c:v>7pm</c:v>
                      </c:pt>
                      <c:pt idx="20">
                        <c:v>8pm</c:v>
                      </c:pt>
                      <c:pt idx="21">
                        <c:v>9pm</c:v>
                      </c:pt>
                      <c:pt idx="22">
                        <c:v>10pm</c:v>
                      </c:pt>
                      <c:pt idx="23">
                        <c:v>11pm</c:v>
                      </c:pt>
                    </c:strCache>
                  </c:strRef>
                </c:cat>
                <c:val>
                  <c:numRef>
                    <c:extLst xmlns:c15="http://schemas.microsoft.com/office/drawing/2012/chart">
                      <c:ext xmlns:c15="http://schemas.microsoft.com/office/drawing/2012/chart" uri="{02D57815-91ED-43cb-92C2-25804820EDAC}">
                        <c15:formulaRef>
                          <c15:sqref>'Demand by time of day'!$X$18:$X$41</c15:sqref>
                        </c15:formulaRef>
                      </c:ext>
                    </c:extLst>
                    <c:numCache>
                      <c:formatCode>0%</c:formatCode>
                      <c:ptCount val="24"/>
                      <c:pt idx="0">
                        <c:v>1.7054263565891473E-2</c:v>
                      </c:pt>
                      <c:pt idx="1">
                        <c:v>0</c:v>
                      </c:pt>
                      <c:pt idx="2">
                        <c:v>0</c:v>
                      </c:pt>
                      <c:pt idx="3">
                        <c:v>0</c:v>
                      </c:pt>
                      <c:pt idx="4">
                        <c:v>0</c:v>
                      </c:pt>
                      <c:pt idx="5">
                        <c:v>3.875968992248062E-4</c:v>
                      </c:pt>
                      <c:pt idx="6">
                        <c:v>0.10697674418604651</c:v>
                      </c:pt>
                      <c:pt idx="7">
                        <c:v>0.12751937984496123</c:v>
                      </c:pt>
                      <c:pt idx="8">
                        <c:v>0.14534883720930233</c:v>
                      </c:pt>
                      <c:pt idx="9">
                        <c:v>0.20193798449612402</c:v>
                      </c:pt>
                      <c:pt idx="10">
                        <c:v>0.5</c:v>
                      </c:pt>
                      <c:pt idx="11">
                        <c:v>0.54689922480620157</c:v>
                      </c:pt>
                      <c:pt idx="12">
                        <c:v>0.48410852713178293</c:v>
                      </c:pt>
                      <c:pt idx="13">
                        <c:v>0.50387596899224807</c:v>
                      </c:pt>
                      <c:pt idx="14">
                        <c:v>0.51666666666666672</c:v>
                      </c:pt>
                      <c:pt idx="15">
                        <c:v>0.52093023255813953</c:v>
                      </c:pt>
                      <c:pt idx="16">
                        <c:v>0.44186046511627908</c:v>
                      </c:pt>
                      <c:pt idx="17">
                        <c:v>0.60503875968992249</c:v>
                      </c:pt>
                      <c:pt idx="18">
                        <c:v>0.41124031007751938</c:v>
                      </c:pt>
                      <c:pt idx="19">
                        <c:v>0.36046511627906974</c:v>
                      </c:pt>
                      <c:pt idx="20">
                        <c:v>9.9224806201550386E-2</c:v>
                      </c:pt>
                      <c:pt idx="21">
                        <c:v>9.4961240310077522E-2</c:v>
                      </c:pt>
                      <c:pt idx="22">
                        <c:v>0.10930232558139535</c:v>
                      </c:pt>
                      <c:pt idx="23">
                        <c:v>6.0077519379844964E-2</c:v>
                      </c:pt>
                    </c:numCache>
                  </c:numRef>
                </c:val>
                <c:smooth val="1"/>
              </c15:ser>
            </c15:filteredLineSeries>
          </c:ext>
        </c:extLst>
      </c:lineChart>
      <c:catAx>
        <c:axId val="56678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82632"/>
        <c:crosses val="autoZero"/>
        <c:auto val="1"/>
        <c:lblAlgn val="ctr"/>
        <c:lblOffset val="100"/>
        <c:tickLblSkip val="3"/>
        <c:noMultiLvlLbl val="0"/>
      </c:catAx>
      <c:valAx>
        <c:axId val="566782632"/>
        <c:scaling>
          <c:orientation val="minMax"/>
          <c:max val="1.0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88512"/>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0"/>
          <c:tx>
            <c:strRef>
              <c:f>'Peak and off peak journeys'!$C$16</c:f>
              <c:strCache>
                <c:ptCount val="1"/>
                <c:pt idx="0">
                  <c:v>Off-peak</c:v>
                </c:pt>
              </c:strCache>
            </c:strRef>
          </c:tx>
          <c:spPr>
            <a:solidFill>
              <a:srgbClr val="00B0F0"/>
            </a:solidFill>
            <a:ln>
              <a:noFill/>
            </a:ln>
            <a:effectLst/>
          </c:spPr>
          <c:invertIfNegative val="0"/>
          <c:cat>
            <c:strRef>
              <c:f>'Peak and off peak journeys'!$B$17:$B$20</c:f>
              <c:strCache>
                <c:ptCount val="4"/>
                <c:pt idx="0">
                  <c:v>Train</c:v>
                </c:pt>
                <c:pt idx="1">
                  <c:v>Bus</c:v>
                </c:pt>
                <c:pt idx="2">
                  <c:v>Light rail</c:v>
                </c:pt>
                <c:pt idx="3">
                  <c:v>Ferry</c:v>
                </c:pt>
              </c:strCache>
            </c:strRef>
          </c:cat>
          <c:val>
            <c:numRef>
              <c:f>'Peak and off peak journeys'!$C$17:$C$20</c:f>
              <c:numCache>
                <c:formatCode>0%</c:formatCode>
                <c:ptCount val="4"/>
                <c:pt idx="0">
                  <c:v>0.59034672614503581</c:v>
                </c:pt>
                <c:pt idx="1">
                  <c:v>0.59391868504201328</c:v>
                </c:pt>
                <c:pt idx="2">
                  <c:v>0.63818208189081649</c:v>
                </c:pt>
                <c:pt idx="3">
                  <c:v>0.99481639834276092</c:v>
                </c:pt>
              </c:numCache>
            </c:numRef>
          </c:val>
        </c:ser>
        <c:ser>
          <c:idx val="0"/>
          <c:order val="1"/>
          <c:tx>
            <c:strRef>
              <c:f>'Peak and off peak journeys'!$D$16</c:f>
              <c:strCache>
                <c:ptCount val="1"/>
                <c:pt idx="0">
                  <c:v>Peak</c:v>
                </c:pt>
              </c:strCache>
            </c:strRef>
          </c:tx>
          <c:spPr>
            <a:solidFill>
              <a:srgbClr val="002060"/>
            </a:solidFill>
            <a:ln>
              <a:noFill/>
            </a:ln>
            <a:effectLst/>
          </c:spPr>
          <c:invertIfNegative val="0"/>
          <c:cat>
            <c:strRef>
              <c:f>'Peak and off peak journeys'!$B$17:$B$20</c:f>
              <c:strCache>
                <c:ptCount val="4"/>
                <c:pt idx="0">
                  <c:v>Train</c:v>
                </c:pt>
                <c:pt idx="1">
                  <c:v>Bus</c:v>
                </c:pt>
                <c:pt idx="2">
                  <c:v>Light rail</c:v>
                </c:pt>
                <c:pt idx="3">
                  <c:v>Ferry</c:v>
                </c:pt>
              </c:strCache>
            </c:strRef>
          </c:cat>
          <c:val>
            <c:numRef>
              <c:f>'Peak and off peak journeys'!$D$17:$D$20</c:f>
              <c:numCache>
                <c:formatCode>0%</c:formatCode>
                <c:ptCount val="4"/>
                <c:pt idx="0">
                  <c:v>0.40965327385496419</c:v>
                </c:pt>
                <c:pt idx="1">
                  <c:v>0.40608131495798672</c:v>
                </c:pt>
                <c:pt idx="2">
                  <c:v>0.36181791810918357</c:v>
                </c:pt>
                <c:pt idx="3">
                  <c:v>0.40288314194366143</c:v>
                </c:pt>
              </c:numCache>
            </c:numRef>
          </c:val>
        </c:ser>
        <c:dLbls>
          <c:showLegendKey val="0"/>
          <c:showVal val="0"/>
          <c:showCatName val="0"/>
          <c:showSerName val="0"/>
          <c:showPercent val="0"/>
          <c:showBubbleSize val="0"/>
        </c:dLbls>
        <c:gapWidth val="156"/>
        <c:overlap val="100"/>
        <c:axId val="566780280"/>
        <c:axId val="566786552"/>
      </c:barChart>
      <c:catAx>
        <c:axId val="566780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86552"/>
        <c:crosses val="autoZero"/>
        <c:auto val="1"/>
        <c:lblAlgn val="ctr"/>
        <c:lblOffset val="100"/>
        <c:noMultiLvlLbl val="0"/>
      </c:catAx>
      <c:valAx>
        <c:axId val="5667865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80280"/>
        <c:crosses val="autoZero"/>
        <c:crossBetween val="between"/>
        <c:majorUnit val="0.2"/>
      </c:valAx>
      <c:spPr>
        <a:noFill/>
        <a:ln>
          <a:noFill/>
        </a:ln>
        <a:effectLst/>
      </c:spPr>
    </c:plotArea>
    <c:legend>
      <c:legendPos val="b"/>
      <c:layout>
        <c:manualLayout>
          <c:xMode val="edge"/>
          <c:yMode val="edge"/>
          <c:x val="0.3413967146692215"/>
          <c:y val="0.91841426071741028"/>
          <c:w val="0.4861932883389577"/>
          <c:h val="7.08147419072615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00">
          <a:latin typeface="Raleway" panose="020B0503030101060003"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60"/>
            </a:pPr>
            <a:r>
              <a:rPr lang="en-AU" sz="1260"/>
              <a:t>Cost per</a:t>
            </a:r>
            <a:r>
              <a:rPr lang="en-AU" sz="1260" baseline="0"/>
              <a:t> passenger kilometre</a:t>
            </a:r>
            <a:endParaRPr lang="en-AU" sz="1260"/>
          </a:p>
        </c:rich>
      </c:tx>
      <c:layout>
        <c:manualLayout>
          <c:xMode val="edge"/>
          <c:yMode val="edge"/>
          <c:x val="0.22700315814242109"/>
          <c:y val="3.8560411311053984E-2"/>
        </c:manualLayout>
      </c:layout>
      <c:overlay val="0"/>
    </c:title>
    <c:autoTitleDeleted val="0"/>
    <c:plotArea>
      <c:layout>
        <c:manualLayout>
          <c:layoutTarget val="inner"/>
          <c:xMode val="edge"/>
          <c:yMode val="edge"/>
          <c:x val="0.2986541139685408"/>
          <c:y val="0.18602611833846855"/>
          <c:w val="0.60419994610322969"/>
          <c:h val="0.66141874928677391"/>
        </c:manualLayout>
      </c:layout>
      <c:barChart>
        <c:barDir val="bar"/>
        <c:grouping val="clustered"/>
        <c:varyColors val="0"/>
        <c:ser>
          <c:idx val="2"/>
          <c:order val="0"/>
          <c:spPr>
            <a:solidFill>
              <a:srgbClr val="0070C0"/>
            </a:solidFill>
          </c:spPr>
          <c:invertIfNegative val="0"/>
          <c:dPt>
            <c:idx val="0"/>
            <c:invertIfNegative val="0"/>
            <c:bubble3D val="0"/>
            <c:spPr>
              <a:solidFill>
                <a:srgbClr val="F68B1F"/>
              </a:solidFill>
            </c:spPr>
          </c:dPt>
          <c:dPt>
            <c:idx val="1"/>
            <c:invertIfNegative val="0"/>
            <c:bubble3D val="0"/>
            <c:spPr>
              <a:solidFill>
                <a:srgbClr val="00B0F0"/>
              </a:solidFill>
            </c:spPr>
          </c:dPt>
          <c:dPt>
            <c:idx val="2"/>
            <c:invertIfNegative val="0"/>
            <c:bubble3D val="0"/>
            <c:spPr>
              <a:solidFill>
                <a:srgbClr val="46B849"/>
              </a:solidFill>
            </c:spPr>
          </c:dPt>
          <c:dPt>
            <c:idx val="3"/>
            <c:invertIfNegative val="0"/>
            <c:bubble3D val="0"/>
            <c:spPr>
              <a:solidFill>
                <a:srgbClr val="D12026"/>
              </a:solidFill>
            </c:spPr>
          </c:dPt>
          <c:cat>
            <c:strRef>
              <c:f>'Cost by mode'!$B$50:$B$53</c:f>
              <c:strCache>
                <c:ptCount val="4"/>
                <c:pt idx="0">
                  <c:v>Train (excludes
intercity 
services)</c:v>
                </c:pt>
                <c:pt idx="1">
                  <c:v>Bus</c:v>
                </c:pt>
                <c:pt idx="2">
                  <c:v>Ferry</c:v>
                </c:pt>
                <c:pt idx="3">
                  <c:v>Light Rail</c:v>
                </c:pt>
              </c:strCache>
            </c:strRef>
          </c:cat>
          <c:val>
            <c:numRef>
              <c:f>'Cost by mode'!$C$50:$C$53</c:f>
              <c:numCache>
                <c:formatCode>0.00</c:formatCode>
                <c:ptCount val="4"/>
                <c:pt idx="0">
                  <c:v>0.66076939168091564</c:v>
                </c:pt>
                <c:pt idx="1">
                  <c:v>1.1409446636803946</c:v>
                </c:pt>
                <c:pt idx="2">
                  <c:v>1.6846502576165929</c:v>
                </c:pt>
                <c:pt idx="3">
                  <c:v>2.6502517115650246</c:v>
                </c:pt>
              </c:numCache>
            </c:numRef>
          </c:val>
          <c:extLst xmlns:c16r2="http://schemas.microsoft.com/office/drawing/2015/06/chart">
            <c:ext xmlns:c16="http://schemas.microsoft.com/office/drawing/2014/chart" uri="{C3380CC4-5D6E-409C-BE32-E72D297353CC}">
              <c16:uniqueId val="{00000000-9583-46B9-8B31-6628B55C59A2}"/>
            </c:ext>
          </c:extLst>
        </c:ser>
        <c:dLbls>
          <c:showLegendKey val="0"/>
          <c:showVal val="0"/>
          <c:showCatName val="0"/>
          <c:showSerName val="0"/>
          <c:showPercent val="0"/>
          <c:showBubbleSize val="0"/>
        </c:dLbls>
        <c:gapWidth val="47"/>
        <c:overlap val="-53"/>
        <c:axId val="566780672"/>
        <c:axId val="566784592"/>
      </c:barChart>
      <c:catAx>
        <c:axId val="566780672"/>
        <c:scaling>
          <c:orientation val="maxMin"/>
        </c:scaling>
        <c:delete val="1"/>
        <c:axPos val="l"/>
        <c:numFmt formatCode="0" sourceLinked="0"/>
        <c:majorTickMark val="none"/>
        <c:minorTickMark val="none"/>
        <c:tickLblPos val="nextTo"/>
        <c:crossAx val="566784592"/>
        <c:crosses val="autoZero"/>
        <c:auto val="1"/>
        <c:lblAlgn val="ctr"/>
        <c:lblOffset val="100"/>
        <c:tickLblSkip val="1"/>
        <c:tickMarkSkip val="1"/>
        <c:noMultiLvlLbl val="0"/>
      </c:catAx>
      <c:valAx>
        <c:axId val="566784592"/>
        <c:scaling>
          <c:orientation val="minMax"/>
        </c:scaling>
        <c:delete val="0"/>
        <c:axPos val="b"/>
        <c:majorGridlines>
          <c:spPr>
            <a:ln w="3175">
              <a:solidFill>
                <a:srgbClr val="BFBFBF"/>
              </a:solidFill>
              <a:prstDash val="solid"/>
            </a:ln>
          </c:spPr>
        </c:majorGridlines>
        <c:numFmt formatCode="_(&quot;$&quot;* #,##0_);_(&quot;$&quot;* \(#,##0\);_(&quot;$&quot;* &quot;-&quot;_);_(@_)" sourceLinked="0"/>
        <c:majorTickMark val="none"/>
        <c:minorTickMark val="none"/>
        <c:tickLblPos val="nextTo"/>
        <c:spPr>
          <a:ln w="9525">
            <a:noFill/>
          </a:ln>
        </c:spPr>
        <c:txPr>
          <a:bodyPr rot="0" vert="horz"/>
          <a:lstStyle/>
          <a:p>
            <a:pPr>
              <a:defRPr sz="1050"/>
            </a:pPr>
            <a:endParaRPr lang="en-US"/>
          </a:p>
        </c:txPr>
        <c:crossAx val="566780672"/>
        <c:crosses val="max"/>
        <c:crossBetween val="between"/>
        <c:majorUnit val="1"/>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40509631580947"/>
          <c:y val="4.3275627341948592E-2"/>
          <c:w val="0.85110167634079958"/>
          <c:h val="0.60457512647711309"/>
        </c:manualLayout>
      </c:layout>
      <c:lineChart>
        <c:grouping val="standard"/>
        <c:varyColors val="0"/>
        <c:ser>
          <c:idx val="0"/>
          <c:order val="0"/>
          <c:tx>
            <c:strRef>
              <c:f>'Revenue growth'!$F$48</c:f>
              <c:strCache>
                <c:ptCount val="1"/>
                <c:pt idx="0">
                  <c:v>Train</c:v>
                </c:pt>
              </c:strCache>
            </c:strRef>
          </c:tx>
          <c:spPr>
            <a:ln w="38100" cap="rnd">
              <a:solidFill>
                <a:schemeClr val="accent4"/>
              </a:solidFill>
              <a:prstDash val="solid"/>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0205794525353234E-2"/>
                  <c:y val="-3.00216135595659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Raleway" panose="020B00030301010600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growth'!$G$47:$K$47</c:f>
              <c:strCache>
                <c:ptCount val="5"/>
                <c:pt idx="0">
                  <c:v>2013-14</c:v>
                </c:pt>
                <c:pt idx="1">
                  <c:v>2014-15</c:v>
                </c:pt>
                <c:pt idx="2">
                  <c:v>2015-16</c:v>
                </c:pt>
                <c:pt idx="3">
                  <c:v>2016-17</c:v>
                </c:pt>
                <c:pt idx="4">
                  <c:v>2017-18</c:v>
                </c:pt>
              </c:strCache>
            </c:strRef>
          </c:cat>
          <c:val>
            <c:numRef>
              <c:f>'Revenue growth'!$G$48:$K$48</c:f>
              <c:numCache>
                <c:formatCode>0%</c:formatCode>
                <c:ptCount val="5"/>
                <c:pt idx="0">
                  <c:v>0</c:v>
                </c:pt>
                <c:pt idx="1">
                  <c:v>-4.878457090673094E-2</c:v>
                </c:pt>
                <c:pt idx="2">
                  <c:v>-4.3056300031406591E-2</c:v>
                </c:pt>
                <c:pt idx="3">
                  <c:v>1.4600153316657538E-2</c:v>
                </c:pt>
                <c:pt idx="4" formatCode="\+0%">
                  <c:v>8.3345627687988033E-2</c:v>
                </c:pt>
              </c:numCache>
            </c:numRef>
          </c:val>
          <c:smooth val="0"/>
        </c:ser>
        <c:ser>
          <c:idx val="1"/>
          <c:order val="1"/>
          <c:tx>
            <c:strRef>
              <c:f>'Revenue growth'!$F$49</c:f>
              <c:strCache>
                <c:ptCount val="1"/>
                <c:pt idx="0">
                  <c:v>Bus</c:v>
                </c:pt>
              </c:strCache>
            </c:strRef>
          </c:tx>
          <c:spPr>
            <a:ln w="38100" cap="rnd">
              <a:solidFill>
                <a:schemeClr val="accent2"/>
              </a:solidFill>
              <a:prstDash val="solid"/>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Raleway" panose="020B00030301010600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growth'!$G$47:$K$47</c:f>
              <c:strCache>
                <c:ptCount val="5"/>
                <c:pt idx="0">
                  <c:v>2013-14</c:v>
                </c:pt>
                <c:pt idx="1">
                  <c:v>2014-15</c:v>
                </c:pt>
                <c:pt idx="2">
                  <c:v>2015-16</c:v>
                </c:pt>
                <c:pt idx="3">
                  <c:v>2016-17</c:v>
                </c:pt>
                <c:pt idx="4">
                  <c:v>2017-18</c:v>
                </c:pt>
              </c:strCache>
            </c:strRef>
          </c:cat>
          <c:val>
            <c:numRef>
              <c:f>'Revenue growth'!$G$49:$K$49</c:f>
              <c:numCache>
                <c:formatCode>0%</c:formatCode>
                <c:ptCount val="5"/>
                <c:pt idx="0">
                  <c:v>0</c:v>
                </c:pt>
                <c:pt idx="1">
                  <c:v>-3.0300023720846059E-2</c:v>
                </c:pt>
                <c:pt idx="2">
                  <c:v>3.8208714048669767E-2</c:v>
                </c:pt>
                <c:pt idx="3">
                  <c:v>8.9517192209340735E-2</c:v>
                </c:pt>
                <c:pt idx="4" formatCode="\+0%">
                  <c:v>0.1459134348432658</c:v>
                </c:pt>
              </c:numCache>
            </c:numRef>
          </c:val>
          <c:smooth val="0"/>
        </c:ser>
        <c:ser>
          <c:idx val="2"/>
          <c:order val="2"/>
          <c:tx>
            <c:strRef>
              <c:f>'Revenue growth'!$F$50</c:f>
              <c:strCache>
                <c:ptCount val="1"/>
                <c:pt idx="0">
                  <c:v>Ferry</c:v>
                </c:pt>
              </c:strCache>
            </c:strRef>
          </c:tx>
          <c:spPr>
            <a:ln w="34925" cap="rnd">
              <a:solidFill>
                <a:schemeClr val="accent3"/>
              </a:solidFill>
              <a:prstDash val="solid"/>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244490729886422E-2"/>
                  <c:y val="5.4406964516925019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Raleway" panose="020B0003030101060003" pitchFamily="34" charset="0"/>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Raleway" panose="020B00030301010600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growth'!$G$47:$K$47</c:f>
              <c:strCache>
                <c:ptCount val="5"/>
                <c:pt idx="0">
                  <c:v>2013-14</c:v>
                </c:pt>
                <c:pt idx="1">
                  <c:v>2014-15</c:v>
                </c:pt>
                <c:pt idx="2">
                  <c:v>2015-16</c:v>
                </c:pt>
                <c:pt idx="3">
                  <c:v>2016-17</c:v>
                </c:pt>
                <c:pt idx="4">
                  <c:v>2017-18</c:v>
                </c:pt>
              </c:strCache>
            </c:strRef>
          </c:cat>
          <c:val>
            <c:numRef>
              <c:f>'Revenue growth'!$G$50:$K$50</c:f>
              <c:numCache>
                <c:formatCode>0%</c:formatCode>
                <c:ptCount val="5"/>
                <c:pt idx="0">
                  <c:v>0</c:v>
                </c:pt>
                <c:pt idx="1">
                  <c:v>-6.0800069310132709E-2</c:v>
                </c:pt>
                <c:pt idx="2">
                  <c:v>-1.3312504538950387E-3</c:v>
                </c:pt>
                <c:pt idx="3">
                  <c:v>1.1717771010023803E-2</c:v>
                </c:pt>
                <c:pt idx="4" formatCode="\+0%">
                  <c:v>5.2323001825058446E-2</c:v>
                </c:pt>
              </c:numCache>
            </c:numRef>
          </c:val>
          <c:smooth val="0"/>
        </c:ser>
        <c:dLbls>
          <c:dLblPos val="t"/>
          <c:showLegendKey val="0"/>
          <c:showVal val="1"/>
          <c:showCatName val="0"/>
          <c:showSerName val="0"/>
          <c:showPercent val="0"/>
          <c:showBubbleSize val="0"/>
        </c:dLbls>
        <c:smooth val="0"/>
        <c:axId val="561854256"/>
        <c:axId val="561855040"/>
      </c:lineChart>
      <c:catAx>
        <c:axId val="561854256"/>
        <c:scaling>
          <c:orientation val="minMax"/>
        </c:scaling>
        <c:delete val="0"/>
        <c:axPos val="b"/>
        <c:numFmt formatCode="General" sourceLinked="1"/>
        <c:majorTickMark val="none"/>
        <c:minorTickMark val="none"/>
        <c:tickLblPos val="low"/>
        <c:spPr>
          <a:noFill/>
          <a:ln w="9525" cap="flat" cmpd="sng" algn="ctr">
            <a:solidFill>
              <a:schemeClr val="tx1">
                <a:lumMod val="90000"/>
                <a:lumOff val="1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aleway" panose="020B0003030101060003" pitchFamily="34" charset="0"/>
                <a:ea typeface="+mn-ea"/>
                <a:cs typeface="+mn-cs"/>
              </a:defRPr>
            </a:pPr>
            <a:endParaRPr lang="en-US"/>
          </a:p>
        </c:txPr>
        <c:crossAx val="561855040"/>
        <c:crosses val="autoZero"/>
        <c:auto val="1"/>
        <c:lblAlgn val="ctr"/>
        <c:lblOffset val="100"/>
        <c:noMultiLvlLbl val="0"/>
      </c:catAx>
      <c:valAx>
        <c:axId val="561855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Raleway" panose="020B0003030101060003" pitchFamily="34" charset="0"/>
                <a:ea typeface="+mn-ea"/>
                <a:cs typeface="+mn-cs"/>
              </a:defRPr>
            </a:pPr>
            <a:endParaRPr lang="en-US"/>
          </a:p>
        </c:txPr>
        <c:crossAx val="561854256"/>
        <c:crosses val="autoZero"/>
        <c:crossBetween val="between"/>
        <c:majorUnit val="0.1"/>
      </c:valAx>
      <c:spPr>
        <a:noFill/>
        <a:ln w="25400">
          <a:noFill/>
        </a:ln>
        <a:effectLst/>
      </c:spPr>
    </c:plotArea>
    <c:legend>
      <c:legendPos val="b"/>
      <c:layout>
        <c:manualLayout>
          <c:xMode val="edge"/>
          <c:yMode val="edge"/>
          <c:x val="0.19661973221415463"/>
          <c:y val="0.83986059010532033"/>
          <c:w val="0.80338026778584537"/>
          <c:h val="9.25562312521682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Raleway" panose="020B00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200">
          <a:solidFill>
            <a:schemeClr val="tx1"/>
          </a:solidFill>
          <a:latin typeface="Raleway" panose="020B00030301010600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Cost per trip</a:t>
            </a:r>
          </a:p>
        </c:rich>
      </c:tx>
      <c:overlay val="0"/>
    </c:title>
    <c:autoTitleDeleted val="0"/>
    <c:plotArea>
      <c:layout>
        <c:manualLayout>
          <c:layoutTarget val="inner"/>
          <c:xMode val="edge"/>
          <c:yMode val="edge"/>
          <c:x val="0.32280534700604285"/>
          <c:y val="0.17243916181672944"/>
          <c:w val="0.61841610883910825"/>
          <c:h val="0.67500570580851293"/>
        </c:manualLayout>
      </c:layout>
      <c:barChart>
        <c:barDir val="bar"/>
        <c:grouping val="clustered"/>
        <c:varyColors val="0"/>
        <c:ser>
          <c:idx val="0"/>
          <c:order val="1"/>
          <c:invertIfNegative val="0"/>
          <c:dPt>
            <c:idx val="0"/>
            <c:invertIfNegative val="0"/>
            <c:bubble3D val="0"/>
            <c:spPr>
              <a:solidFill>
                <a:srgbClr val="F68B1F"/>
              </a:solidFill>
              <a:ln>
                <a:noFill/>
              </a:ln>
            </c:spPr>
          </c:dPt>
          <c:dPt>
            <c:idx val="1"/>
            <c:invertIfNegative val="0"/>
            <c:bubble3D val="0"/>
            <c:spPr>
              <a:solidFill>
                <a:srgbClr val="00B0F0"/>
              </a:solidFill>
            </c:spPr>
          </c:dPt>
          <c:dPt>
            <c:idx val="2"/>
            <c:invertIfNegative val="0"/>
            <c:bubble3D val="0"/>
            <c:spPr>
              <a:solidFill>
                <a:srgbClr val="46B849"/>
              </a:solidFill>
            </c:spPr>
          </c:dPt>
          <c:dPt>
            <c:idx val="3"/>
            <c:invertIfNegative val="0"/>
            <c:bubble3D val="0"/>
            <c:spPr>
              <a:solidFill>
                <a:srgbClr val="D12026"/>
              </a:solidFill>
            </c:spPr>
          </c:dPt>
          <c:cat>
            <c:strRef>
              <c:f>'Cost by mode'!$B$50:$B$53</c:f>
              <c:strCache>
                <c:ptCount val="4"/>
                <c:pt idx="0">
                  <c:v>Train (excludes
intercity 
services)</c:v>
                </c:pt>
                <c:pt idx="1">
                  <c:v>Bus</c:v>
                </c:pt>
                <c:pt idx="2">
                  <c:v>Ferry</c:v>
                </c:pt>
                <c:pt idx="3">
                  <c:v>Light Rail</c:v>
                </c:pt>
              </c:strCache>
            </c:strRef>
          </c:cat>
          <c:val>
            <c:numRef>
              <c:f>'Cost by mode'!$D$50:$D$53</c:f>
              <c:numCache>
                <c:formatCode>0.00</c:formatCode>
                <c:ptCount val="4"/>
                <c:pt idx="0">
                  <c:v>13.262638986849007</c:v>
                </c:pt>
                <c:pt idx="1">
                  <c:v>6.0781404207305521</c:v>
                </c:pt>
                <c:pt idx="2">
                  <c:v>10.014256005876366</c:v>
                </c:pt>
                <c:pt idx="3">
                  <c:v>5.7981567888282273</c:v>
                </c:pt>
              </c:numCache>
            </c:numRef>
          </c:val>
        </c:ser>
        <c:dLbls>
          <c:showLegendKey val="0"/>
          <c:showVal val="0"/>
          <c:showCatName val="0"/>
          <c:showSerName val="0"/>
          <c:showPercent val="0"/>
          <c:showBubbleSize val="0"/>
        </c:dLbls>
        <c:gapWidth val="47"/>
        <c:overlap val="-53"/>
        <c:axId val="566785376"/>
        <c:axId val="566790472"/>
        <c:extLst>
          <c:ext xmlns:c15="http://schemas.microsoft.com/office/drawing/2012/chart" uri="{02D57815-91ED-43cb-92C2-25804820EDAC}">
            <c15:filteredBarSeries>
              <c15:ser>
                <c:idx val="2"/>
                <c:order val="0"/>
                <c:spPr>
                  <a:solidFill>
                    <a:srgbClr val="0070C0"/>
                  </a:solidFill>
                </c:spPr>
                <c:invertIfNegative val="0"/>
                <c:dPt>
                  <c:idx val="0"/>
                  <c:invertIfNegative val="0"/>
                  <c:bubble3D val="0"/>
                  <c:spPr>
                    <a:solidFill>
                      <a:schemeClr val="accent2"/>
                    </a:solidFill>
                  </c:spPr>
                </c:dPt>
                <c:dPt>
                  <c:idx val="1"/>
                  <c:invertIfNegative val="0"/>
                  <c:bubble3D val="0"/>
                  <c:spPr>
                    <a:solidFill>
                      <a:srgbClr val="00B0F0"/>
                    </a:solidFill>
                  </c:spPr>
                </c:dPt>
                <c:dPt>
                  <c:idx val="2"/>
                  <c:invertIfNegative val="0"/>
                  <c:bubble3D val="0"/>
                  <c:spPr>
                    <a:solidFill>
                      <a:srgbClr val="00B050"/>
                    </a:solidFill>
                  </c:spPr>
                </c:dPt>
                <c:dPt>
                  <c:idx val="3"/>
                  <c:invertIfNegative val="0"/>
                  <c:bubble3D val="0"/>
                  <c:spPr>
                    <a:solidFill>
                      <a:srgbClr val="D12026"/>
                    </a:solidFill>
                  </c:spPr>
                </c:dPt>
                <c:cat>
                  <c:strRef>
                    <c:extLst>
                      <c:ext uri="{02D57815-91ED-43cb-92C2-25804820EDAC}">
                        <c15:formulaRef>
                          <c15:sqref>'Cost by mode'!$B$50:$B$53</c15:sqref>
                        </c15:formulaRef>
                      </c:ext>
                    </c:extLst>
                    <c:strCache>
                      <c:ptCount val="4"/>
                      <c:pt idx="0">
                        <c:v>Train (excludes
intercity 
services)</c:v>
                      </c:pt>
                      <c:pt idx="1">
                        <c:v>Bus</c:v>
                      </c:pt>
                      <c:pt idx="2">
                        <c:v>Ferry</c:v>
                      </c:pt>
                      <c:pt idx="3">
                        <c:v>Light Rail</c:v>
                      </c:pt>
                    </c:strCache>
                  </c:strRef>
                </c:cat>
                <c:val>
                  <c:numRef>
                    <c:extLst>
                      <c:ext uri="{02D57815-91ED-43cb-92C2-25804820EDAC}">
                        <c15:formulaRef>
                          <c15:sqref>'Cost by mode'!$C$50:$C$53</c15:sqref>
                        </c15:formulaRef>
                      </c:ext>
                    </c:extLst>
                    <c:numCache>
                      <c:formatCode>0.00</c:formatCode>
                      <c:ptCount val="4"/>
                      <c:pt idx="0">
                        <c:v>0.66076939168091564</c:v>
                      </c:pt>
                      <c:pt idx="1">
                        <c:v>1.1409446636803946</c:v>
                      </c:pt>
                      <c:pt idx="2">
                        <c:v>1.6846502576165929</c:v>
                      </c:pt>
                      <c:pt idx="3">
                        <c:v>2.6502517115650246</c:v>
                      </c:pt>
                    </c:numCache>
                  </c:numRef>
                </c:val>
                <c:extLst xmlns:c16r2="http://schemas.microsoft.com/office/drawing/2015/06/chart">
                  <c:ext xmlns:c16="http://schemas.microsoft.com/office/drawing/2014/chart" uri="{C3380CC4-5D6E-409C-BE32-E72D297353CC}">
                    <c16:uniqueId val="{00000000-9583-46B9-8B31-6628B55C59A2}"/>
                  </c:ext>
                </c:extLst>
              </c15:ser>
            </c15:filteredBarSeries>
          </c:ext>
        </c:extLst>
      </c:barChart>
      <c:catAx>
        <c:axId val="566785376"/>
        <c:scaling>
          <c:orientation val="maxMin"/>
        </c:scaling>
        <c:delete val="0"/>
        <c:axPos val="l"/>
        <c:numFmt formatCode="0" sourceLinked="0"/>
        <c:majorTickMark val="none"/>
        <c:minorTickMark val="none"/>
        <c:tickLblPos val="nextTo"/>
        <c:spPr>
          <a:ln w="3175">
            <a:solidFill>
              <a:srgbClr val="000000"/>
            </a:solidFill>
            <a:prstDash val="solid"/>
          </a:ln>
        </c:spPr>
        <c:txPr>
          <a:bodyPr rot="0" vert="horz"/>
          <a:lstStyle/>
          <a:p>
            <a:pPr>
              <a:defRPr/>
            </a:pPr>
            <a:endParaRPr lang="en-US"/>
          </a:p>
        </c:txPr>
        <c:crossAx val="566790472"/>
        <c:crosses val="autoZero"/>
        <c:auto val="1"/>
        <c:lblAlgn val="ctr"/>
        <c:lblOffset val="100"/>
        <c:tickLblSkip val="1"/>
        <c:tickMarkSkip val="1"/>
        <c:noMultiLvlLbl val="0"/>
      </c:catAx>
      <c:valAx>
        <c:axId val="566790472"/>
        <c:scaling>
          <c:orientation val="minMax"/>
        </c:scaling>
        <c:delete val="0"/>
        <c:axPos val="b"/>
        <c:majorGridlines>
          <c:spPr>
            <a:ln w="3175">
              <a:solidFill>
                <a:srgbClr val="BFBFBF"/>
              </a:solidFill>
              <a:prstDash val="solid"/>
            </a:ln>
          </c:spPr>
        </c:majorGridlines>
        <c:numFmt formatCode="_(&quot;$&quot;* #,##0_);_(&quot;$&quot;* \(#,##0\);_(&quot;$&quot;* &quot;-&quot;_);_(@_)" sourceLinked="0"/>
        <c:majorTickMark val="none"/>
        <c:minorTickMark val="none"/>
        <c:tickLblPos val="nextTo"/>
        <c:spPr>
          <a:ln w="9525">
            <a:noFill/>
          </a:ln>
        </c:spPr>
        <c:txPr>
          <a:bodyPr rot="0" vert="horz"/>
          <a:lstStyle/>
          <a:p>
            <a:pPr>
              <a:defRPr/>
            </a:pPr>
            <a:endParaRPr lang="en-US"/>
          </a:p>
        </c:txPr>
        <c:crossAx val="566785376"/>
        <c:crosses val="max"/>
        <c:crossBetween val="between"/>
      </c:valAx>
      <c:spPr>
        <a:noFill/>
        <a:ln w="25400">
          <a:noFill/>
        </a:ln>
      </c:spPr>
    </c:plotArea>
    <c:plotVisOnly val="1"/>
    <c:dispBlanksAs val="gap"/>
    <c:showDLblsOverMax val="0"/>
  </c:chart>
  <c:spPr>
    <a:noFill/>
    <a:ln w="9525">
      <a:noFill/>
    </a:ln>
  </c:spPr>
  <c:txPr>
    <a:bodyPr/>
    <a:lstStyle/>
    <a:p>
      <a:pPr>
        <a:defRPr sz="105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1784559343046E-2"/>
          <c:y val="7.987260942800993E-2"/>
          <c:w val="0.91101911628674614"/>
          <c:h val="0.67274703378317169"/>
        </c:manualLayout>
      </c:layout>
      <c:barChart>
        <c:barDir val="col"/>
        <c:grouping val="clustered"/>
        <c:varyColors val="0"/>
        <c:ser>
          <c:idx val="0"/>
          <c:order val="0"/>
          <c:spPr>
            <a:solidFill>
              <a:srgbClr val="007BC4"/>
            </a:solidFill>
            <a:ln w="25400">
              <a:noFill/>
            </a:ln>
          </c:spPr>
          <c:invertIfNegative val="0"/>
          <c:dPt>
            <c:idx val="0"/>
            <c:invertIfNegative val="0"/>
            <c:bubble3D val="0"/>
            <c:spPr>
              <a:solidFill>
                <a:schemeClr val="tx1"/>
              </a:solidFill>
              <a:ln w="25400">
                <a:noFill/>
              </a:ln>
            </c:spPr>
          </c:dPt>
          <c:dPt>
            <c:idx val="2"/>
            <c:invertIfNegative val="0"/>
            <c:bubble3D val="0"/>
            <c:spPr>
              <a:solidFill>
                <a:schemeClr val="accent2"/>
              </a:solidFill>
              <a:ln w="25400">
                <a:noFill/>
              </a:ln>
            </c:spPr>
          </c:dPt>
          <c:dPt>
            <c:idx val="3"/>
            <c:invertIfNegative val="0"/>
            <c:bubble3D val="0"/>
            <c:spPr>
              <a:solidFill>
                <a:schemeClr val="accent5"/>
              </a:solidFill>
              <a:ln w="25400">
                <a:noFill/>
              </a:ln>
            </c:spPr>
          </c:dPt>
          <c:dPt>
            <c:idx val="4"/>
            <c:invertIfNegative val="0"/>
            <c:bubble3D val="0"/>
            <c:spPr>
              <a:solidFill>
                <a:schemeClr val="accent3"/>
              </a:solidFill>
              <a:ln w="25400">
                <a:noFill/>
              </a:ln>
            </c:spPr>
          </c:dPt>
          <c:dPt>
            <c:idx val="5"/>
            <c:invertIfNegative val="0"/>
            <c:bubble3D val="0"/>
            <c:spPr>
              <a:solidFill>
                <a:schemeClr val="accent4"/>
              </a:solidFill>
              <a:ln w="25400">
                <a:noFill/>
              </a:ln>
            </c:spPr>
          </c:dPt>
          <c:cat>
            <c:multiLvlStrRef>
              <c:f>'Cost by mode'!$B$83:$C$88</c:f>
              <c:multiLvlStrCache>
                <c:ptCount val="6"/>
                <c:lvl>
                  <c:pt idx="2">
                    <c:v>Bus</c:v>
                  </c:pt>
                  <c:pt idx="3">
                    <c:v>Light rail</c:v>
                  </c:pt>
                  <c:pt idx="4">
                    <c:v>Ferry</c:v>
                  </c:pt>
                  <c:pt idx="5">
                    <c:v>Train</c:v>
                  </c:pt>
                </c:lvl>
                <c:lvl>
                  <c:pt idx="0">
                    <c:v>Average fare
 per trip</c:v>
                  </c:pt>
                  <c:pt idx="2">
                    <c:v>Average cost per passenger journey</c:v>
                  </c:pt>
                </c:lvl>
              </c:multiLvlStrCache>
            </c:multiLvlStrRef>
          </c:cat>
          <c:val>
            <c:numRef>
              <c:f>'Cost by mode'!$D$83:$D$88</c:f>
              <c:numCache>
                <c:formatCode>"$"#,##0.00</c:formatCode>
                <c:ptCount val="6"/>
                <c:pt idx="0" formatCode="#,##0.00">
                  <c:v>2.5499999999999998</c:v>
                </c:pt>
                <c:pt idx="2">
                  <c:v>3.8825267456990025</c:v>
                </c:pt>
                <c:pt idx="3">
                  <c:v>4.8272904483430796</c:v>
                </c:pt>
                <c:pt idx="4">
                  <c:v>9.2818375418314574</c:v>
                </c:pt>
                <c:pt idx="5">
                  <c:v>11.166065159820164</c:v>
                </c:pt>
              </c:numCache>
            </c:numRef>
          </c:val>
          <c:extLst xmlns:c16r2="http://schemas.microsoft.com/office/drawing/2015/06/chart">
            <c:ext xmlns:c16="http://schemas.microsoft.com/office/drawing/2014/chart" uri="{C3380CC4-5D6E-409C-BE32-E72D297353CC}">
              <c16:uniqueId val="{00000000-7DC2-45C8-ABBB-0F187946E74C}"/>
            </c:ext>
          </c:extLst>
        </c:ser>
        <c:dLbls>
          <c:showLegendKey val="0"/>
          <c:showVal val="0"/>
          <c:showCatName val="0"/>
          <c:showSerName val="0"/>
          <c:showPercent val="0"/>
          <c:showBubbleSize val="0"/>
        </c:dLbls>
        <c:gapWidth val="18"/>
        <c:overlap val="-5"/>
        <c:axId val="566781064"/>
        <c:axId val="566785768"/>
      </c:barChart>
      <c:catAx>
        <c:axId val="566781064"/>
        <c:scaling>
          <c:orientation val="minMax"/>
        </c:scaling>
        <c:delete val="0"/>
        <c:axPos val="b"/>
        <c:numFmt formatCode="0" sourceLinked="0"/>
        <c:majorTickMark val="none"/>
        <c:minorTickMark val="none"/>
        <c:tickLblPos val="nextTo"/>
        <c:spPr>
          <a:ln w="3175">
            <a:solidFill>
              <a:srgbClr val="000000"/>
            </a:solidFill>
            <a:prstDash val="solid"/>
          </a:ln>
        </c:spPr>
        <c:txPr>
          <a:bodyPr rot="0" vert="horz"/>
          <a:lstStyle/>
          <a:p>
            <a:pPr>
              <a:defRPr sz="700"/>
            </a:pPr>
            <a:endParaRPr lang="en-US"/>
          </a:p>
        </c:txPr>
        <c:crossAx val="566785768"/>
        <c:crosses val="autoZero"/>
        <c:auto val="1"/>
        <c:lblAlgn val="ctr"/>
        <c:lblOffset val="100"/>
        <c:tickLblSkip val="1"/>
        <c:tickMarkSkip val="1"/>
        <c:noMultiLvlLbl val="0"/>
      </c:catAx>
      <c:valAx>
        <c:axId val="566785768"/>
        <c:scaling>
          <c:orientation val="minMax"/>
          <c:max val="12"/>
        </c:scaling>
        <c:delete val="0"/>
        <c:axPos val="l"/>
        <c:majorGridlines>
          <c:spPr>
            <a:ln w="3175">
              <a:solidFill>
                <a:srgbClr val="BFBFBF"/>
              </a:solidFill>
              <a:prstDash val="solid"/>
            </a:ln>
          </c:spPr>
        </c:majorGridlines>
        <c:numFmt formatCode="&quot;$&quot;#,##0" sourceLinked="0"/>
        <c:majorTickMark val="none"/>
        <c:minorTickMark val="none"/>
        <c:tickLblPos val="nextTo"/>
        <c:spPr>
          <a:ln w="9525">
            <a:noFill/>
          </a:ln>
        </c:spPr>
        <c:txPr>
          <a:bodyPr rot="0" vert="horz"/>
          <a:lstStyle/>
          <a:p>
            <a:pPr>
              <a:defRPr sz="800"/>
            </a:pPr>
            <a:endParaRPr lang="en-US"/>
          </a:p>
        </c:txPr>
        <c:crossAx val="566781064"/>
        <c:crosses val="autoZero"/>
        <c:crossBetween val="between"/>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Raleway" panose="020B0003030101060003" pitchFamily="34" charset="0"/>
          <a:ea typeface="Myriad Pro"/>
          <a:cs typeface="Myriad Pro"/>
        </a:defRPr>
      </a:pPr>
      <a:endParaRPr lang="en-US"/>
    </a:p>
  </c:txPr>
  <c:printSettings>
    <c:headerFooter alignWithMargins="0"/>
    <c:pageMargins b="1" l="0.75" r="0.75"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AU"/>
              <a:t>Average number of passengers during busiest services</a:t>
            </a:r>
          </a:p>
        </c:rich>
      </c:tx>
      <c:layout>
        <c:manualLayout>
          <c:xMode val="edge"/>
          <c:yMode val="edge"/>
          <c:x val="0.3025081892613859"/>
          <c:y val="0.91900349536185755"/>
        </c:manualLayout>
      </c:layout>
      <c:overlay val="0"/>
    </c:title>
    <c:autoTitleDeleted val="0"/>
    <c:plotArea>
      <c:layout>
        <c:manualLayout>
          <c:layoutTarget val="inner"/>
          <c:xMode val="edge"/>
          <c:yMode val="edge"/>
          <c:x val="0.1347248576850095"/>
          <c:y val="4.5627376425855515E-2"/>
          <c:w val="0.84060721062618593"/>
          <c:h val="0.75923712807456434"/>
        </c:manualLayout>
      </c:layout>
      <c:barChart>
        <c:barDir val="bar"/>
        <c:grouping val="clustered"/>
        <c:varyColors val="0"/>
        <c:ser>
          <c:idx val="2"/>
          <c:order val="0"/>
          <c:tx>
            <c:strRef>
              <c:f>'Ferry patronage by day'!$K$19</c:f>
              <c:strCache>
                <c:ptCount val="1"/>
                <c:pt idx="0">
                  <c:v>Weekday</c:v>
                </c:pt>
              </c:strCache>
            </c:strRef>
          </c:tx>
          <c:spPr>
            <a:solidFill>
              <a:schemeClr val="bg2">
                <a:lumMod val="60000"/>
                <a:lumOff val="40000"/>
              </a:schemeClr>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cat>
            <c:strRef>
              <c:f>'Ferry patronage by day'!$J$20:$J$23</c:f>
              <c:strCache>
                <c:ptCount val="4"/>
                <c:pt idx="0">
                  <c:v>F1 Manly</c:v>
                </c:pt>
                <c:pt idx="1">
                  <c:v>F2 Taronga Zoo</c:v>
                </c:pt>
                <c:pt idx="2">
                  <c:v>F4 Cross Harbour</c:v>
                </c:pt>
                <c:pt idx="3">
                  <c:v>F3 Parramatta</c:v>
                </c:pt>
              </c:strCache>
            </c:strRef>
          </c:cat>
          <c:val>
            <c:numRef>
              <c:f>'Ferry patronage by day'!$K$20:$K$23</c:f>
              <c:numCache>
                <c:formatCode>0</c:formatCode>
                <c:ptCount val="4"/>
                <c:pt idx="0">
                  <c:v>646.33333333333337</c:v>
                </c:pt>
                <c:pt idx="1">
                  <c:v>165</c:v>
                </c:pt>
                <c:pt idx="2">
                  <c:v>173.33333333333334</c:v>
                </c:pt>
                <c:pt idx="3">
                  <c:v>172.66666666666666</c:v>
                </c:pt>
              </c:numCache>
            </c:numRef>
          </c:val>
          <c:extLst xmlns:c16r2="http://schemas.microsoft.com/office/drawing/2015/06/chart">
            <c:ext xmlns:c16="http://schemas.microsoft.com/office/drawing/2014/chart" uri="{C3380CC4-5D6E-409C-BE32-E72D297353CC}">
              <c16:uniqueId val="{00000000-9583-46B9-8B31-6628B55C59A2}"/>
            </c:ext>
          </c:extLst>
        </c:ser>
        <c:ser>
          <c:idx val="0"/>
          <c:order val="1"/>
          <c:tx>
            <c:strRef>
              <c:f>'Ferry patronage by day'!$L$19</c:f>
              <c:strCache>
                <c:ptCount val="1"/>
                <c:pt idx="0">
                  <c:v>Sunday</c:v>
                </c:pt>
              </c:strCache>
            </c:strRef>
          </c:tx>
          <c:spPr>
            <a:solidFill>
              <a:schemeClr val="accent3"/>
            </a:solidFill>
          </c:spPr>
          <c:invertIfNegative val="0"/>
          <c:cat>
            <c:strRef>
              <c:f>'Ferry patronage by day'!$J$20:$J$23</c:f>
              <c:strCache>
                <c:ptCount val="4"/>
                <c:pt idx="0">
                  <c:v>F1 Manly</c:v>
                </c:pt>
                <c:pt idx="1">
                  <c:v>F2 Taronga Zoo</c:v>
                </c:pt>
                <c:pt idx="2">
                  <c:v>F4 Cross Harbour</c:v>
                </c:pt>
                <c:pt idx="3">
                  <c:v>F3 Parramatta</c:v>
                </c:pt>
              </c:strCache>
            </c:strRef>
          </c:cat>
          <c:val>
            <c:numRef>
              <c:f>'Ferry patronage by day'!$L$20:$L$23</c:f>
              <c:numCache>
                <c:formatCode>0</c:formatCode>
                <c:ptCount val="4"/>
                <c:pt idx="0">
                  <c:v>1146.3333333333333</c:v>
                </c:pt>
                <c:pt idx="1">
                  <c:v>274.33333333333331</c:v>
                </c:pt>
                <c:pt idx="2">
                  <c:v>375.33333333333331</c:v>
                </c:pt>
                <c:pt idx="3">
                  <c:v>257.33333333333331</c:v>
                </c:pt>
              </c:numCache>
            </c:numRef>
          </c:val>
        </c:ser>
        <c:dLbls>
          <c:showLegendKey val="0"/>
          <c:showVal val="0"/>
          <c:showCatName val="0"/>
          <c:showSerName val="0"/>
          <c:showPercent val="0"/>
          <c:showBubbleSize val="0"/>
        </c:dLbls>
        <c:gapWidth val="150"/>
        <c:axId val="566786160"/>
        <c:axId val="566781848"/>
      </c:barChart>
      <c:catAx>
        <c:axId val="566786160"/>
        <c:scaling>
          <c:orientation val="maxMin"/>
        </c:scaling>
        <c:delete val="0"/>
        <c:axPos val="l"/>
        <c:numFmt formatCode="0" sourceLinked="0"/>
        <c:majorTickMark val="none"/>
        <c:minorTickMark val="none"/>
        <c:tickLblPos val="nextTo"/>
        <c:spPr>
          <a:ln w="3175">
            <a:solidFill>
              <a:srgbClr val="000000"/>
            </a:solidFill>
            <a:prstDash val="solid"/>
          </a:ln>
        </c:spPr>
        <c:txPr>
          <a:bodyPr rot="0" vert="horz"/>
          <a:lstStyle/>
          <a:p>
            <a:pPr>
              <a:defRPr sz="1000"/>
            </a:pPr>
            <a:endParaRPr lang="en-US"/>
          </a:p>
        </c:txPr>
        <c:crossAx val="566781848"/>
        <c:crosses val="autoZero"/>
        <c:auto val="1"/>
        <c:lblAlgn val="ctr"/>
        <c:lblOffset val="100"/>
        <c:tickLblSkip val="1"/>
        <c:tickMarkSkip val="1"/>
        <c:noMultiLvlLbl val="0"/>
      </c:catAx>
      <c:valAx>
        <c:axId val="566781848"/>
        <c:scaling>
          <c:orientation val="minMax"/>
        </c:scaling>
        <c:delete val="0"/>
        <c:axPos val="b"/>
        <c:majorGridlines>
          <c:spPr>
            <a:ln w="3175">
              <a:solidFill>
                <a:srgbClr val="BFBFBF"/>
              </a:solidFill>
              <a:prstDash val="solid"/>
            </a:ln>
          </c:spPr>
        </c:majorGridlines>
        <c:numFmt formatCode="0" sourceLinked="0"/>
        <c:majorTickMark val="none"/>
        <c:minorTickMark val="none"/>
        <c:tickLblPos val="nextTo"/>
        <c:spPr>
          <a:ln w="9525">
            <a:noFill/>
          </a:ln>
        </c:spPr>
        <c:txPr>
          <a:bodyPr rot="0" vert="horz"/>
          <a:lstStyle/>
          <a:p>
            <a:pPr>
              <a:defRPr/>
            </a:pPr>
            <a:endParaRPr lang="en-US"/>
          </a:p>
        </c:txPr>
        <c:crossAx val="566786160"/>
        <c:crosses val="max"/>
        <c:crossBetween val="between"/>
        <c:majorUnit val="500"/>
      </c:valAx>
      <c:spPr>
        <a:noFill/>
        <a:ln w="25400">
          <a:noFill/>
        </a:ln>
      </c:spPr>
    </c:plotArea>
    <c:legend>
      <c:legendPos val="r"/>
      <c:layout>
        <c:manualLayout>
          <c:xMode val="edge"/>
          <c:yMode val="edge"/>
          <c:x val="0.82595847435985947"/>
          <c:y val="0.45625320818644399"/>
          <c:w val="0.1114286370138059"/>
          <c:h val="0.137996180234951"/>
        </c:manualLayout>
      </c:layout>
      <c:overlay val="0"/>
      <c:txPr>
        <a:bodyPr/>
        <a:lstStyle/>
        <a:p>
          <a:pPr>
            <a:defRPr sz="1000"/>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04362558238029E-2"/>
          <c:y val="5.1606515123912851E-2"/>
          <c:w val="0.89428741991749128"/>
          <c:h val="0.62283464566929136"/>
        </c:manualLayout>
      </c:layout>
      <c:scatterChart>
        <c:scatterStyle val="lineMarker"/>
        <c:varyColors val="0"/>
        <c:ser>
          <c:idx val="0"/>
          <c:order val="0"/>
          <c:tx>
            <c:strRef>
              <c:f>'Relativities between fares'!$C$19</c:f>
              <c:strCache>
                <c:ptCount val="1"/>
                <c:pt idx="0">
                  <c:v>Bus</c:v>
                </c:pt>
              </c:strCache>
            </c:strRef>
          </c:tx>
          <c:spPr>
            <a:ln w="31750" cap="rnd">
              <a:solidFill>
                <a:schemeClr val="accent2"/>
              </a:solidFill>
              <a:round/>
            </a:ln>
            <a:effectLst/>
          </c:spPr>
          <c:marker>
            <c:symbol val="none"/>
          </c:marker>
          <c:dPt>
            <c:idx val="1"/>
            <c:marker>
              <c:symbol val="none"/>
            </c:marker>
            <c:bubble3D val="0"/>
            <c:spPr>
              <a:ln w="31750" cap="rnd">
                <a:solidFill>
                  <a:schemeClr val="accent2"/>
                </a:solidFill>
                <a:round/>
              </a:ln>
              <a:effectLst/>
            </c:spPr>
          </c:dPt>
          <c:dPt>
            <c:idx val="2"/>
            <c:marker>
              <c:symbol val="none"/>
            </c:marker>
            <c:bubble3D val="0"/>
            <c:spPr>
              <a:ln w="31750" cap="rnd">
                <a:solidFill>
                  <a:schemeClr val="accent2"/>
                </a:solidFill>
                <a:round/>
              </a:ln>
              <a:effectLst/>
            </c:spPr>
          </c:dPt>
          <c:dPt>
            <c:idx val="3"/>
            <c:marker>
              <c:symbol val="none"/>
            </c:marker>
            <c:bubble3D val="0"/>
            <c:spPr>
              <a:ln w="31750" cap="rnd">
                <a:solidFill>
                  <a:schemeClr val="accent2"/>
                </a:solidFill>
                <a:prstDash val="sysDash"/>
                <a:round/>
              </a:ln>
              <a:effectLst/>
            </c:spPr>
          </c:dPt>
          <c:dPt>
            <c:idx val="4"/>
            <c:marker>
              <c:symbol val="none"/>
            </c:marker>
            <c:bubble3D val="0"/>
            <c:spPr>
              <a:ln w="31750" cap="rnd">
                <a:solidFill>
                  <a:schemeClr val="accent2"/>
                </a:solidFill>
                <a:prstDash val="sysDash"/>
                <a:round/>
              </a:ln>
              <a:effectLst/>
            </c:spPr>
          </c:dPt>
          <c:dPt>
            <c:idx val="5"/>
            <c:marker>
              <c:symbol val="none"/>
            </c:marker>
            <c:bubble3D val="0"/>
            <c:spPr>
              <a:ln w="31750" cap="rnd">
                <a:solidFill>
                  <a:schemeClr val="accent2"/>
                </a:solidFill>
                <a:prstDash val="sysDash"/>
                <a:round/>
              </a:ln>
              <a:effectLst/>
            </c:spPr>
          </c:dPt>
          <c:dPt>
            <c:idx val="7"/>
            <c:marker>
              <c:symbol val="none"/>
            </c:marker>
            <c:bubble3D val="0"/>
            <c:spPr>
              <a:ln w="31750" cap="rnd">
                <a:solidFill>
                  <a:schemeClr val="accent2"/>
                </a:solidFill>
                <a:prstDash val="sysDash"/>
                <a:round/>
              </a:ln>
              <a:effectLst/>
            </c:spPr>
          </c:dPt>
          <c:dPt>
            <c:idx val="9"/>
            <c:marker>
              <c:symbol val="none"/>
            </c:marker>
            <c:bubble3D val="0"/>
            <c:spPr>
              <a:ln w="31750" cap="rnd">
                <a:solidFill>
                  <a:schemeClr val="accent2"/>
                </a:solidFill>
                <a:round/>
              </a:ln>
              <a:effectLst/>
            </c:spPr>
          </c:dPt>
          <c:dPt>
            <c:idx val="11"/>
            <c:marker>
              <c:symbol val="none"/>
            </c:marker>
            <c:bubble3D val="0"/>
            <c:spPr>
              <a:ln w="31750" cap="rnd">
                <a:solidFill>
                  <a:schemeClr val="accent2"/>
                </a:solidFill>
                <a:round/>
              </a:ln>
              <a:effectLst/>
            </c:spPr>
          </c:dPt>
          <c:xVal>
            <c:numRef>
              <c:f>'Relativities between fares'!$B$21:$B$32</c:f>
              <c:numCache>
                <c:formatCode>General</c:formatCode>
                <c:ptCount val="12"/>
                <c:pt idx="0">
                  <c:v>0</c:v>
                </c:pt>
                <c:pt idx="1">
                  <c:v>3</c:v>
                </c:pt>
                <c:pt idx="2">
                  <c:v>3</c:v>
                </c:pt>
                <c:pt idx="3">
                  <c:v>8</c:v>
                </c:pt>
                <c:pt idx="4">
                  <c:v>8</c:v>
                </c:pt>
                <c:pt idx="5">
                  <c:v>10</c:v>
                </c:pt>
                <c:pt idx="6">
                  <c:v>10</c:v>
                </c:pt>
                <c:pt idx="7">
                  <c:v>20</c:v>
                </c:pt>
                <c:pt idx="8">
                  <c:v>20</c:v>
                </c:pt>
                <c:pt idx="9">
                  <c:v>35</c:v>
                </c:pt>
                <c:pt idx="10">
                  <c:v>35</c:v>
                </c:pt>
                <c:pt idx="11">
                  <c:v>40</c:v>
                </c:pt>
              </c:numCache>
            </c:numRef>
          </c:xVal>
          <c:yVal>
            <c:numRef>
              <c:f>'Relativities between fares'!$C$21:$C$32</c:f>
              <c:numCache>
                <c:formatCode>"$"#,##0.00</c:formatCode>
                <c:ptCount val="12"/>
                <c:pt idx="0">
                  <c:v>2.2400000000000002</c:v>
                </c:pt>
                <c:pt idx="1">
                  <c:v>2.2400000000000002</c:v>
                </c:pt>
                <c:pt idx="2">
                  <c:v>3.73</c:v>
                </c:pt>
                <c:pt idx="3">
                  <c:v>3.73</c:v>
                </c:pt>
                <c:pt idx="4">
                  <c:v>4.8</c:v>
                </c:pt>
                <c:pt idx="5">
                  <c:v>4.8</c:v>
                </c:pt>
                <c:pt idx="6">
                  <c:v>4.8</c:v>
                </c:pt>
                <c:pt idx="7">
                  <c:v>4.8</c:v>
                </c:pt>
                <c:pt idx="8">
                  <c:v>4.8</c:v>
                </c:pt>
                <c:pt idx="9">
                  <c:v>4.8</c:v>
                </c:pt>
                <c:pt idx="10">
                  <c:v>4.8</c:v>
                </c:pt>
                <c:pt idx="11">
                  <c:v>4.8</c:v>
                </c:pt>
              </c:numCache>
            </c:numRef>
          </c:yVal>
          <c:smooth val="0"/>
        </c:ser>
        <c:ser>
          <c:idx val="1"/>
          <c:order val="1"/>
          <c:tx>
            <c:strRef>
              <c:f>'Relativities between fares'!$D$19</c:f>
              <c:strCache>
                <c:ptCount val="1"/>
                <c:pt idx="0">
                  <c:v>Rail</c:v>
                </c:pt>
              </c:strCache>
            </c:strRef>
          </c:tx>
          <c:spPr>
            <a:ln w="31750" cap="rnd">
              <a:solidFill>
                <a:schemeClr val="accent4"/>
              </a:solidFill>
              <a:round/>
            </a:ln>
            <a:effectLst/>
          </c:spPr>
          <c:marker>
            <c:symbol val="none"/>
          </c:marker>
          <c:xVal>
            <c:numRef>
              <c:f>'Relativities between fares'!$B$21:$B$32</c:f>
              <c:numCache>
                <c:formatCode>General</c:formatCode>
                <c:ptCount val="12"/>
                <c:pt idx="0">
                  <c:v>0</c:v>
                </c:pt>
                <c:pt idx="1">
                  <c:v>3</c:v>
                </c:pt>
                <c:pt idx="2">
                  <c:v>3</c:v>
                </c:pt>
                <c:pt idx="3">
                  <c:v>8</c:v>
                </c:pt>
                <c:pt idx="4">
                  <c:v>8</c:v>
                </c:pt>
                <c:pt idx="5">
                  <c:v>10</c:v>
                </c:pt>
                <c:pt idx="6">
                  <c:v>10</c:v>
                </c:pt>
                <c:pt idx="7">
                  <c:v>20</c:v>
                </c:pt>
                <c:pt idx="8">
                  <c:v>20</c:v>
                </c:pt>
                <c:pt idx="9">
                  <c:v>35</c:v>
                </c:pt>
                <c:pt idx="10">
                  <c:v>35</c:v>
                </c:pt>
                <c:pt idx="11">
                  <c:v>40</c:v>
                </c:pt>
              </c:numCache>
            </c:numRef>
          </c:xVal>
          <c:yVal>
            <c:numRef>
              <c:f>'Relativities between fares'!$D$21:$D$32</c:f>
              <c:numCache>
                <c:formatCode>"$"#,##0.00</c:formatCode>
                <c:ptCount val="12"/>
                <c:pt idx="0">
                  <c:v>3.61</c:v>
                </c:pt>
                <c:pt idx="1">
                  <c:v>3.61</c:v>
                </c:pt>
                <c:pt idx="2">
                  <c:v>3.61</c:v>
                </c:pt>
                <c:pt idx="3">
                  <c:v>3.61</c:v>
                </c:pt>
                <c:pt idx="4">
                  <c:v>3.61</c:v>
                </c:pt>
                <c:pt idx="5">
                  <c:v>3.61</c:v>
                </c:pt>
                <c:pt idx="6">
                  <c:v>4.4800000000000004</c:v>
                </c:pt>
                <c:pt idx="7">
                  <c:v>4.4800000000000004</c:v>
                </c:pt>
                <c:pt idx="8">
                  <c:v>5.15</c:v>
                </c:pt>
                <c:pt idx="9">
                  <c:v>5.15</c:v>
                </c:pt>
                <c:pt idx="10">
                  <c:v>6.89</c:v>
                </c:pt>
                <c:pt idx="11">
                  <c:v>6.89</c:v>
                </c:pt>
              </c:numCache>
            </c:numRef>
          </c:yVal>
          <c:smooth val="0"/>
        </c:ser>
        <c:dLbls>
          <c:showLegendKey val="0"/>
          <c:showVal val="0"/>
          <c:showCatName val="0"/>
          <c:showSerName val="0"/>
          <c:showPercent val="0"/>
          <c:showBubbleSize val="0"/>
        </c:dLbls>
        <c:axId val="566787728"/>
        <c:axId val="566788120"/>
      </c:scatterChart>
      <c:valAx>
        <c:axId val="566787728"/>
        <c:scaling>
          <c:orientation val="minMax"/>
          <c:max val="40"/>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r>
                  <a:rPr lang="en-AU"/>
                  <a:t>kms</a:t>
                </a:r>
                <a:r>
                  <a:rPr lang="en-AU" baseline="0"/>
                  <a:t> travelled</a:t>
                </a:r>
                <a:endParaRPr lang="en-AU"/>
              </a:p>
            </c:rich>
          </c:tx>
          <c:layout>
            <c:manualLayout>
              <c:xMode val="edge"/>
              <c:yMode val="edge"/>
              <c:x val="0.71891948216294388"/>
              <c:y val="0.79586110551531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88120"/>
        <c:crosses val="autoZero"/>
        <c:crossBetween val="midCat"/>
        <c:majorUnit val="10"/>
      </c:valAx>
      <c:valAx>
        <c:axId val="566788120"/>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87728"/>
        <c:crosses val="autoZero"/>
        <c:crossBetween val="midCat"/>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900">
          <a:latin typeface="Raleway" panose="020B0503030101060003"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295987620353"/>
          <c:y val="5.0925925925925923E-2"/>
          <c:w val="0.84742652085897141"/>
          <c:h val="0.68442439486730822"/>
        </c:manualLayout>
      </c:layout>
      <c:barChart>
        <c:barDir val="bar"/>
        <c:grouping val="percentStacked"/>
        <c:varyColors val="0"/>
        <c:ser>
          <c:idx val="0"/>
          <c:order val="0"/>
          <c:tx>
            <c:strRef>
              <c:f>'Distance travelled distribution'!$C$30</c:f>
              <c:strCache>
                <c:ptCount val="1"/>
                <c:pt idx="0">
                  <c:v>0-3 km</c:v>
                </c:pt>
              </c:strCache>
            </c:strRef>
          </c:tx>
          <c:spPr>
            <a:solidFill>
              <a:schemeClr val="bg1">
                <a:lumMod val="75000"/>
              </a:schemeClr>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distribution'!$D$30:$G$30</c:f>
              <c:numCache>
                <c:formatCode>0.0%</c:formatCode>
                <c:ptCount val="4"/>
                <c:pt idx="0">
                  <c:v>0.79466238761049224</c:v>
                </c:pt>
                <c:pt idx="1">
                  <c:v>0.31021375821230096</c:v>
                </c:pt>
                <c:pt idx="2">
                  <c:v>0.44576114107952353</c:v>
                </c:pt>
                <c:pt idx="3">
                  <c:v>4.3726321185421663E-2</c:v>
                </c:pt>
              </c:numCache>
            </c:numRef>
          </c:val>
        </c:ser>
        <c:ser>
          <c:idx val="1"/>
          <c:order val="1"/>
          <c:tx>
            <c:strRef>
              <c:f>'Distance travelled distribution'!$C$31</c:f>
              <c:strCache>
                <c:ptCount val="1"/>
                <c:pt idx="0">
                  <c:v>3 to 5 km</c:v>
                </c:pt>
              </c:strCache>
            </c:strRef>
          </c:tx>
          <c:spPr>
            <a:solidFill>
              <a:srgbClr val="00AEEF"/>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distribution'!$D$31:$G$31</c:f>
              <c:numCache>
                <c:formatCode>0.0%</c:formatCode>
                <c:ptCount val="4"/>
                <c:pt idx="0">
                  <c:v>8.6218889649905373E-2</c:v>
                </c:pt>
                <c:pt idx="1">
                  <c:v>0.20687590891017904</c:v>
                </c:pt>
                <c:pt idx="2">
                  <c:v>0.21733232789258217</c:v>
                </c:pt>
                <c:pt idx="3">
                  <c:v>0.10781633609216398</c:v>
                </c:pt>
              </c:numCache>
            </c:numRef>
          </c:val>
        </c:ser>
        <c:ser>
          <c:idx val="2"/>
          <c:order val="2"/>
          <c:tx>
            <c:strRef>
              <c:f>'Distance travelled distribution'!$C$32</c:f>
              <c:strCache>
                <c:ptCount val="1"/>
                <c:pt idx="0">
                  <c:v>5 to 10 km</c:v>
                </c:pt>
              </c:strCache>
            </c:strRef>
          </c:tx>
          <c:spPr>
            <a:solidFill>
              <a:srgbClr val="0070C0"/>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distribution'!$D$32:$G$32</c:f>
              <c:numCache>
                <c:formatCode>0.0%</c:formatCode>
                <c:ptCount val="4"/>
                <c:pt idx="0">
                  <c:v>0.11911872273960243</c:v>
                </c:pt>
                <c:pt idx="1">
                  <c:v>0.42225993345819035</c:v>
                </c:pt>
                <c:pt idx="2">
                  <c:v>0.21619880581506332</c:v>
                </c:pt>
                <c:pt idx="3">
                  <c:v>0.18818387317851035</c:v>
                </c:pt>
              </c:numCache>
            </c:numRef>
          </c:val>
        </c:ser>
        <c:ser>
          <c:idx val="3"/>
          <c:order val="3"/>
          <c:tx>
            <c:strRef>
              <c:f>'Distance travelled distribution'!$C$33</c:f>
              <c:strCache>
                <c:ptCount val="1"/>
                <c:pt idx="0">
                  <c:v>10 to 20 km </c:v>
                </c:pt>
              </c:strCache>
            </c:strRef>
          </c:tx>
          <c:spPr>
            <a:solidFill>
              <a:srgbClr val="194787"/>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distribution'!$D$33:$G$33</c:f>
              <c:numCache>
                <c:formatCode>0.0%</c:formatCode>
                <c:ptCount val="4"/>
                <c:pt idx="0">
                  <c:v>0</c:v>
                </c:pt>
                <c:pt idx="1">
                  <c:v>5.9760435648104869E-2</c:v>
                </c:pt>
                <c:pt idx="2">
                  <c:v>8.5348670813201549E-2</c:v>
                </c:pt>
                <c:pt idx="3">
                  <c:v>0.29258404665942844</c:v>
                </c:pt>
              </c:numCache>
            </c:numRef>
          </c:val>
        </c:ser>
        <c:ser>
          <c:idx val="4"/>
          <c:order val="4"/>
          <c:tx>
            <c:strRef>
              <c:f>'Distance travelled distribution'!$C$34</c:f>
              <c:strCache>
                <c:ptCount val="1"/>
                <c:pt idx="0">
                  <c:v>20 to 35 km</c:v>
                </c:pt>
              </c:strCache>
            </c:strRef>
          </c:tx>
          <c:spPr>
            <a:solidFill>
              <a:srgbClr val="FFC000"/>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distribution'!$D$34:$G$34</c:f>
              <c:numCache>
                <c:formatCode>0.0%</c:formatCode>
                <c:ptCount val="4"/>
                <c:pt idx="0">
                  <c:v>0</c:v>
                </c:pt>
                <c:pt idx="1">
                  <c:v>8.8996377122469827E-4</c:v>
                </c:pt>
                <c:pt idx="2">
                  <c:v>3.4506161481328651E-2</c:v>
                </c:pt>
                <c:pt idx="3">
                  <c:v>0.23980000532831408</c:v>
                </c:pt>
              </c:numCache>
            </c:numRef>
          </c:val>
        </c:ser>
        <c:ser>
          <c:idx val="5"/>
          <c:order val="5"/>
          <c:tx>
            <c:strRef>
              <c:f>'Distance travelled distribution'!$C$35</c:f>
              <c:strCache>
                <c:ptCount val="1"/>
                <c:pt idx="0">
                  <c:v>35 to 65 km</c:v>
                </c:pt>
              </c:strCache>
            </c:strRef>
          </c:tx>
          <c:spPr>
            <a:solidFill>
              <a:schemeClr val="accent4"/>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distribution'!$D$35:$G$35</c:f>
              <c:numCache>
                <c:formatCode>0.0%</c:formatCode>
                <c:ptCount val="4"/>
                <c:pt idx="0">
                  <c:v>0</c:v>
                </c:pt>
                <c:pt idx="1">
                  <c:v>0</c:v>
                </c:pt>
                <c:pt idx="2">
                  <c:v>8.5219894861603791E-4</c:v>
                </c:pt>
                <c:pt idx="3">
                  <c:v>9.6263823287575004E-2</c:v>
                </c:pt>
              </c:numCache>
            </c:numRef>
          </c:val>
        </c:ser>
        <c:ser>
          <c:idx val="6"/>
          <c:order val="6"/>
          <c:tx>
            <c:strRef>
              <c:f>'Distance travelled distribution'!$C$36</c:f>
              <c:strCache>
                <c:ptCount val="1"/>
                <c:pt idx="0">
                  <c:v>65 km+</c:v>
                </c:pt>
              </c:strCache>
            </c:strRef>
          </c:tx>
          <c:spPr>
            <a:solidFill>
              <a:schemeClr val="accent6"/>
            </a:solidFill>
            <a:ln>
              <a:noFill/>
            </a:ln>
            <a:effectLst/>
          </c:spPr>
          <c:invertIfNegative val="0"/>
          <c:cat>
            <c:strRef>
              <c:f>'Distance travelled distribution'!$D$29:$G$29</c:f>
              <c:strCache>
                <c:ptCount val="4"/>
                <c:pt idx="0">
                  <c:v>Light rail</c:v>
                </c:pt>
                <c:pt idx="1">
                  <c:v>Ferry</c:v>
                </c:pt>
                <c:pt idx="2">
                  <c:v>Bus</c:v>
                </c:pt>
                <c:pt idx="3">
                  <c:v>Train</c:v>
                </c:pt>
              </c:strCache>
            </c:strRef>
          </c:cat>
          <c:val>
            <c:numRef>
              <c:f>'Distance travelled distribution'!$D$36:$G$36</c:f>
              <c:numCache>
                <c:formatCode>0.0%</c:formatCode>
                <c:ptCount val="4"/>
                <c:pt idx="0">
                  <c:v>0</c:v>
                </c:pt>
                <c:pt idx="1">
                  <c:v>0</c:v>
                </c:pt>
                <c:pt idx="2">
                  <c:v>6.939696847887344E-7</c:v>
                </c:pt>
                <c:pt idx="3">
                  <c:v>3.1625594268586382E-2</c:v>
                </c:pt>
              </c:numCache>
            </c:numRef>
          </c:val>
        </c:ser>
        <c:dLbls>
          <c:showLegendKey val="0"/>
          <c:showVal val="0"/>
          <c:showCatName val="0"/>
          <c:showSerName val="0"/>
          <c:showPercent val="0"/>
          <c:showBubbleSize val="0"/>
        </c:dLbls>
        <c:gapWidth val="150"/>
        <c:overlap val="100"/>
        <c:axId val="566793608"/>
        <c:axId val="566792432"/>
      </c:barChart>
      <c:catAx>
        <c:axId val="566793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92432"/>
        <c:crosses val="autoZero"/>
        <c:auto val="1"/>
        <c:lblAlgn val="ctr"/>
        <c:lblOffset val="100"/>
        <c:noMultiLvlLbl val="0"/>
      </c:catAx>
      <c:valAx>
        <c:axId val="566792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6793608"/>
        <c:crosses val="autoZero"/>
        <c:crossBetween val="between"/>
      </c:valAx>
      <c:spPr>
        <a:noFill/>
        <a:ln>
          <a:noFill/>
        </a:ln>
        <a:effectLst/>
      </c:spPr>
    </c:plotArea>
    <c:legend>
      <c:legendPos val="b"/>
      <c:layout>
        <c:manualLayout>
          <c:xMode val="edge"/>
          <c:yMode val="edge"/>
          <c:x val="0.15657109530198138"/>
          <c:y val="0.85474253771818454"/>
          <c:w val="0.84342885318921146"/>
          <c:h val="7.24665917616759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10522111509521E-2"/>
          <c:y val="4.1384499623777278E-2"/>
          <c:w val="0.91171312396019144"/>
          <c:h val="0.69840357144973131"/>
        </c:manualLayout>
      </c:layout>
      <c:lineChart>
        <c:grouping val="standard"/>
        <c:varyColors val="0"/>
        <c:ser>
          <c:idx val="0"/>
          <c:order val="0"/>
          <c:tx>
            <c:strRef>
              <c:f>'Fare change index'!$D$77</c:f>
              <c:strCache>
                <c:ptCount val="1"/>
                <c:pt idx="0">
                  <c:v>Train</c:v>
                </c:pt>
              </c:strCache>
            </c:strRef>
          </c:tx>
          <c:spPr>
            <a:ln w="31750" cap="rnd">
              <a:solidFill>
                <a:schemeClr val="accent4"/>
              </a:solidFill>
              <a:prstDash val="solid"/>
              <a:round/>
            </a:ln>
            <a:effectLst/>
          </c:spPr>
          <c:marker>
            <c:symbol val="none"/>
          </c:marker>
          <c:cat>
            <c:numRef>
              <c:f>'Fare change index'!$E$76:$O$76</c:f>
              <c:numCache>
                <c:formatCode>mmm\-yy</c:formatCode>
                <c:ptCount val="11"/>
                <c:pt idx="0">
                  <c:v>39965</c:v>
                </c:pt>
                <c:pt idx="1">
                  <c:v>40330</c:v>
                </c:pt>
                <c:pt idx="2">
                  <c:v>40695</c:v>
                </c:pt>
                <c:pt idx="3">
                  <c:v>41061</c:v>
                </c:pt>
                <c:pt idx="4">
                  <c:v>41426</c:v>
                </c:pt>
                <c:pt idx="5">
                  <c:v>41791</c:v>
                </c:pt>
                <c:pt idx="6">
                  <c:v>42156</c:v>
                </c:pt>
                <c:pt idx="7">
                  <c:v>42522</c:v>
                </c:pt>
                <c:pt idx="8">
                  <c:v>42887</c:v>
                </c:pt>
                <c:pt idx="9">
                  <c:v>43252</c:v>
                </c:pt>
                <c:pt idx="10">
                  <c:v>43617</c:v>
                </c:pt>
              </c:numCache>
            </c:numRef>
          </c:cat>
          <c:val>
            <c:numRef>
              <c:f>'Fare change index'!$E$77:$O$77</c:f>
              <c:numCache>
                <c:formatCode>0%</c:formatCode>
                <c:ptCount val="11"/>
                <c:pt idx="0" formatCode="0">
                  <c:v>0</c:v>
                </c:pt>
                <c:pt idx="1">
                  <c:v>-5.5064574607387229E-2</c:v>
                </c:pt>
                <c:pt idx="2">
                  <c:v>-8.7451474268021245E-2</c:v>
                </c:pt>
                <c:pt idx="3">
                  <c:v>-4.9669783911819199E-2</c:v>
                </c:pt>
                <c:pt idx="4">
                  <c:v>-4.0299601936848561E-2</c:v>
                </c:pt>
                <c:pt idx="5">
                  <c:v>-3.5786563237741542E-2</c:v>
                </c:pt>
                <c:pt idx="6">
                  <c:v>-1.8792189296965245E-2</c:v>
                </c:pt>
                <c:pt idx="7">
                  <c:v>-5.1264204689844495E-2</c:v>
                </c:pt>
                <c:pt idx="8">
                  <c:v>-6.9261902703858236E-2</c:v>
                </c:pt>
                <c:pt idx="9">
                  <c:v>-6.6235192823537181E-2</c:v>
                </c:pt>
                <c:pt idx="10">
                  <c:v>-7.0062882133545057E-2</c:v>
                </c:pt>
              </c:numCache>
            </c:numRef>
          </c:val>
          <c:smooth val="0"/>
        </c:ser>
        <c:ser>
          <c:idx val="1"/>
          <c:order val="1"/>
          <c:tx>
            <c:strRef>
              <c:f>'Fare change index'!$D$78</c:f>
              <c:strCache>
                <c:ptCount val="1"/>
                <c:pt idx="0">
                  <c:v>Bus</c:v>
                </c:pt>
              </c:strCache>
            </c:strRef>
          </c:tx>
          <c:spPr>
            <a:ln w="31750" cap="rnd">
              <a:solidFill>
                <a:schemeClr val="accent2"/>
              </a:solidFill>
              <a:prstDash val="solid"/>
              <a:round/>
            </a:ln>
            <a:effectLst/>
          </c:spPr>
          <c:marker>
            <c:symbol val="none"/>
          </c:marker>
          <c:cat>
            <c:numRef>
              <c:f>'Fare change index'!$E$76:$O$76</c:f>
              <c:numCache>
                <c:formatCode>mmm\-yy</c:formatCode>
                <c:ptCount val="11"/>
                <c:pt idx="0">
                  <c:v>39965</c:v>
                </c:pt>
                <c:pt idx="1">
                  <c:v>40330</c:v>
                </c:pt>
                <c:pt idx="2">
                  <c:v>40695</c:v>
                </c:pt>
                <c:pt idx="3">
                  <c:v>41061</c:v>
                </c:pt>
                <c:pt idx="4">
                  <c:v>41426</c:v>
                </c:pt>
                <c:pt idx="5">
                  <c:v>41791</c:v>
                </c:pt>
                <c:pt idx="6">
                  <c:v>42156</c:v>
                </c:pt>
                <c:pt idx="7">
                  <c:v>42522</c:v>
                </c:pt>
                <c:pt idx="8">
                  <c:v>42887</c:v>
                </c:pt>
                <c:pt idx="9">
                  <c:v>43252</c:v>
                </c:pt>
                <c:pt idx="10">
                  <c:v>43617</c:v>
                </c:pt>
              </c:numCache>
            </c:numRef>
          </c:cat>
          <c:val>
            <c:numRef>
              <c:f>'Fare change index'!$E$78:$O$78</c:f>
              <c:numCache>
                <c:formatCode>0%</c:formatCode>
                <c:ptCount val="11"/>
                <c:pt idx="0" formatCode="0">
                  <c:v>0</c:v>
                </c:pt>
                <c:pt idx="1">
                  <c:v>-1.4478438532085636E-2</c:v>
                </c:pt>
                <c:pt idx="2">
                  <c:v>-4.8256395275945829E-2</c:v>
                </c:pt>
                <c:pt idx="3">
                  <c:v>-8.8519349560558513E-3</c:v>
                </c:pt>
                <c:pt idx="4">
                  <c:v>-4.7300588369769692E-5</c:v>
                </c:pt>
                <c:pt idx="5">
                  <c:v>-6.0224664824934937E-3</c:v>
                </c:pt>
                <c:pt idx="6">
                  <c:v>2.6838520808563082E-3</c:v>
                </c:pt>
                <c:pt idx="7">
                  <c:v>-3.4028820764576695E-3</c:v>
                </c:pt>
                <c:pt idx="8">
                  <c:v>-2.2308518459831062E-2</c:v>
                </c:pt>
                <c:pt idx="9">
                  <c:v>-1.9129118717110871E-2</c:v>
                </c:pt>
                <c:pt idx="10">
                  <c:v>-2.3149905276991345E-2</c:v>
                </c:pt>
              </c:numCache>
            </c:numRef>
          </c:val>
          <c:smooth val="0"/>
        </c:ser>
        <c:ser>
          <c:idx val="2"/>
          <c:order val="2"/>
          <c:tx>
            <c:strRef>
              <c:f>'Fare change index'!$D$79</c:f>
              <c:strCache>
                <c:ptCount val="1"/>
                <c:pt idx="0">
                  <c:v>Ferry</c:v>
                </c:pt>
              </c:strCache>
            </c:strRef>
          </c:tx>
          <c:spPr>
            <a:ln w="31750" cap="rnd">
              <a:solidFill>
                <a:schemeClr val="accent3"/>
              </a:solidFill>
              <a:prstDash val="solid"/>
              <a:round/>
            </a:ln>
            <a:effectLst/>
          </c:spPr>
          <c:marker>
            <c:symbol val="none"/>
          </c:marker>
          <c:cat>
            <c:numRef>
              <c:f>'Fare change index'!$E$76:$O$76</c:f>
              <c:numCache>
                <c:formatCode>mmm\-yy</c:formatCode>
                <c:ptCount val="11"/>
                <c:pt idx="0">
                  <c:v>39965</c:v>
                </c:pt>
                <c:pt idx="1">
                  <c:v>40330</c:v>
                </c:pt>
                <c:pt idx="2">
                  <c:v>40695</c:v>
                </c:pt>
                <c:pt idx="3">
                  <c:v>41061</c:v>
                </c:pt>
                <c:pt idx="4">
                  <c:v>41426</c:v>
                </c:pt>
                <c:pt idx="5">
                  <c:v>41791</c:v>
                </c:pt>
                <c:pt idx="6">
                  <c:v>42156</c:v>
                </c:pt>
                <c:pt idx="7">
                  <c:v>42522</c:v>
                </c:pt>
                <c:pt idx="8">
                  <c:v>42887</c:v>
                </c:pt>
                <c:pt idx="9">
                  <c:v>43252</c:v>
                </c:pt>
                <c:pt idx="10">
                  <c:v>43617</c:v>
                </c:pt>
              </c:numCache>
            </c:numRef>
          </c:cat>
          <c:val>
            <c:numRef>
              <c:f>'Fare change index'!$E$79:$O$79</c:f>
              <c:numCache>
                <c:formatCode>0%</c:formatCode>
                <c:ptCount val="11"/>
                <c:pt idx="0" formatCode="0">
                  <c:v>0</c:v>
                </c:pt>
                <c:pt idx="1">
                  <c:v>3.2428537410578606E-2</c:v>
                </c:pt>
                <c:pt idx="2">
                  <c:v>-2.9571181055099149E-3</c:v>
                </c:pt>
                <c:pt idx="3">
                  <c:v>3.9960939272993601E-2</c:v>
                </c:pt>
                <c:pt idx="4">
                  <c:v>4.9199191507858231E-2</c:v>
                </c:pt>
                <c:pt idx="5">
                  <c:v>5.2096130540878915E-2</c:v>
                </c:pt>
                <c:pt idx="6">
                  <c:v>6.6493699077052604E-2</c:v>
                </c:pt>
                <c:pt idx="7">
                  <c:v>-1.2823087147814438E-2</c:v>
                </c:pt>
                <c:pt idx="8">
                  <c:v>-3.1550020453953387E-2</c:v>
                </c:pt>
                <c:pt idx="9">
                  <c:v>-2.8400673575165403E-2</c:v>
                </c:pt>
                <c:pt idx="10">
                  <c:v>-3.2383454171290849E-2</c:v>
                </c:pt>
              </c:numCache>
            </c:numRef>
          </c:val>
          <c:smooth val="0"/>
        </c:ser>
        <c:dLbls>
          <c:showLegendKey val="0"/>
          <c:showVal val="0"/>
          <c:showCatName val="0"/>
          <c:showSerName val="0"/>
          <c:showPercent val="0"/>
          <c:showBubbleSize val="0"/>
        </c:dLbls>
        <c:smooth val="0"/>
        <c:axId val="566792824"/>
        <c:axId val="566794392"/>
      </c:lineChart>
      <c:dateAx>
        <c:axId val="566792824"/>
        <c:scaling>
          <c:orientation val="minMax"/>
          <c:min val="39994"/>
        </c:scaling>
        <c:delete val="0"/>
        <c:axPos val="b"/>
        <c:numFmt formatCode="yyyy"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Raleway" panose="020B0003030101060003" pitchFamily="34" charset="0"/>
                <a:ea typeface="+mn-ea"/>
                <a:cs typeface="Arial" panose="020B0604020202020204" pitchFamily="34" charset="0"/>
              </a:defRPr>
            </a:pPr>
            <a:endParaRPr lang="en-US"/>
          </a:p>
        </c:txPr>
        <c:crossAx val="566794392"/>
        <c:crosses val="autoZero"/>
        <c:auto val="1"/>
        <c:lblOffset val="100"/>
        <c:baseTimeUnit val="years"/>
      </c:dateAx>
      <c:valAx>
        <c:axId val="566794392"/>
        <c:scaling>
          <c:orientation val="minMax"/>
          <c:max val="0.2"/>
          <c:min val="-0.2"/>
        </c:scaling>
        <c:delete val="0"/>
        <c:axPos val="l"/>
        <c:majorGridlines>
          <c:spPr>
            <a:ln w="3175" cap="flat" cmpd="sng" algn="ctr">
              <a:solidFill>
                <a:schemeClr val="bg1">
                  <a:lumMod val="6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2"/>
                </a:solidFill>
                <a:latin typeface="Raleway" panose="020B0003030101060003" pitchFamily="34" charset="0"/>
                <a:ea typeface="+mn-ea"/>
                <a:cs typeface="Arial" panose="020B0604020202020204" pitchFamily="34" charset="0"/>
              </a:defRPr>
            </a:pPr>
            <a:endParaRPr lang="en-US"/>
          </a:p>
        </c:txPr>
        <c:crossAx val="566792824"/>
        <c:crosses val="autoZero"/>
        <c:crossBetween val="between"/>
        <c:majorUnit val="0.1"/>
        <c:minorUnit val="5.000000000000001E-2"/>
      </c:valAx>
      <c:spPr>
        <a:noFill/>
        <a:ln>
          <a:noFill/>
        </a:ln>
        <a:effectLst/>
      </c:spPr>
    </c:plotArea>
    <c:legend>
      <c:legendPos val="b"/>
      <c:layout>
        <c:manualLayout>
          <c:xMode val="edge"/>
          <c:yMode val="edge"/>
          <c:x val="0.40287376706623795"/>
          <c:y val="0.8996891320512983"/>
          <c:w val="0.550007452653137"/>
          <c:h val="7.091466764328878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003030101060003"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latin typeface="Raleway" panose="020B00030301010600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Pt>
            <c:idx val="0"/>
            <c:invertIfNegative val="0"/>
            <c:bubble3D val="0"/>
            <c:spPr>
              <a:solidFill>
                <a:schemeClr val="accent4"/>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Lbls>
            <c:dLbl>
              <c:idx val="3"/>
              <c:layout>
                <c:manualLayout>
                  <c:x val="2.2766843767016206E-2"/>
                  <c:y val="0"/>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6216020597719281"/>
                      <c:h val="0.18092027712849265"/>
                    </c:manualLayout>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'Patronage since 2011-12'!$B$57:$B$60</c:f>
              <c:strCache>
                <c:ptCount val="4"/>
                <c:pt idx="0">
                  <c:v>Train</c:v>
                </c:pt>
                <c:pt idx="1">
                  <c:v>Bus</c:v>
                </c:pt>
                <c:pt idx="2">
                  <c:v>Ferry</c:v>
                </c:pt>
                <c:pt idx="3">
                  <c:v>Light rail</c:v>
                </c:pt>
              </c:strCache>
            </c:strRef>
          </c:cat>
          <c:val>
            <c:numRef>
              <c:f>'Patronage since 2011-12'!$J$57:$J$60</c:f>
              <c:numCache>
                <c:formatCode>\+0%</c:formatCode>
                <c:ptCount val="4"/>
                <c:pt idx="0">
                  <c:v>0.28824591636279395</c:v>
                </c:pt>
                <c:pt idx="1">
                  <c:v>0.48179753015892879</c:v>
                </c:pt>
                <c:pt idx="2">
                  <c:v>2.8666207673530675E-2</c:v>
                </c:pt>
                <c:pt idx="3">
                  <c:v>1.6382103368475183</c:v>
                </c:pt>
              </c:numCache>
            </c:numRef>
          </c:val>
        </c:ser>
        <c:dLbls>
          <c:dLblPos val="outEnd"/>
          <c:showLegendKey val="0"/>
          <c:showVal val="1"/>
          <c:showCatName val="0"/>
          <c:showSerName val="0"/>
          <c:showPercent val="0"/>
          <c:showBubbleSize val="0"/>
        </c:dLbls>
        <c:gapWidth val="47"/>
        <c:overlap val="-27"/>
        <c:axId val="566793216"/>
        <c:axId val="566794000"/>
      </c:barChart>
      <c:catAx>
        <c:axId val="566793216"/>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003030101060003" pitchFamily="34" charset="0"/>
                <a:ea typeface="+mn-ea"/>
                <a:cs typeface="+mn-cs"/>
              </a:defRPr>
            </a:pPr>
            <a:endParaRPr lang="en-US"/>
          </a:p>
        </c:txPr>
        <c:crossAx val="566794000"/>
        <c:crosses val="autoZero"/>
        <c:auto val="1"/>
        <c:lblAlgn val="ctr"/>
        <c:lblOffset val="100"/>
        <c:noMultiLvlLbl val="0"/>
      </c:catAx>
      <c:valAx>
        <c:axId val="566794000"/>
        <c:scaling>
          <c:orientation val="minMax"/>
        </c:scaling>
        <c:delete val="1"/>
        <c:axPos val="l"/>
        <c:numFmt formatCode="\+0%" sourceLinked="1"/>
        <c:majorTickMark val="none"/>
        <c:minorTickMark val="none"/>
        <c:tickLblPos val="nextTo"/>
        <c:crossAx val="56679321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Raleway" panose="020B00030301010600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20370165664352E-3"/>
          <c:y val="4.3674992333963582E-2"/>
          <c:w val="0.97799324603773163"/>
          <c:h val="0.81203384593519135"/>
        </c:manualLayout>
      </c:layout>
      <c:barChart>
        <c:barDir val="bar"/>
        <c:grouping val="stacked"/>
        <c:varyColors val="0"/>
        <c:ser>
          <c:idx val="0"/>
          <c:order val="0"/>
          <c:tx>
            <c:strRef>
              <c:f>'External benefits'!$B$32</c:f>
              <c:strCache>
                <c:ptCount val="1"/>
                <c:pt idx="0">
                  <c:v>Avoided congestion</c:v>
                </c:pt>
              </c:strCache>
            </c:strRef>
          </c:tx>
          <c:spPr>
            <a:solidFill>
              <a:srgbClr val="007BC4"/>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val>
            <c:numRef>
              <c:f>'External benefits'!$C$32</c:f>
              <c:numCache>
                <c:formatCode>0.0%</c:formatCode>
                <c:ptCount val="1"/>
                <c:pt idx="0">
                  <c:v>0.7837176038280439</c:v>
                </c:pt>
              </c:numCache>
            </c:numRef>
          </c:val>
          <c:extLst xmlns:c16r2="http://schemas.microsoft.com/office/drawing/2015/06/chart">
            <c:ext xmlns:c16="http://schemas.microsoft.com/office/drawing/2014/chart" uri="{C3380CC4-5D6E-409C-BE32-E72D297353CC}">
              <c16:uniqueId val="{00000000-FFCF-4EFC-8261-A1C0C16F7C6A}"/>
            </c:ext>
          </c:extLst>
        </c:ser>
        <c:ser>
          <c:idx val="1"/>
          <c:order val="1"/>
          <c:tx>
            <c:strRef>
              <c:f>'External benefits'!$B$33</c:f>
              <c:strCache>
                <c:ptCount val="1"/>
                <c:pt idx="0">
                  <c:v>Avoided accidents</c:v>
                </c:pt>
              </c:strCache>
            </c:strRef>
          </c:tx>
          <c:spPr>
            <a:solidFill>
              <a:srgbClr val="A0A09A"/>
            </a:solidFill>
          </c:spPr>
          <c:invertIfNegative val="0"/>
          <c:val>
            <c:numRef>
              <c:f>'External benefits'!$C$33</c:f>
              <c:numCache>
                <c:formatCode>0.0%</c:formatCode>
                <c:ptCount val="1"/>
                <c:pt idx="0">
                  <c:v>2.4966580028262863E-2</c:v>
                </c:pt>
              </c:numCache>
            </c:numRef>
          </c:val>
        </c:ser>
        <c:ser>
          <c:idx val="3"/>
          <c:order val="2"/>
          <c:tx>
            <c:strRef>
              <c:f>'External benefits'!$B$34</c:f>
              <c:strCache>
                <c:ptCount val="1"/>
                <c:pt idx="0">
                  <c:v>Avoided pollution</c:v>
                </c:pt>
              </c:strCache>
            </c:strRef>
          </c:tx>
          <c:spPr>
            <a:solidFill>
              <a:srgbClr val="46B849"/>
            </a:solidFill>
          </c:spPr>
          <c:invertIfNegative val="0"/>
          <c:val>
            <c:numRef>
              <c:f>'External benefits'!$C$34</c:f>
              <c:numCache>
                <c:formatCode>0.0%</c:formatCode>
                <c:ptCount val="1"/>
                <c:pt idx="0">
                  <c:v>4.9315390894847395E-3</c:v>
                </c:pt>
              </c:numCache>
            </c:numRef>
          </c:val>
        </c:ser>
        <c:ser>
          <c:idx val="2"/>
          <c:order val="3"/>
          <c:tx>
            <c:strRef>
              <c:f>'External benefits'!$B$35</c:f>
              <c:strCache>
                <c:ptCount val="1"/>
                <c:pt idx="0">
                  <c:v>Active transport</c:v>
                </c:pt>
              </c:strCache>
            </c:strRef>
          </c:tx>
          <c:spPr>
            <a:solidFill>
              <a:srgbClr val="FFC000"/>
            </a:solidFill>
          </c:spPr>
          <c:invertIfNegative val="0"/>
          <c:dPt>
            <c:idx val="0"/>
            <c:invertIfNegative val="0"/>
            <c:bubble3D val="0"/>
          </c:dPt>
          <c:val>
            <c:numRef>
              <c:f>'External benefits'!$C$35</c:f>
              <c:numCache>
                <c:formatCode>0.0%</c:formatCode>
                <c:ptCount val="1"/>
                <c:pt idx="0">
                  <c:v>5.4189222589422326E-2</c:v>
                </c:pt>
              </c:numCache>
            </c:numRef>
          </c:val>
        </c:ser>
        <c:ser>
          <c:idx val="4"/>
          <c:order val="4"/>
          <c:tx>
            <c:strRef>
              <c:f>'External benefits'!$B$36</c:f>
              <c:strCache>
                <c:ptCount val="1"/>
                <c:pt idx="0">
                  <c:v>Frequency benefits</c:v>
                </c:pt>
              </c:strCache>
            </c:strRef>
          </c:tx>
          <c:spPr>
            <a:solidFill>
              <a:schemeClr val="accent6"/>
            </a:solidFill>
          </c:spPr>
          <c:invertIfNegative val="0"/>
          <c:dPt>
            <c:idx val="0"/>
            <c:invertIfNegative val="0"/>
            <c:bubble3D val="0"/>
          </c:dPt>
          <c:val>
            <c:numRef>
              <c:f>'External benefits'!$C$36</c:f>
              <c:numCache>
                <c:formatCode>0.0%</c:formatCode>
                <c:ptCount val="1"/>
                <c:pt idx="0">
                  <c:v>0.13219505446478616</c:v>
                </c:pt>
              </c:numCache>
            </c:numRef>
          </c:val>
        </c:ser>
        <c:dLbls>
          <c:showLegendKey val="0"/>
          <c:showVal val="0"/>
          <c:showCatName val="0"/>
          <c:showSerName val="0"/>
          <c:showPercent val="0"/>
          <c:showBubbleSize val="0"/>
        </c:dLbls>
        <c:gapWidth val="172"/>
        <c:overlap val="100"/>
        <c:axId val="565830352"/>
        <c:axId val="565830744"/>
      </c:barChart>
      <c:catAx>
        <c:axId val="565830352"/>
        <c:scaling>
          <c:orientation val="minMax"/>
        </c:scaling>
        <c:delete val="1"/>
        <c:axPos val="l"/>
        <c:numFmt formatCode="0" sourceLinked="0"/>
        <c:majorTickMark val="none"/>
        <c:minorTickMark val="none"/>
        <c:tickLblPos val="nextTo"/>
        <c:crossAx val="565830744"/>
        <c:crosses val="autoZero"/>
        <c:auto val="1"/>
        <c:lblAlgn val="ctr"/>
        <c:lblOffset val="100"/>
        <c:tickLblSkip val="1"/>
        <c:tickMarkSkip val="1"/>
        <c:noMultiLvlLbl val="0"/>
      </c:catAx>
      <c:valAx>
        <c:axId val="565830744"/>
        <c:scaling>
          <c:orientation val="minMax"/>
        </c:scaling>
        <c:delete val="1"/>
        <c:axPos val="b"/>
        <c:numFmt formatCode="0" sourceLinked="0"/>
        <c:majorTickMark val="out"/>
        <c:minorTickMark val="none"/>
        <c:tickLblPos val="nextTo"/>
        <c:crossAx val="565830352"/>
        <c:crosses val="autoZero"/>
        <c:crossBetween val="between"/>
      </c:valAx>
      <c:spPr>
        <a:noFill/>
        <a:ln w="25400">
          <a:noFill/>
        </a:ln>
      </c:spPr>
    </c:plotArea>
    <c:legend>
      <c:legendPos val="b"/>
      <c:layout>
        <c:manualLayout>
          <c:xMode val="edge"/>
          <c:yMode val="edge"/>
          <c:x val="5.5303002582358145E-2"/>
          <c:y val="0.78798671479772875"/>
          <c:w val="0.9446969974176419"/>
          <c:h val="0.19199451243408738"/>
        </c:manualLayout>
      </c:layout>
      <c:overlay val="0"/>
    </c:legend>
    <c:plotVisOnly val="1"/>
    <c:dispBlanksAs val="gap"/>
    <c:showDLblsOverMax val="0"/>
  </c:chart>
  <c:spPr>
    <a:noFill/>
    <a:ln w="9525">
      <a:noFill/>
    </a:ln>
  </c:spPr>
  <c:txPr>
    <a:bodyPr/>
    <a:lstStyle/>
    <a:p>
      <a:pPr>
        <a:defRPr sz="1000" b="0" i="0" u="none" strike="noStrike" baseline="0">
          <a:solidFill>
            <a:srgbClr val="000000"/>
          </a:solidFill>
          <a:latin typeface="Raleway" panose="020B0003030101060003" pitchFamily="34" charset="0"/>
          <a:ea typeface="Myriad Pro"/>
          <a:cs typeface="Myriad Pro"/>
        </a:defRPr>
      </a:pPr>
      <a:endParaRPr lang="en-US"/>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40509631580947"/>
          <c:y val="4.3275627341948592E-2"/>
          <c:w val="0.85110167634079958"/>
          <c:h val="0.67800776053268497"/>
        </c:manualLayout>
      </c:layout>
      <c:lineChart>
        <c:grouping val="standard"/>
        <c:varyColors val="0"/>
        <c:ser>
          <c:idx val="0"/>
          <c:order val="0"/>
          <c:tx>
            <c:strRef>
              <c:f>'Revenue growth'!$F$48</c:f>
              <c:strCache>
                <c:ptCount val="1"/>
                <c:pt idx="0">
                  <c:v>Train</c:v>
                </c:pt>
              </c:strCache>
            </c:strRef>
          </c:tx>
          <c:spPr>
            <a:ln w="38100" cap="rnd">
              <a:solidFill>
                <a:schemeClr val="accent4"/>
              </a:solidFill>
              <a:prstDash val="solid"/>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0205794525353234E-2"/>
                  <c:y val="-3.00216135595659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Raleway" panose="020B00030301010600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growth'!$G$47:$K$47</c:f>
              <c:strCache>
                <c:ptCount val="5"/>
                <c:pt idx="0">
                  <c:v>2013-14</c:v>
                </c:pt>
                <c:pt idx="1">
                  <c:v>2014-15</c:v>
                </c:pt>
                <c:pt idx="2">
                  <c:v>2015-16</c:v>
                </c:pt>
                <c:pt idx="3">
                  <c:v>2016-17</c:v>
                </c:pt>
                <c:pt idx="4">
                  <c:v>2017-18</c:v>
                </c:pt>
              </c:strCache>
            </c:strRef>
          </c:cat>
          <c:val>
            <c:numRef>
              <c:f>'Revenue growth'!$G$48:$K$48</c:f>
              <c:numCache>
                <c:formatCode>0%</c:formatCode>
                <c:ptCount val="5"/>
                <c:pt idx="0">
                  <c:v>0</c:v>
                </c:pt>
                <c:pt idx="1">
                  <c:v>-4.878457090673094E-2</c:v>
                </c:pt>
                <c:pt idx="2">
                  <c:v>-4.3056300031406591E-2</c:v>
                </c:pt>
                <c:pt idx="3">
                  <c:v>1.4600153316657538E-2</c:v>
                </c:pt>
                <c:pt idx="4" formatCode="\+0%">
                  <c:v>8.3345627687988033E-2</c:v>
                </c:pt>
              </c:numCache>
            </c:numRef>
          </c:val>
          <c:smooth val="0"/>
        </c:ser>
        <c:ser>
          <c:idx val="1"/>
          <c:order val="1"/>
          <c:tx>
            <c:strRef>
              <c:f>'Revenue growth'!$F$49</c:f>
              <c:strCache>
                <c:ptCount val="1"/>
                <c:pt idx="0">
                  <c:v>Bus</c:v>
                </c:pt>
              </c:strCache>
            </c:strRef>
          </c:tx>
          <c:spPr>
            <a:ln w="38100" cap="rnd">
              <a:solidFill>
                <a:schemeClr val="accent2"/>
              </a:solidFill>
              <a:prstDash val="solid"/>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Raleway" panose="020B00030301010600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growth'!$G$47:$K$47</c:f>
              <c:strCache>
                <c:ptCount val="5"/>
                <c:pt idx="0">
                  <c:v>2013-14</c:v>
                </c:pt>
                <c:pt idx="1">
                  <c:v>2014-15</c:v>
                </c:pt>
                <c:pt idx="2">
                  <c:v>2015-16</c:v>
                </c:pt>
                <c:pt idx="3">
                  <c:v>2016-17</c:v>
                </c:pt>
                <c:pt idx="4">
                  <c:v>2017-18</c:v>
                </c:pt>
              </c:strCache>
            </c:strRef>
          </c:cat>
          <c:val>
            <c:numRef>
              <c:f>'Revenue growth'!$G$49:$K$49</c:f>
              <c:numCache>
                <c:formatCode>0%</c:formatCode>
                <c:ptCount val="5"/>
                <c:pt idx="0">
                  <c:v>0</c:v>
                </c:pt>
                <c:pt idx="1">
                  <c:v>-3.0300023720846059E-2</c:v>
                </c:pt>
                <c:pt idx="2">
                  <c:v>3.8208714048669767E-2</c:v>
                </c:pt>
                <c:pt idx="3">
                  <c:v>8.9517192209340735E-2</c:v>
                </c:pt>
                <c:pt idx="4" formatCode="\+0%">
                  <c:v>0.1459134348432658</c:v>
                </c:pt>
              </c:numCache>
            </c:numRef>
          </c:val>
          <c:smooth val="0"/>
        </c:ser>
        <c:ser>
          <c:idx val="2"/>
          <c:order val="2"/>
          <c:tx>
            <c:strRef>
              <c:f>'Revenue growth'!$F$50</c:f>
              <c:strCache>
                <c:ptCount val="1"/>
                <c:pt idx="0">
                  <c:v>Ferry</c:v>
                </c:pt>
              </c:strCache>
            </c:strRef>
          </c:tx>
          <c:spPr>
            <a:ln w="34925" cap="rnd">
              <a:solidFill>
                <a:schemeClr val="accent3"/>
              </a:solidFill>
              <a:prstDash val="solid"/>
              <a:round/>
            </a:ln>
            <a:effectLst/>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3.1244490729886422E-2"/>
                  <c:y val="5.4406964516925019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Raleway" panose="020B0003030101060003" pitchFamily="34" charset="0"/>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Raleway" panose="020B0003030101060003"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growth'!$G$47:$K$47</c:f>
              <c:strCache>
                <c:ptCount val="5"/>
                <c:pt idx="0">
                  <c:v>2013-14</c:v>
                </c:pt>
                <c:pt idx="1">
                  <c:v>2014-15</c:v>
                </c:pt>
                <c:pt idx="2">
                  <c:v>2015-16</c:v>
                </c:pt>
                <c:pt idx="3">
                  <c:v>2016-17</c:v>
                </c:pt>
                <c:pt idx="4">
                  <c:v>2017-18</c:v>
                </c:pt>
              </c:strCache>
            </c:strRef>
          </c:cat>
          <c:val>
            <c:numRef>
              <c:f>'Revenue growth'!$G$50:$K$50</c:f>
              <c:numCache>
                <c:formatCode>0%</c:formatCode>
                <c:ptCount val="5"/>
                <c:pt idx="0">
                  <c:v>0</c:v>
                </c:pt>
                <c:pt idx="1">
                  <c:v>-6.0800069310132709E-2</c:v>
                </c:pt>
                <c:pt idx="2">
                  <c:v>-1.3312504538950387E-3</c:v>
                </c:pt>
                <c:pt idx="3">
                  <c:v>1.1717771010023803E-2</c:v>
                </c:pt>
                <c:pt idx="4" formatCode="\+0%">
                  <c:v>5.2323001825058446E-2</c:v>
                </c:pt>
              </c:numCache>
            </c:numRef>
          </c:val>
          <c:smooth val="0"/>
        </c:ser>
        <c:dLbls>
          <c:dLblPos val="t"/>
          <c:showLegendKey val="0"/>
          <c:showVal val="1"/>
          <c:showCatName val="0"/>
          <c:showSerName val="0"/>
          <c:showPercent val="0"/>
          <c:showBubbleSize val="0"/>
        </c:dLbls>
        <c:smooth val="0"/>
        <c:axId val="565831528"/>
        <c:axId val="565826432"/>
      </c:lineChart>
      <c:catAx>
        <c:axId val="565831528"/>
        <c:scaling>
          <c:orientation val="minMax"/>
        </c:scaling>
        <c:delete val="0"/>
        <c:axPos val="b"/>
        <c:numFmt formatCode="General" sourceLinked="1"/>
        <c:majorTickMark val="none"/>
        <c:minorTickMark val="none"/>
        <c:tickLblPos val="low"/>
        <c:spPr>
          <a:noFill/>
          <a:ln w="9525" cap="flat" cmpd="sng" algn="ctr">
            <a:solidFill>
              <a:schemeClr val="tx1">
                <a:lumMod val="90000"/>
                <a:lumOff val="1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Raleway" panose="020B0003030101060003" pitchFamily="34" charset="0"/>
                <a:ea typeface="+mn-ea"/>
                <a:cs typeface="+mn-cs"/>
              </a:defRPr>
            </a:pPr>
            <a:endParaRPr lang="en-US"/>
          </a:p>
        </c:txPr>
        <c:crossAx val="565826432"/>
        <c:crosses val="autoZero"/>
        <c:auto val="1"/>
        <c:lblAlgn val="ctr"/>
        <c:lblOffset val="100"/>
        <c:noMultiLvlLbl val="0"/>
      </c:catAx>
      <c:valAx>
        <c:axId val="56582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Raleway" panose="020B0003030101060003" pitchFamily="34" charset="0"/>
                <a:ea typeface="+mn-ea"/>
                <a:cs typeface="+mn-cs"/>
              </a:defRPr>
            </a:pPr>
            <a:endParaRPr lang="en-US"/>
          </a:p>
        </c:txPr>
        <c:crossAx val="565831528"/>
        <c:crosses val="autoZero"/>
        <c:crossBetween val="between"/>
        <c:majorUnit val="0.1"/>
      </c:valAx>
      <c:spPr>
        <a:noFill/>
        <a:ln w="25400">
          <a:noFill/>
        </a:ln>
        <a:effectLst/>
      </c:spPr>
    </c:plotArea>
    <c:legend>
      <c:legendPos val="b"/>
      <c:layout>
        <c:manualLayout>
          <c:xMode val="edge"/>
          <c:yMode val="edge"/>
          <c:x val="0.41966784418485076"/>
          <c:y val="0.90459160835184793"/>
          <c:w val="0.57648649810775476"/>
          <c:h val="8.643699229006063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Raleway" panose="020B00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200">
          <a:solidFill>
            <a:schemeClr val="tx1"/>
          </a:solidFill>
          <a:latin typeface="Raleway" panose="020B0003030101060003"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'Rail - capacity and crowding'!$I$44</c:f>
              <c:strCache>
                <c:ptCount val="1"/>
                <c:pt idx="0">
                  <c:v>Sep-2016</c:v>
                </c:pt>
              </c:strCache>
            </c:strRef>
          </c:tx>
          <c:spPr>
            <a:solidFill>
              <a:schemeClr val="accent2"/>
            </a:solidFill>
            <a:ln>
              <a:noFill/>
            </a:ln>
            <a:effectLst/>
          </c:spPr>
          <c:invertIfNegative val="0"/>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crowding'!$I$45:$I$55</c:f>
              <c:numCache>
                <c:formatCode>0%</c:formatCode>
                <c:ptCount val="11"/>
                <c:pt idx="0">
                  <c:v>0.64</c:v>
                </c:pt>
                <c:pt idx="1">
                  <c:v>1.48</c:v>
                </c:pt>
                <c:pt idx="2">
                  <c:v>1.01</c:v>
                </c:pt>
                <c:pt idx="3">
                  <c:v>1.1100000000000001</c:v>
                </c:pt>
                <c:pt idx="4">
                  <c:v>1.07</c:v>
                </c:pt>
                <c:pt idx="5">
                  <c:v>1.1000000000000001</c:v>
                </c:pt>
                <c:pt idx="6">
                  <c:v>1.17</c:v>
                </c:pt>
                <c:pt idx="7">
                  <c:v>1.35</c:v>
                </c:pt>
                <c:pt idx="8">
                  <c:v>1.19</c:v>
                </c:pt>
                <c:pt idx="9">
                  <c:v>1.24</c:v>
                </c:pt>
                <c:pt idx="10">
                  <c:v>1.28</c:v>
                </c:pt>
              </c:numCache>
            </c:numRef>
          </c:val>
        </c:ser>
        <c:ser>
          <c:idx val="1"/>
          <c:order val="1"/>
          <c:tx>
            <c:strRef>
              <c:f>'Rail - capacity and crowding'!$J$44</c:f>
              <c:strCache>
                <c:ptCount val="1"/>
                <c:pt idx="0">
                  <c:v>Mar-2018</c:v>
                </c:pt>
              </c:strCache>
            </c:strRef>
          </c:tx>
          <c:spPr>
            <a:solidFill>
              <a:schemeClr val="accent1"/>
            </a:solidFill>
            <a:ln>
              <a:noFill/>
            </a:ln>
            <a:effectLst/>
          </c:spPr>
          <c:invertIfNegative val="0"/>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crowding'!$J$45:$J$55</c:f>
              <c:numCache>
                <c:formatCode>0%</c:formatCode>
                <c:ptCount val="11"/>
                <c:pt idx="0">
                  <c:v>0.72</c:v>
                </c:pt>
                <c:pt idx="1">
                  <c:v>1.06</c:v>
                </c:pt>
                <c:pt idx="2">
                  <c:v>1.18</c:v>
                </c:pt>
                <c:pt idx="3">
                  <c:v>1.23</c:v>
                </c:pt>
                <c:pt idx="4">
                  <c:v>1.23</c:v>
                </c:pt>
                <c:pt idx="5">
                  <c:v>1.26</c:v>
                </c:pt>
                <c:pt idx="6">
                  <c:v>1.35</c:v>
                </c:pt>
                <c:pt idx="7">
                  <c:v>1.39</c:v>
                </c:pt>
                <c:pt idx="8">
                  <c:v>1.41</c:v>
                </c:pt>
                <c:pt idx="9">
                  <c:v>1.46</c:v>
                </c:pt>
                <c:pt idx="10">
                  <c:v>1.56</c:v>
                </c:pt>
              </c:numCache>
            </c:numRef>
          </c:val>
        </c:ser>
        <c:dLbls>
          <c:showLegendKey val="0"/>
          <c:showVal val="0"/>
          <c:showCatName val="0"/>
          <c:showSerName val="0"/>
          <c:showPercent val="0"/>
          <c:showBubbleSize val="0"/>
        </c:dLbls>
        <c:gapWidth val="117"/>
        <c:overlap val="-12"/>
        <c:axId val="564767560"/>
        <c:axId val="564771088"/>
      </c:barChart>
      <c:lineChart>
        <c:grouping val="standard"/>
        <c:varyColors val="0"/>
        <c:ser>
          <c:idx val="2"/>
          <c:order val="2"/>
          <c:tx>
            <c:strRef>
              <c:f>'Rail - capacity and crowding'!$K$44</c:f>
              <c:strCache>
                <c:ptCount val="1"/>
              </c:strCache>
            </c:strRef>
          </c:tx>
          <c:spPr>
            <a:ln w="9525" cap="rnd">
              <a:solidFill>
                <a:schemeClr val="tx1"/>
              </a:solidFill>
              <a:round/>
            </a:ln>
            <a:effectLst/>
          </c:spPr>
          <c:marker>
            <c:symbol val="none"/>
          </c:marker>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crowding'!$K$45:$K$55</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ser>
        <c:ser>
          <c:idx val="3"/>
          <c:order val="3"/>
          <c:tx>
            <c:strRef>
              <c:f>'Rail - capacity and crowding'!$L$44</c:f>
              <c:strCache>
                <c:ptCount val="1"/>
              </c:strCache>
            </c:strRef>
          </c:tx>
          <c:spPr>
            <a:ln w="28575" cap="rnd">
              <a:solidFill>
                <a:schemeClr val="accent4"/>
              </a:solidFill>
              <a:round/>
            </a:ln>
            <a:effectLst/>
          </c:spPr>
          <c:marker>
            <c:symbol val="none"/>
          </c:marker>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crowding'!$L$45:$L$55</c:f>
              <c:numCache>
                <c:formatCode>0%</c:formatCode>
                <c:ptCount val="11"/>
                <c:pt idx="0">
                  <c:v>1.35</c:v>
                </c:pt>
                <c:pt idx="1">
                  <c:v>1.35</c:v>
                </c:pt>
                <c:pt idx="2">
                  <c:v>1.35</c:v>
                </c:pt>
                <c:pt idx="3">
                  <c:v>1.35</c:v>
                </c:pt>
                <c:pt idx="4">
                  <c:v>1.35</c:v>
                </c:pt>
                <c:pt idx="5">
                  <c:v>1.35</c:v>
                </c:pt>
                <c:pt idx="6">
                  <c:v>1.35</c:v>
                </c:pt>
                <c:pt idx="7">
                  <c:v>1.35</c:v>
                </c:pt>
                <c:pt idx="8">
                  <c:v>1.35</c:v>
                </c:pt>
                <c:pt idx="9">
                  <c:v>1.35</c:v>
                </c:pt>
                <c:pt idx="10">
                  <c:v>1.35</c:v>
                </c:pt>
              </c:numCache>
            </c:numRef>
          </c:val>
          <c:smooth val="0"/>
        </c:ser>
        <c:dLbls>
          <c:showLegendKey val="0"/>
          <c:showVal val="0"/>
          <c:showCatName val="0"/>
          <c:showSerName val="0"/>
          <c:showPercent val="0"/>
          <c:showBubbleSize val="0"/>
        </c:dLbls>
        <c:marker val="1"/>
        <c:smooth val="0"/>
        <c:axId val="564767560"/>
        <c:axId val="564771088"/>
      </c:lineChart>
      <c:catAx>
        <c:axId val="564767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Raleway" panose="020B0003030101060003" pitchFamily="34" charset="0"/>
                <a:ea typeface="+mn-ea"/>
                <a:cs typeface="+mn-cs"/>
              </a:defRPr>
            </a:pPr>
            <a:endParaRPr lang="en-US"/>
          </a:p>
        </c:txPr>
        <c:crossAx val="564771088"/>
        <c:crosses val="autoZero"/>
        <c:auto val="1"/>
        <c:lblAlgn val="ctr"/>
        <c:lblOffset val="100"/>
        <c:noMultiLvlLbl val="0"/>
      </c:catAx>
      <c:valAx>
        <c:axId val="564771088"/>
        <c:scaling>
          <c:orientation val="minMax"/>
        </c:scaling>
        <c:delete val="1"/>
        <c:axPos val="l"/>
        <c:numFmt formatCode="0%" sourceLinked="1"/>
        <c:majorTickMark val="none"/>
        <c:minorTickMark val="none"/>
        <c:tickLblPos val="nextTo"/>
        <c:crossAx val="564767560"/>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0.6557215562606914"/>
          <c:y val="0.90085986329046996"/>
          <c:w val="0.30523481797599727"/>
          <c:h val="5.47370280637997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Raleway" panose="020B00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Pt>
            <c:idx val="0"/>
            <c:invertIfNegative val="0"/>
            <c:bubble3D val="0"/>
            <c:spPr>
              <a:solidFill>
                <a:schemeClr val="accent4"/>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Raleway" panose="020B00030301010600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'Patronage since 2011-12'!$B$57:$B$60</c:f>
              <c:strCache>
                <c:ptCount val="4"/>
                <c:pt idx="0">
                  <c:v>Train</c:v>
                </c:pt>
                <c:pt idx="1">
                  <c:v>Bus</c:v>
                </c:pt>
                <c:pt idx="2">
                  <c:v>Ferry</c:v>
                </c:pt>
                <c:pt idx="3">
                  <c:v>Light rail</c:v>
                </c:pt>
              </c:strCache>
            </c:strRef>
          </c:cat>
          <c:val>
            <c:numRef>
              <c:f>'Patronage since 2011-12'!$J$57:$J$60</c:f>
              <c:numCache>
                <c:formatCode>\+0%</c:formatCode>
                <c:ptCount val="4"/>
                <c:pt idx="0">
                  <c:v>0.28824591636279395</c:v>
                </c:pt>
                <c:pt idx="1">
                  <c:v>0.48179753015892879</c:v>
                </c:pt>
                <c:pt idx="2">
                  <c:v>2.8666207673530675E-2</c:v>
                </c:pt>
                <c:pt idx="3">
                  <c:v>1.6382103368475183</c:v>
                </c:pt>
              </c:numCache>
            </c:numRef>
          </c:val>
        </c:ser>
        <c:dLbls>
          <c:dLblPos val="outEnd"/>
          <c:showLegendKey val="0"/>
          <c:showVal val="1"/>
          <c:showCatName val="0"/>
          <c:showSerName val="0"/>
          <c:showPercent val="0"/>
          <c:showBubbleSize val="0"/>
        </c:dLbls>
        <c:gapWidth val="47"/>
        <c:overlap val="-27"/>
        <c:axId val="561855824"/>
        <c:axId val="561856608"/>
      </c:barChart>
      <c:catAx>
        <c:axId val="56185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003030101060003" pitchFamily="34" charset="0"/>
                <a:ea typeface="+mn-ea"/>
                <a:cs typeface="+mn-cs"/>
              </a:defRPr>
            </a:pPr>
            <a:endParaRPr lang="en-US"/>
          </a:p>
        </c:txPr>
        <c:crossAx val="561856608"/>
        <c:crosses val="autoZero"/>
        <c:auto val="1"/>
        <c:lblAlgn val="ctr"/>
        <c:lblOffset val="100"/>
        <c:noMultiLvlLbl val="0"/>
      </c:catAx>
      <c:valAx>
        <c:axId val="561856608"/>
        <c:scaling>
          <c:orientation val="minMax"/>
        </c:scaling>
        <c:delete val="1"/>
        <c:axPos val="l"/>
        <c:numFmt formatCode="\+0%" sourceLinked="1"/>
        <c:majorTickMark val="none"/>
        <c:minorTickMark val="none"/>
        <c:tickLblPos val="nextTo"/>
        <c:crossAx val="5618558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Raleway" panose="020B0003030101060003"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9934125122192"/>
          <c:y val="7.6625086646910645E-2"/>
          <c:w val="0.57194786753707427"/>
          <c:h val="0.71767680956015034"/>
        </c:manualLayout>
      </c:layout>
      <c:barChart>
        <c:barDir val="col"/>
        <c:grouping val="clustered"/>
        <c:varyColors val="0"/>
        <c:ser>
          <c:idx val="2"/>
          <c:order val="0"/>
          <c:tx>
            <c:strRef>
              <c:f>'Rail - Punctuality'!$C$29</c:f>
              <c:strCache>
                <c:ptCount val="1"/>
                <c:pt idx="0">
                  <c:v>AM peak</c:v>
                </c:pt>
              </c:strCache>
            </c:strRef>
          </c:tx>
          <c:spPr>
            <a:solidFill>
              <a:schemeClr val="accent2"/>
            </a:solidFill>
            <a:ln>
              <a:noFill/>
            </a:ln>
          </c:spPr>
          <c:invertIfNegative val="0"/>
          <c:cat>
            <c:numRef>
              <c:f>'Rail - Punctuality'!$B$30:$B$34</c:f>
              <c:numCache>
                <c:formatCode>yyyy</c:formatCode>
                <c:ptCount val="5"/>
                <c:pt idx="0">
                  <c:v>41791</c:v>
                </c:pt>
                <c:pt idx="1">
                  <c:v>42156</c:v>
                </c:pt>
                <c:pt idx="2">
                  <c:v>42522</c:v>
                </c:pt>
                <c:pt idx="3">
                  <c:v>42887</c:v>
                </c:pt>
                <c:pt idx="4">
                  <c:v>43252</c:v>
                </c:pt>
              </c:numCache>
            </c:numRef>
          </c:cat>
          <c:val>
            <c:numRef>
              <c:f>'Rail - Punctuality'!$C$30:$C$34</c:f>
              <c:numCache>
                <c:formatCode>0%</c:formatCode>
                <c:ptCount val="5"/>
                <c:pt idx="0">
                  <c:v>0.95399999999999996</c:v>
                </c:pt>
                <c:pt idx="1">
                  <c:v>0.95099999999999996</c:v>
                </c:pt>
                <c:pt idx="2">
                  <c:v>0.95699999999999996</c:v>
                </c:pt>
                <c:pt idx="3">
                  <c:v>0.95199999999999996</c:v>
                </c:pt>
                <c:pt idx="4">
                  <c:v>0.93899999999999995</c:v>
                </c:pt>
              </c:numCache>
            </c:numRef>
          </c:val>
        </c:ser>
        <c:ser>
          <c:idx val="0"/>
          <c:order val="1"/>
          <c:tx>
            <c:strRef>
              <c:f>'Rail - Punctuality'!$D$29</c:f>
              <c:strCache>
                <c:ptCount val="1"/>
                <c:pt idx="0">
                  <c:v>PM peak</c:v>
                </c:pt>
              </c:strCache>
            </c:strRef>
          </c:tx>
          <c:spPr>
            <a:solidFill>
              <a:schemeClr val="accent1"/>
            </a:solidFill>
            <a:ln w="25400">
              <a:noFill/>
            </a:ln>
          </c:spPr>
          <c:invertIfNegative val="0"/>
          <c:cat>
            <c:numRef>
              <c:f>'Rail - Punctuality'!$B$30:$B$34</c:f>
              <c:numCache>
                <c:formatCode>yyyy</c:formatCode>
                <c:ptCount val="5"/>
                <c:pt idx="0">
                  <c:v>41791</c:v>
                </c:pt>
                <c:pt idx="1">
                  <c:v>42156</c:v>
                </c:pt>
                <c:pt idx="2">
                  <c:v>42522</c:v>
                </c:pt>
                <c:pt idx="3">
                  <c:v>42887</c:v>
                </c:pt>
                <c:pt idx="4">
                  <c:v>43252</c:v>
                </c:pt>
              </c:numCache>
            </c:numRef>
          </c:cat>
          <c:val>
            <c:numRef>
              <c:f>'Rail - Punctuality'!$D$30:$D$34</c:f>
              <c:numCache>
                <c:formatCode>0%</c:formatCode>
                <c:ptCount val="5"/>
                <c:pt idx="0">
                  <c:v>0.91700000000000004</c:v>
                </c:pt>
                <c:pt idx="1">
                  <c:v>0.91200000000000003</c:v>
                </c:pt>
                <c:pt idx="2">
                  <c:v>0.91500000000000004</c:v>
                </c:pt>
                <c:pt idx="3">
                  <c:v>0.90500000000000003</c:v>
                </c:pt>
                <c:pt idx="4">
                  <c:v>0.89</c:v>
                </c:pt>
              </c:numCache>
            </c:numRef>
          </c:val>
          <c:extLst xmlns:c16r2="http://schemas.microsoft.com/office/drawing/2015/06/chart">
            <c:ext xmlns:c16="http://schemas.microsoft.com/office/drawing/2014/chart" uri="{C3380CC4-5D6E-409C-BE32-E72D297353CC}">
              <c16:uniqueId val="{00000000-7DC2-45C8-ABBB-0F187946E74C}"/>
            </c:ext>
          </c:extLst>
        </c:ser>
        <c:dLbls>
          <c:showLegendKey val="0"/>
          <c:showVal val="0"/>
          <c:showCatName val="0"/>
          <c:showSerName val="0"/>
          <c:showPercent val="0"/>
          <c:showBubbleSize val="0"/>
        </c:dLbls>
        <c:gapWidth val="117"/>
        <c:overlap val="-12"/>
        <c:axId val="569256944"/>
        <c:axId val="569257336"/>
      </c:barChart>
      <c:lineChart>
        <c:grouping val="standard"/>
        <c:varyColors val="0"/>
        <c:ser>
          <c:idx val="1"/>
          <c:order val="2"/>
          <c:tx>
            <c:strRef>
              <c:f>'Rail - Punctuality'!$E$29</c:f>
              <c:strCache>
                <c:ptCount val="1"/>
                <c:pt idx="0">
                  <c:v>Trips (millions per year)</c:v>
                </c:pt>
              </c:strCache>
            </c:strRef>
          </c:tx>
          <c:spPr>
            <a:ln>
              <a:solidFill>
                <a:schemeClr val="accent3"/>
              </a:solidFill>
            </a:ln>
          </c:spPr>
          <c:marker>
            <c:symbol val="none"/>
          </c:marker>
          <c:cat>
            <c:numRef>
              <c:f>'Rail - Punctuality'!$B$30:$B$34</c:f>
              <c:numCache>
                <c:formatCode>yyyy</c:formatCode>
                <c:ptCount val="5"/>
                <c:pt idx="0">
                  <c:v>41791</c:v>
                </c:pt>
                <c:pt idx="1">
                  <c:v>42156</c:v>
                </c:pt>
                <c:pt idx="2">
                  <c:v>42522</c:v>
                </c:pt>
                <c:pt idx="3">
                  <c:v>42887</c:v>
                </c:pt>
                <c:pt idx="4">
                  <c:v>43252</c:v>
                </c:pt>
              </c:numCache>
            </c:numRef>
          </c:cat>
          <c:val>
            <c:numRef>
              <c:f>'Rail - Punctuality'!$E$30:$E$34</c:f>
              <c:numCache>
                <c:formatCode>0</c:formatCode>
                <c:ptCount val="5"/>
                <c:pt idx="0">
                  <c:v>315.09899999999999</c:v>
                </c:pt>
                <c:pt idx="1">
                  <c:v>328.209</c:v>
                </c:pt>
                <c:pt idx="2">
                  <c:v>362.89100000000002</c:v>
                </c:pt>
                <c:pt idx="3">
                  <c:v>387.56900000000002</c:v>
                </c:pt>
                <c:pt idx="4">
                  <c:v>405.92500000000001</c:v>
                </c:pt>
              </c:numCache>
            </c:numRef>
          </c:val>
          <c:smooth val="0"/>
          <c:extLst xmlns:c16r2="http://schemas.microsoft.com/office/drawing/2015/06/chart">
            <c:ext xmlns:c16="http://schemas.microsoft.com/office/drawing/2014/chart" uri="{C3380CC4-5D6E-409C-BE32-E72D297353CC}">
              <c16:uniqueId val="{00000001-7DC2-45C8-ABBB-0F187946E74C}"/>
            </c:ext>
          </c:extLst>
        </c:ser>
        <c:dLbls>
          <c:showLegendKey val="0"/>
          <c:showVal val="0"/>
          <c:showCatName val="0"/>
          <c:showSerName val="0"/>
          <c:showPercent val="0"/>
          <c:showBubbleSize val="0"/>
        </c:dLbls>
        <c:marker val="1"/>
        <c:smooth val="0"/>
        <c:axId val="569257728"/>
        <c:axId val="569256552"/>
      </c:lineChart>
      <c:dateAx>
        <c:axId val="569256944"/>
        <c:scaling>
          <c:orientation val="minMax"/>
        </c:scaling>
        <c:delete val="0"/>
        <c:axPos val="b"/>
        <c:numFmt formatCode="yyyy" sourceLinked="0"/>
        <c:majorTickMark val="none"/>
        <c:minorTickMark val="none"/>
        <c:tickLblPos val="nextTo"/>
        <c:spPr>
          <a:ln w="3175">
            <a:solidFill>
              <a:srgbClr val="000000"/>
            </a:solidFill>
            <a:prstDash val="solid"/>
          </a:ln>
        </c:spPr>
        <c:txPr>
          <a:bodyPr rot="0" vert="horz"/>
          <a:lstStyle/>
          <a:p>
            <a:pPr>
              <a:defRPr b="1"/>
            </a:pPr>
            <a:endParaRPr lang="en-US"/>
          </a:p>
        </c:txPr>
        <c:crossAx val="569257336"/>
        <c:crosses val="autoZero"/>
        <c:auto val="1"/>
        <c:lblOffset val="100"/>
        <c:baseTimeUnit val="years"/>
        <c:majorUnit val="1"/>
        <c:minorUnit val="1"/>
      </c:dateAx>
      <c:valAx>
        <c:axId val="569257336"/>
        <c:scaling>
          <c:orientation val="minMax"/>
          <c:max val="1"/>
          <c:min val="0.8"/>
        </c:scaling>
        <c:delete val="0"/>
        <c:axPos val="l"/>
        <c:majorGridlines>
          <c:spPr>
            <a:ln w="3175">
              <a:solidFill>
                <a:srgbClr val="BFBFBF"/>
              </a:solidFill>
              <a:prstDash val="solid"/>
            </a:ln>
          </c:spPr>
        </c:majorGridlines>
        <c:title>
          <c:tx>
            <c:rich>
              <a:bodyPr rot="0" vert="horz"/>
              <a:lstStyle/>
              <a:p>
                <a:pPr algn="l">
                  <a:defRPr/>
                </a:pPr>
                <a:r>
                  <a:rPr lang="en-AU" sz="1050" b="1">
                    <a:solidFill>
                      <a:schemeClr val="accent2"/>
                    </a:solidFill>
                  </a:rPr>
                  <a:t>% of</a:t>
                </a:r>
                <a:r>
                  <a:rPr lang="en-AU" sz="1050" b="1" baseline="0">
                    <a:solidFill>
                      <a:schemeClr val="accent2"/>
                    </a:solidFill>
                  </a:rPr>
                  <a:t> trains </a:t>
                </a:r>
              </a:p>
              <a:p>
                <a:pPr algn="l">
                  <a:defRPr/>
                </a:pPr>
                <a:r>
                  <a:rPr lang="en-AU" sz="1050" b="1" baseline="0">
                    <a:solidFill>
                      <a:schemeClr val="accent2"/>
                    </a:solidFill>
                  </a:rPr>
                  <a:t>on time</a:t>
                </a:r>
                <a:endParaRPr lang="en-AU" sz="1050" b="1">
                  <a:solidFill>
                    <a:schemeClr val="accent2"/>
                  </a:solidFill>
                </a:endParaRPr>
              </a:p>
            </c:rich>
          </c:tx>
          <c:layout>
            <c:manualLayout>
              <c:xMode val="edge"/>
              <c:yMode val="edge"/>
              <c:x val="2.6028110359187923E-3"/>
              <c:y val="6.5139931480270405E-2"/>
            </c:manualLayout>
          </c:layout>
          <c:overlay val="0"/>
        </c:title>
        <c:numFmt formatCode="0%" sourceLinked="0"/>
        <c:majorTickMark val="none"/>
        <c:minorTickMark val="none"/>
        <c:tickLblPos val="nextTo"/>
        <c:spPr>
          <a:ln w="9525">
            <a:noFill/>
          </a:ln>
        </c:spPr>
        <c:txPr>
          <a:bodyPr rot="0" vert="horz"/>
          <a:lstStyle/>
          <a:p>
            <a:pPr>
              <a:defRPr/>
            </a:pPr>
            <a:endParaRPr lang="en-US"/>
          </a:p>
        </c:txPr>
        <c:crossAx val="569256944"/>
        <c:crosses val="autoZero"/>
        <c:crossBetween val="between"/>
        <c:majorUnit val="4.0000000000000008E-2"/>
      </c:valAx>
      <c:valAx>
        <c:axId val="569256552"/>
        <c:scaling>
          <c:orientation val="minMax"/>
        </c:scaling>
        <c:delete val="0"/>
        <c:axPos val="r"/>
        <c:title>
          <c:tx>
            <c:strRef>
              <c:f>'Rail - Punctuality'!$E$29</c:f>
              <c:strCache>
                <c:ptCount val="1"/>
                <c:pt idx="0">
                  <c:v>Trips (millions per year)</c:v>
                </c:pt>
              </c:strCache>
            </c:strRef>
          </c:tx>
          <c:layout>
            <c:manualLayout>
              <c:xMode val="edge"/>
              <c:yMode val="edge"/>
              <c:x val="0.935160902909"/>
              <c:y val="0.10731235192169813"/>
            </c:manualLayout>
          </c:layout>
          <c:overlay val="0"/>
        </c:title>
        <c:numFmt formatCode="0" sourceLinked="1"/>
        <c:majorTickMark val="out"/>
        <c:minorTickMark val="none"/>
        <c:tickLblPos val="nextTo"/>
        <c:spPr>
          <a:ln>
            <a:noFill/>
          </a:ln>
        </c:spPr>
        <c:crossAx val="569257728"/>
        <c:crosses val="max"/>
        <c:crossBetween val="between"/>
        <c:majorUnit val="100"/>
      </c:valAx>
      <c:dateAx>
        <c:axId val="569257728"/>
        <c:scaling>
          <c:orientation val="minMax"/>
        </c:scaling>
        <c:delete val="1"/>
        <c:axPos val="b"/>
        <c:numFmt formatCode="yyyy" sourceLinked="1"/>
        <c:majorTickMark val="out"/>
        <c:minorTickMark val="none"/>
        <c:tickLblPos val="nextTo"/>
        <c:crossAx val="569256552"/>
        <c:crosses val="autoZero"/>
        <c:auto val="1"/>
        <c:lblOffset val="100"/>
        <c:baseTimeUnit val="years"/>
        <c:majorUnit val="1"/>
        <c:minorUnit val="1"/>
      </c:dateAx>
      <c:spPr>
        <a:noFill/>
        <a:ln w="25400">
          <a:noFill/>
        </a:ln>
      </c:spPr>
    </c:plotArea>
    <c:legend>
      <c:legendPos val="b"/>
      <c:layout>
        <c:manualLayout>
          <c:xMode val="edge"/>
          <c:yMode val="edge"/>
          <c:x val="0.22659796673648844"/>
          <c:y val="0.90536320320463226"/>
          <c:w val="0.77236779995896765"/>
          <c:h val="6.7973517274970849E-2"/>
        </c:manualLayout>
      </c:layout>
      <c:overlay val="0"/>
    </c:legend>
    <c:plotVisOnly val="1"/>
    <c:dispBlanksAs val="gap"/>
    <c:showDLblsOverMax val="0"/>
  </c:chart>
  <c:spPr>
    <a:noFill/>
    <a:ln w="9525">
      <a:noFill/>
    </a:ln>
  </c:spPr>
  <c:txPr>
    <a:bodyPr/>
    <a:lstStyle/>
    <a:p>
      <a:pPr>
        <a:defRPr sz="800" b="0" i="0" u="none" strike="noStrike" baseline="0">
          <a:solidFill>
            <a:srgbClr val="000000"/>
          </a:solidFill>
          <a:latin typeface="Raleway" panose="020B0003030101060003" pitchFamily="34" charset="0"/>
          <a:ea typeface="Myriad Pro"/>
          <a:cs typeface="Myriad Pro"/>
        </a:defRPr>
      </a:pPr>
      <a:endParaRPr lang="en-US"/>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10522111509521E-2"/>
          <c:y val="4.1384499623777278E-2"/>
          <c:w val="0.91171312396019144"/>
          <c:h val="0.69840357144973131"/>
        </c:manualLayout>
      </c:layout>
      <c:lineChart>
        <c:grouping val="standard"/>
        <c:varyColors val="0"/>
        <c:ser>
          <c:idx val="0"/>
          <c:order val="0"/>
          <c:tx>
            <c:strRef>
              <c:f>'Fare change index'!$D$77</c:f>
              <c:strCache>
                <c:ptCount val="1"/>
                <c:pt idx="0">
                  <c:v>Train</c:v>
                </c:pt>
              </c:strCache>
            </c:strRef>
          </c:tx>
          <c:spPr>
            <a:ln w="31750" cap="rnd">
              <a:solidFill>
                <a:schemeClr val="accent4"/>
              </a:solidFill>
              <a:prstDash val="solid"/>
              <a:round/>
            </a:ln>
            <a:effectLst/>
          </c:spPr>
          <c:marker>
            <c:symbol val="none"/>
          </c:marker>
          <c:cat>
            <c:numRef>
              <c:f>'Fare change index'!$E$76:$O$76</c:f>
              <c:numCache>
                <c:formatCode>mmm\-yy</c:formatCode>
                <c:ptCount val="11"/>
                <c:pt idx="0">
                  <c:v>39965</c:v>
                </c:pt>
                <c:pt idx="1">
                  <c:v>40330</c:v>
                </c:pt>
                <c:pt idx="2">
                  <c:v>40695</c:v>
                </c:pt>
                <c:pt idx="3">
                  <c:v>41061</c:v>
                </c:pt>
                <c:pt idx="4">
                  <c:v>41426</c:v>
                </c:pt>
                <c:pt idx="5">
                  <c:v>41791</c:v>
                </c:pt>
                <c:pt idx="6">
                  <c:v>42156</c:v>
                </c:pt>
                <c:pt idx="7">
                  <c:v>42522</c:v>
                </c:pt>
                <c:pt idx="8">
                  <c:v>42887</c:v>
                </c:pt>
                <c:pt idx="9">
                  <c:v>43252</c:v>
                </c:pt>
                <c:pt idx="10">
                  <c:v>43617</c:v>
                </c:pt>
              </c:numCache>
            </c:numRef>
          </c:cat>
          <c:val>
            <c:numRef>
              <c:f>'Fare change index'!$E$77:$O$77</c:f>
              <c:numCache>
                <c:formatCode>0%</c:formatCode>
                <c:ptCount val="11"/>
                <c:pt idx="0" formatCode="0">
                  <c:v>0</c:v>
                </c:pt>
                <c:pt idx="1">
                  <c:v>-5.5064574607387229E-2</c:v>
                </c:pt>
                <c:pt idx="2">
                  <c:v>-8.7451474268021245E-2</c:v>
                </c:pt>
                <c:pt idx="3">
                  <c:v>-4.9669783911819199E-2</c:v>
                </c:pt>
                <c:pt idx="4">
                  <c:v>-4.0299601936848561E-2</c:v>
                </c:pt>
                <c:pt idx="5">
                  <c:v>-3.5786563237741542E-2</c:v>
                </c:pt>
                <c:pt idx="6">
                  <c:v>-1.8792189296965245E-2</c:v>
                </c:pt>
                <c:pt idx="7">
                  <c:v>-5.1264204689844495E-2</c:v>
                </c:pt>
                <c:pt idx="8">
                  <c:v>-6.9261902703858236E-2</c:v>
                </c:pt>
                <c:pt idx="9">
                  <c:v>-6.6235192823537181E-2</c:v>
                </c:pt>
                <c:pt idx="10">
                  <c:v>-7.0062882133545057E-2</c:v>
                </c:pt>
              </c:numCache>
            </c:numRef>
          </c:val>
          <c:smooth val="0"/>
        </c:ser>
        <c:ser>
          <c:idx val="1"/>
          <c:order val="1"/>
          <c:tx>
            <c:strRef>
              <c:f>'Fare change index'!$D$78</c:f>
              <c:strCache>
                <c:ptCount val="1"/>
                <c:pt idx="0">
                  <c:v>Bus</c:v>
                </c:pt>
              </c:strCache>
            </c:strRef>
          </c:tx>
          <c:spPr>
            <a:ln w="31750" cap="rnd">
              <a:solidFill>
                <a:schemeClr val="accent2"/>
              </a:solidFill>
              <a:prstDash val="solid"/>
              <a:round/>
            </a:ln>
            <a:effectLst/>
          </c:spPr>
          <c:marker>
            <c:symbol val="none"/>
          </c:marker>
          <c:cat>
            <c:numRef>
              <c:f>'Fare change index'!$E$76:$O$76</c:f>
              <c:numCache>
                <c:formatCode>mmm\-yy</c:formatCode>
                <c:ptCount val="11"/>
                <c:pt idx="0">
                  <c:v>39965</c:v>
                </c:pt>
                <c:pt idx="1">
                  <c:v>40330</c:v>
                </c:pt>
                <c:pt idx="2">
                  <c:v>40695</c:v>
                </c:pt>
                <c:pt idx="3">
                  <c:v>41061</c:v>
                </c:pt>
                <c:pt idx="4">
                  <c:v>41426</c:v>
                </c:pt>
                <c:pt idx="5">
                  <c:v>41791</c:v>
                </c:pt>
                <c:pt idx="6">
                  <c:v>42156</c:v>
                </c:pt>
                <c:pt idx="7">
                  <c:v>42522</c:v>
                </c:pt>
                <c:pt idx="8">
                  <c:v>42887</c:v>
                </c:pt>
                <c:pt idx="9">
                  <c:v>43252</c:v>
                </c:pt>
                <c:pt idx="10">
                  <c:v>43617</c:v>
                </c:pt>
              </c:numCache>
            </c:numRef>
          </c:cat>
          <c:val>
            <c:numRef>
              <c:f>'Fare change index'!$E$78:$O$78</c:f>
              <c:numCache>
                <c:formatCode>0%</c:formatCode>
                <c:ptCount val="11"/>
                <c:pt idx="0" formatCode="0">
                  <c:v>0</c:v>
                </c:pt>
                <c:pt idx="1">
                  <c:v>-1.4478438532085636E-2</c:v>
                </c:pt>
                <c:pt idx="2">
                  <c:v>-4.8256395275945829E-2</c:v>
                </c:pt>
                <c:pt idx="3">
                  <c:v>-8.8519349560558513E-3</c:v>
                </c:pt>
                <c:pt idx="4">
                  <c:v>-4.7300588369769692E-5</c:v>
                </c:pt>
                <c:pt idx="5">
                  <c:v>-6.0224664824934937E-3</c:v>
                </c:pt>
                <c:pt idx="6">
                  <c:v>2.6838520808563082E-3</c:v>
                </c:pt>
                <c:pt idx="7">
                  <c:v>-3.4028820764576695E-3</c:v>
                </c:pt>
                <c:pt idx="8">
                  <c:v>-2.2308518459831062E-2</c:v>
                </c:pt>
                <c:pt idx="9">
                  <c:v>-1.9129118717110871E-2</c:v>
                </c:pt>
                <c:pt idx="10">
                  <c:v>-2.3149905276991345E-2</c:v>
                </c:pt>
              </c:numCache>
            </c:numRef>
          </c:val>
          <c:smooth val="0"/>
        </c:ser>
        <c:ser>
          <c:idx val="2"/>
          <c:order val="2"/>
          <c:tx>
            <c:strRef>
              <c:f>'Fare change index'!$D$79</c:f>
              <c:strCache>
                <c:ptCount val="1"/>
                <c:pt idx="0">
                  <c:v>Ferry</c:v>
                </c:pt>
              </c:strCache>
            </c:strRef>
          </c:tx>
          <c:spPr>
            <a:ln w="31750" cap="rnd">
              <a:solidFill>
                <a:schemeClr val="accent3"/>
              </a:solidFill>
              <a:prstDash val="solid"/>
              <a:round/>
            </a:ln>
            <a:effectLst/>
          </c:spPr>
          <c:marker>
            <c:symbol val="none"/>
          </c:marker>
          <c:cat>
            <c:numRef>
              <c:f>'Fare change index'!$E$76:$O$76</c:f>
              <c:numCache>
                <c:formatCode>mmm\-yy</c:formatCode>
                <c:ptCount val="11"/>
                <c:pt idx="0">
                  <c:v>39965</c:v>
                </c:pt>
                <c:pt idx="1">
                  <c:v>40330</c:v>
                </c:pt>
                <c:pt idx="2">
                  <c:v>40695</c:v>
                </c:pt>
                <c:pt idx="3">
                  <c:v>41061</c:v>
                </c:pt>
                <c:pt idx="4">
                  <c:v>41426</c:v>
                </c:pt>
                <c:pt idx="5">
                  <c:v>41791</c:v>
                </c:pt>
                <c:pt idx="6">
                  <c:v>42156</c:v>
                </c:pt>
                <c:pt idx="7">
                  <c:v>42522</c:v>
                </c:pt>
                <c:pt idx="8">
                  <c:v>42887</c:v>
                </c:pt>
                <c:pt idx="9">
                  <c:v>43252</c:v>
                </c:pt>
                <c:pt idx="10">
                  <c:v>43617</c:v>
                </c:pt>
              </c:numCache>
            </c:numRef>
          </c:cat>
          <c:val>
            <c:numRef>
              <c:f>'Fare change index'!$E$79:$O$79</c:f>
              <c:numCache>
                <c:formatCode>0%</c:formatCode>
                <c:ptCount val="11"/>
                <c:pt idx="0" formatCode="0">
                  <c:v>0</c:v>
                </c:pt>
                <c:pt idx="1">
                  <c:v>3.2428537410578606E-2</c:v>
                </c:pt>
                <c:pt idx="2">
                  <c:v>-2.9571181055099149E-3</c:v>
                </c:pt>
                <c:pt idx="3">
                  <c:v>3.9960939272993601E-2</c:v>
                </c:pt>
                <c:pt idx="4">
                  <c:v>4.9199191507858231E-2</c:v>
                </c:pt>
                <c:pt idx="5">
                  <c:v>5.2096130540878915E-2</c:v>
                </c:pt>
                <c:pt idx="6">
                  <c:v>6.6493699077052604E-2</c:v>
                </c:pt>
                <c:pt idx="7">
                  <c:v>-1.2823087147814438E-2</c:v>
                </c:pt>
                <c:pt idx="8">
                  <c:v>-3.1550020453953387E-2</c:v>
                </c:pt>
                <c:pt idx="9">
                  <c:v>-2.8400673575165403E-2</c:v>
                </c:pt>
                <c:pt idx="10">
                  <c:v>-3.2383454171290849E-2</c:v>
                </c:pt>
              </c:numCache>
            </c:numRef>
          </c:val>
          <c:smooth val="0"/>
        </c:ser>
        <c:dLbls>
          <c:showLegendKey val="0"/>
          <c:showVal val="0"/>
          <c:showCatName val="0"/>
          <c:showSerName val="0"/>
          <c:showPercent val="0"/>
          <c:showBubbleSize val="0"/>
        </c:dLbls>
        <c:smooth val="0"/>
        <c:axId val="561857000"/>
        <c:axId val="561857784"/>
      </c:lineChart>
      <c:dateAx>
        <c:axId val="561857000"/>
        <c:scaling>
          <c:orientation val="minMax"/>
          <c:min val="39994"/>
        </c:scaling>
        <c:delete val="0"/>
        <c:axPos val="b"/>
        <c:numFmt formatCode="yyyy"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Raleway" panose="020B0003030101060003" pitchFamily="34" charset="0"/>
                <a:ea typeface="+mn-ea"/>
                <a:cs typeface="Arial" panose="020B0604020202020204" pitchFamily="34" charset="0"/>
              </a:defRPr>
            </a:pPr>
            <a:endParaRPr lang="en-US"/>
          </a:p>
        </c:txPr>
        <c:crossAx val="561857784"/>
        <c:crosses val="autoZero"/>
        <c:auto val="1"/>
        <c:lblOffset val="100"/>
        <c:baseTimeUnit val="years"/>
      </c:dateAx>
      <c:valAx>
        <c:axId val="561857784"/>
        <c:scaling>
          <c:orientation val="minMax"/>
          <c:max val="0.2"/>
          <c:min val="-0.2"/>
        </c:scaling>
        <c:delete val="0"/>
        <c:axPos val="l"/>
        <c:majorGridlines>
          <c:spPr>
            <a:ln w="3175" cap="flat" cmpd="sng" algn="ctr">
              <a:solidFill>
                <a:schemeClr val="bg1">
                  <a:lumMod val="6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2"/>
                </a:solidFill>
                <a:latin typeface="Raleway" panose="020B0003030101060003" pitchFamily="34" charset="0"/>
                <a:ea typeface="+mn-ea"/>
                <a:cs typeface="Arial" panose="020B0604020202020204" pitchFamily="34" charset="0"/>
              </a:defRPr>
            </a:pPr>
            <a:endParaRPr lang="en-US"/>
          </a:p>
        </c:txPr>
        <c:crossAx val="561857000"/>
        <c:crosses val="autoZero"/>
        <c:crossBetween val="between"/>
        <c:majorUnit val="0.1"/>
        <c:minorUnit val="5.000000000000001E-2"/>
      </c:valAx>
      <c:spPr>
        <a:noFill/>
        <a:ln>
          <a:noFill/>
        </a:ln>
        <a:effectLst/>
      </c:spPr>
    </c:plotArea>
    <c:legend>
      <c:legendPos val="b"/>
      <c:layout>
        <c:manualLayout>
          <c:xMode val="edge"/>
          <c:yMode val="edge"/>
          <c:x val="0.40287376706623795"/>
          <c:y val="0.8996891320512983"/>
          <c:w val="0.550007452653137"/>
          <c:h val="7.091466764328878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003030101060003"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latin typeface="Raleway" panose="020B00030301010600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9934125122192"/>
          <c:y val="7.6625086646910645E-2"/>
          <c:w val="0.57194786753707427"/>
          <c:h val="0.71767680956015034"/>
        </c:manualLayout>
      </c:layout>
      <c:barChart>
        <c:barDir val="col"/>
        <c:grouping val="clustered"/>
        <c:varyColors val="0"/>
        <c:ser>
          <c:idx val="2"/>
          <c:order val="0"/>
          <c:tx>
            <c:strRef>
              <c:f>'Rail - Punctuality'!$C$29</c:f>
              <c:strCache>
                <c:ptCount val="1"/>
                <c:pt idx="0">
                  <c:v>AM peak</c:v>
                </c:pt>
              </c:strCache>
            </c:strRef>
          </c:tx>
          <c:spPr>
            <a:solidFill>
              <a:schemeClr val="accent2"/>
            </a:solidFill>
            <a:ln>
              <a:noFill/>
            </a:ln>
          </c:spPr>
          <c:invertIfNegative val="0"/>
          <c:cat>
            <c:numRef>
              <c:f>'Rail - Punctuality'!$B$30:$B$34</c:f>
              <c:numCache>
                <c:formatCode>yyyy</c:formatCode>
                <c:ptCount val="5"/>
                <c:pt idx="0">
                  <c:v>41791</c:v>
                </c:pt>
                <c:pt idx="1">
                  <c:v>42156</c:v>
                </c:pt>
                <c:pt idx="2">
                  <c:v>42522</c:v>
                </c:pt>
                <c:pt idx="3">
                  <c:v>42887</c:v>
                </c:pt>
                <c:pt idx="4">
                  <c:v>43252</c:v>
                </c:pt>
              </c:numCache>
            </c:numRef>
          </c:cat>
          <c:val>
            <c:numRef>
              <c:f>'Rail - Punctuality'!$C$30:$C$34</c:f>
              <c:numCache>
                <c:formatCode>0%</c:formatCode>
                <c:ptCount val="5"/>
                <c:pt idx="0">
                  <c:v>0.95399999999999996</c:v>
                </c:pt>
                <c:pt idx="1">
                  <c:v>0.95099999999999996</c:v>
                </c:pt>
                <c:pt idx="2">
                  <c:v>0.95699999999999996</c:v>
                </c:pt>
                <c:pt idx="3">
                  <c:v>0.95199999999999996</c:v>
                </c:pt>
                <c:pt idx="4">
                  <c:v>0.93899999999999995</c:v>
                </c:pt>
              </c:numCache>
            </c:numRef>
          </c:val>
        </c:ser>
        <c:ser>
          <c:idx val="0"/>
          <c:order val="1"/>
          <c:tx>
            <c:strRef>
              <c:f>'Rail - Punctuality'!$D$29</c:f>
              <c:strCache>
                <c:ptCount val="1"/>
                <c:pt idx="0">
                  <c:v>PM peak</c:v>
                </c:pt>
              </c:strCache>
            </c:strRef>
          </c:tx>
          <c:spPr>
            <a:solidFill>
              <a:schemeClr val="accent1"/>
            </a:solidFill>
            <a:ln w="25400">
              <a:noFill/>
            </a:ln>
          </c:spPr>
          <c:invertIfNegative val="0"/>
          <c:cat>
            <c:numRef>
              <c:f>'Rail - Punctuality'!$B$30:$B$34</c:f>
              <c:numCache>
                <c:formatCode>yyyy</c:formatCode>
                <c:ptCount val="5"/>
                <c:pt idx="0">
                  <c:v>41791</c:v>
                </c:pt>
                <c:pt idx="1">
                  <c:v>42156</c:v>
                </c:pt>
                <c:pt idx="2">
                  <c:v>42522</c:v>
                </c:pt>
                <c:pt idx="3">
                  <c:v>42887</c:v>
                </c:pt>
                <c:pt idx="4">
                  <c:v>43252</c:v>
                </c:pt>
              </c:numCache>
            </c:numRef>
          </c:cat>
          <c:val>
            <c:numRef>
              <c:f>'Rail - Punctuality'!$D$30:$D$34</c:f>
              <c:numCache>
                <c:formatCode>0%</c:formatCode>
                <c:ptCount val="5"/>
                <c:pt idx="0">
                  <c:v>0.91700000000000004</c:v>
                </c:pt>
                <c:pt idx="1">
                  <c:v>0.91200000000000003</c:v>
                </c:pt>
                <c:pt idx="2">
                  <c:v>0.91500000000000004</c:v>
                </c:pt>
                <c:pt idx="3">
                  <c:v>0.90500000000000003</c:v>
                </c:pt>
                <c:pt idx="4">
                  <c:v>0.89</c:v>
                </c:pt>
              </c:numCache>
            </c:numRef>
          </c:val>
          <c:extLst xmlns:c16r2="http://schemas.microsoft.com/office/drawing/2015/06/chart">
            <c:ext xmlns:c16="http://schemas.microsoft.com/office/drawing/2014/chart" uri="{C3380CC4-5D6E-409C-BE32-E72D297353CC}">
              <c16:uniqueId val="{00000000-7DC2-45C8-ABBB-0F187946E74C}"/>
            </c:ext>
          </c:extLst>
        </c:ser>
        <c:dLbls>
          <c:showLegendKey val="0"/>
          <c:showVal val="0"/>
          <c:showCatName val="0"/>
          <c:showSerName val="0"/>
          <c:showPercent val="0"/>
          <c:showBubbleSize val="0"/>
        </c:dLbls>
        <c:gapWidth val="117"/>
        <c:overlap val="-12"/>
        <c:axId val="564528120"/>
        <c:axId val="564524984"/>
      </c:barChart>
      <c:lineChart>
        <c:grouping val="standard"/>
        <c:varyColors val="0"/>
        <c:ser>
          <c:idx val="1"/>
          <c:order val="2"/>
          <c:tx>
            <c:strRef>
              <c:f>'Rail - Punctuality'!$E$29</c:f>
              <c:strCache>
                <c:ptCount val="1"/>
                <c:pt idx="0">
                  <c:v>Trips (millions per year)</c:v>
                </c:pt>
              </c:strCache>
            </c:strRef>
          </c:tx>
          <c:spPr>
            <a:ln>
              <a:solidFill>
                <a:schemeClr val="accent3"/>
              </a:solidFill>
            </a:ln>
          </c:spPr>
          <c:marker>
            <c:symbol val="none"/>
          </c:marker>
          <c:cat>
            <c:numRef>
              <c:f>'Rail - Punctuality'!$B$30:$B$34</c:f>
              <c:numCache>
                <c:formatCode>yyyy</c:formatCode>
                <c:ptCount val="5"/>
                <c:pt idx="0">
                  <c:v>41791</c:v>
                </c:pt>
                <c:pt idx="1">
                  <c:v>42156</c:v>
                </c:pt>
                <c:pt idx="2">
                  <c:v>42522</c:v>
                </c:pt>
                <c:pt idx="3">
                  <c:v>42887</c:v>
                </c:pt>
                <c:pt idx="4">
                  <c:v>43252</c:v>
                </c:pt>
              </c:numCache>
            </c:numRef>
          </c:cat>
          <c:val>
            <c:numRef>
              <c:f>'Rail - Punctuality'!$E$30:$E$34</c:f>
              <c:numCache>
                <c:formatCode>0</c:formatCode>
                <c:ptCount val="5"/>
                <c:pt idx="0">
                  <c:v>315.09899999999999</c:v>
                </c:pt>
                <c:pt idx="1">
                  <c:v>328.209</c:v>
                </c:pt>
                <c:pt idx="2">
                  <c:v>362.89100000000002</c:v>
                </c:pt>
                <c:pt idx="3">
                  <c:v>387.56900000000002</c:v>
                </c:pt>
                <c:pt idx="4">
                  <c:v>405.92500000000001</c:v>
                </c:pt>
              </c:numCache>
            </c:numRef>
          </c:val>
          <c:smooth val="0"/>
          <c:extLst xmlns:c16r2="http://schemas.microsoft.com/office/drawing/2015/06/chart">
            <c:ext xmlns:c16="http://schemas.microsoft.com/office/drawing/2014/chart" uri="{C3380CC4-5D6E-409C-BE32-E72D297353CC}">
              <c16:uniqueId val="{00000001-7DC2-45C8-ABBB-0F187946E74C}"/>
            </c:ext>
          </c:extLst>
        </c:ser>
        <c:dLbls>
          <c:showLegendKey val="0"/>
          <c:showVal val="0"/>
          <c:showCatName val="0"/>
          <c:showSerName val="0"/>
          <c:showPercent val="0"/>
          <c:showBubbleSize val="0"/>
        </c:dLbls>
        <c:marker val="1"/>
        <c:smooth val="0"/>
        <c:axId val="564528512"/>
        <c:axId val="564524592"/>
      </c:lineChart>
      <c:dateAx>
        <c:axId val="564528120"/>
        <c:scaling>
          <c:orientation val="minMax"/>
        </c:scaling>
        <c:delete val="0"/>
        <c:axPos val="b"/>
        <c:numFmt formatCode="yyyy" sourceLinked="0"/>
        <c:majorTickMark val="none"/>
        <c:minorTickMark val="none"/>
        <c:tickLblPos val="nextTo"/>
        <c:spPr>
          <a:ln w="3175">
            <a:solidFill>
              <a:srgbClr val="000000"/>
            </a:solidFill>
            <a:prstDash val="solid"/>
          </a:ln>
        </c:spPr>
        <c:txPr>
          <a:bodyPr rot="0" vert="horz"/>
          <a:lstStyle/>
          <a:p>
            <a:pPr>
              <a:defRPr b="1"/>
            </a:pPr>
            <a:endParaRPr lang="en-US"/>
          </a:p>
        </c:txPr>
        <c:crossAx val="564524984"/>
        <c:crosses val="autoZero"/>
        <c:auto val="1"/>
        <c:lblOffset val="100"/>
        <c:baseTimeUnit val="years"/>
        <c:majorUnit val="1"/>
        <c:minorUnit val="1"/>
      </c:dateAx>
      <c:valAx>
        <c:axId val="564524984"/>
        <c:scaling>
          <c:orientation val="minMax"/>
          <c:max val="1"/>
          <c:min val="0.8"/>
        </c:scaling>
        <c:delete val="0"/>
        <c:axPos val="l"/>
        <c:majorGridlines>
          <c:spPr>
            <a:ln w="3175">
              <a:solidFill>
                <a:srgbClr val="BFBFBF"/>
              </a:solidFill>
              <a:prstDash val="solid"/>
            </a:ln>
          </c:spPr>
        </c:majorGridlines>
        <c:title>
          <c:tx>
            <c:rich>
              <a:bodyPr rot="0" vert="horz"/>
              <a:lstStyle/>
              <a:p>
                <a:pPr algn="l">
                  <a:defRPr/>
                </a:pPr>
                <a:r>
                  <a:rPr lang="en-AU" sz="1050" b="1">
                    <a:solidFill>
                      <a:schemeClr val="accent2"/>
                    </a:solidFill>
                  </a:rPr>
                  <a:t>% of</a:t>
                </a:r>
                <a:r>
                  <a:rPr lang="en-AU" sz="1050" b="1" baseline="0">
                    <a:solidFill>
                      <a:schemeClr val="accent2"/>
                    </a:solidFill>
                  </a:rPr>
                  <a:t> trains </a:t>
                </a:r>
              </a:p>
              <a:p>
                <a:pPr algn="l">
                  <a:defRPr/>
                </a:pPr>
                <a:r>
                  <a:rPr lang="en-AU" sz="1050" b="1" baseline="0">
                    <a:solidFill>
                      <a:schemeClr val="accent2"/>
                    </a:solidFill>
                  </a:rPr>
                  <a:t>on time</a:t>
                </a:r>
                <a:endParaRPr lang="en-AU" sz="1050" b="1">
                  <a:solidFill>
                    <a:schemeClr val="accent2"/>
                  </a:solidFill>
                </a:endParaRPr>
              </a:p>
            </c:rich>
          </c:tx>
          <c:layout>
            <c:manualLayout>
              <c:xMode val="edge"/>
              <c:yMode val="edge"/>
              <c:x val="2.6028110359187923E-3"/>
              <c:y val="6.5139931480270405E-2"/>
            </c:manualLayout>
          </c:layout>
          <c:overlay val="0"/>
        </c:title>
        <c:numFmt formatCode="0%" sourceLinked="0"/>
        <c:majorTickMark val="none"/>
        <c:minorTickMark val="none"/>
        <c:tickLblPos val="nextTo"/>
        <c:spPr>
          <a:ln w="9525">
            <a:noFill/>
          </a:ln>
        </c:spPr>
        <c:txPr>
          <a:bodyPr rot="0" vert="horz"/>
          <a:lstStyle/>
          <a:p>
            <a:pPr>
              <a:defRPr/>
            </a:pPr>
            <a:endParaRPr lang="en-US"/>
          </a:p>
        </c:txPr>
        <c:crossAx val="564528120"/>
        <c:crosses val="autoZero"/>
        <c:crossBetween val="between"/>
        <c:majorUnit val="4.0000000000000008E-2"/>
      </c:valAx>
      <c:valAx>
        <c:axId val="564524592"/>
        <c:scaling>
          <c:orientation val="minMax"/>
        </c:scaling>
        <c:delete val="0"/>
        <c:axPos val="r"/>
        <c:title>
          <c:tx>
            <c:strRef>
              <c:f>'Rail - Punctuality'!$E$29</c:f>
              <c:strCache>
                <c:ptCount val="1"/>
                <c:pt idx="0">
                  <c:v>Trips (millions per year)</c:v>
                </c:pt>
              </c:strCache>
            </c:strRef>
          </c:tx>
          <c:layout>
            <c:manualLayout>
              <c:xMode val="edge"/>
              <c:yMode val="edge"/>
              <c:x val="0.935160902909"/>
              <c:y val="0.10731235192169813"/>
            </c:manualLayout>
          </c:layout>
          <c:overlay val="0"/>
        </c:title>
        <c:numFmt formatCode="0" sourceLinked="1"/>
        <c:majorTickMark val="out"/>
        <c:minorTickMark val="none"/>
        <c:tickLblPos val="nextTo"/>
        <c:spPr>
          <a:ln>
            <a:noFill/>
          </a:ln>
        </c:spPr>
        <c:crossAx val="564528512"/>
        <c:crosses val="max"/>
        <c:crossBetween val="between"/>
        <c:majorUnit val="100"/>
      </c:valAx>
      <c:dateAx>
        <c:axId val="564528512"/>
        <c:scaling>
          <c:orientation val="minMax"/>
        </c:scaling>
        <c:delete val="1"/>
        <c:axPos val="b"/>
        <c:numFmt formatCode="yyyy" sourceLinked="1"/>
        <c:majorTickMark val="out"/>
        <c:minorTickMark val="none"/>
        <c:tickLblPos val="nextTo"/>
        <c:crossAx val="564524592"/>
        <c:crosses val="autoZero"/>
        <c:auto val="1"/>
        <c:lblOffset val="100"/>
        <c:baseTimeUnit val="years"/>
        <c:majorUnit val="1"/>
        <c:minorUnit val="1"/>
      </c:dateAx>
      <c:spPr>
        <a:noFill/>
        <a:ln w="25400">
          <a:noFill/>
        </a:ln>
      </c:spPr>
    </c:plotArea>
    <c:legend>
      <c:legendPos val="b"/>
      <c:layout>
        <c:manualLayout>
          <c:xMode val="edge"/>
          <c:yMode val="edge"/>
          <c:x val="0.22659796673648844"/>
          <c:y val="0.90536320320463226"/>
          <c:w val="0.77236779995896765"/>
          <c:h val="6.7973517274970849E-2"/>
        </c:manualLayout>
      </c:layout>
      <c:overlay val="0"/>
    </c:legend>
    <c:plotVisOnly val="1"/>
    <c:dispBlanksAs val="gap"/>
    <c:showDLblsOverMax val="0"/>
  </c:chart>
  <c:spPr>
    <a:noFill/>
    <a:ln w="9525">
      <a:noFill/>
    </a:ln>
  </c:spPr>
  <c:txPr>
    <a:bodyPr/>
    <a:lstStyle/>
    <a:p>
      <a:pPr>
        <a:defRPr sz="800" b="0" i="0" u="none" strike="noStrike" baseline="0">
          <a:solidFill>
            <a:srgbClr val="000000"/>
          </a:solidFill>
          <a:latin typeface="Raleway" panose="020B0003030101060003" pitchFamily="34" charset="0"/>
          <a:ea typeface="Myriad Pro"/>
          <a:cs typeface="Myriad Pro"/>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'Rail - capacity and crowding'!$I$44</c:f>
              <c:strCache>
                <c:ptCount val="1"/>
                <c:pt idx="0">
                  <c:v>Sep-2016</c:v>
                </c:pt>
              </c:strCache>
            </c:strRef>
          </c:tx>
          <c:spPr>
            <a:solidFill>
              <a:schemeClr val="accent2"/>
            </a:solidFill>
            <a:ln>
              <a:noFill/>
            </a:ln>
            <a:effectLst/>
          </c:spPr>
          <c:invertIfNegative val="0"/>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crowding'!$I$45:$I$55</c:f>
              <c:numCache>
                <c:formatCode>0%</c:formatCode>
                <c:ptCount val="11"/>
                <c:pt idx="0">
                  <c:v>0.64</c:v>
                </c:pt>
                <c:pt idx="1">
                  <c:v>1.48</c:v>
                </c:pt>
                <c:pt idx="2">
                  <c:v>1.01</c:v>
                </c:pt>
                <c:pt idx="3">
                  <c:v>1.1100000000000001</c:v>
                </c:pt>
                <c:pt idx="4">
                  <c:v>1.07</c:v>
                </c:pt>
                <c:pt idx="5">
                  <c:v>1.1000000000000001</c:v>
                </c:pt>
                <c:pt idx="6">
                  <c:v>1.17</c:v>
                </c:pt>
                <c:pt idx="7">
                  <c:v>1.35</c:v>
                </c:pt>
                <c:pt idx="8">
                  <c:v>1.19</c:v>
                </c:pt>
                <c:pt idx="9">
                  <c:v>1.24</c:v>
                </c:pt>
                <c:pt idx="10">
                  <c:v>1.28</c:v>
                </c:pt>
              </c:numCache>
            </c:numRef>
          </c:val>
        </c:ser>
        <c:ser>
          <c:idx val="1"/>
          <c:order val="1"/>
          <c:tx>
            <c:strRef>
              <c:f>'Rail - capacity and crowding'!$J$44</c:f>
              <c:strCache>
                <c:ptCount val="1"/>
                <c:pt idx="0">
                  <c:v>Mar-2018</c:v>
                </c:pt>
              </c:strCache>
            </c:strRef>
          </c:tx>
          <c:spPr>
            <a:solidFill>
              <a:schemeClr val="accent1"/>
            </a:solidFill>
            <a:ln>
              <a:noFill/>
            </a:ln>
            <a:effectLst/>
          </c:spPr>
          <c:invertIfNegative val="0"/>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crowding'!$J$45:$J$55</c:f>
              <c:numCache>
                <c:formatCode>0%</c:formatCode>
                <c:ptCount val="11"/>
                <c:pt idx="0">
                  <c:v>0.72</c:v>
                </c:pt>
                <c:pt idx="1">
                  <c:v>1.06</c:v>
                </c:pt>
                <c:pt idx="2">
                  <c:v>1.18</c:v>
                </c:pt>
                <c:pt idx="3">
                  <c:v>1.23</c:v>
                </c:pt>
                <c:pt idx="4">
                  <c:v>1.23</c:v>
                </c:pt>
                <c:pt idx="5">
                  <c:v>1.26</c:v>
                </c:pt>
                <c:pt idx="6">
                  <c:v>1.35</c:v>
                </c:pt>
                <c:pt idx="7">
                  <c:v>1.39</c:v>
                </c:pt>
                <c:pt idx="8">
                  <c:v>1.41</c:v>
                </c:pt>
                <c:pt idx="9">
                  <c:v>1.46</c:v>
                </c:pt>
                <c:pt idx="10">
                  <c:v>1.56</c:v>
                </c:pt>
              </c:numCache>
            </c:numRef>
          </c:val>
        </c:ser>
        <c:dLbls>
          <c:showLegendKey val="0"/>
          <c:showVal val="0"/>
          <c:showCatName val="0"/>
          <c:showSerName val="0"/>
          <c:showPercent val="0"/>
          <c:showBubbleSize val="0"/>
        </c:dLbls>
        <c:gapWidth val="117"/>
        <c:overlap val="-12"/>
        <c:axId val="564526552"/>
        <c:axId val="564526160"/>
      </c:barChart>
      <c:lineChart>
        <c:grouping val="standard"/>
        <c:varyColors val="0"/>
        <c:ser>
          <c:idx val="2"/>
          <c:order val="2"/>
          <c:tx>
            <c:strRef>
              <c:f>'Rail - capacity and crowding'!$K$44</c:f>
              <c:strCache>
                <c:ptCount val="1"/>
              </c:strCache>
            </c:strRef>
          </c:tx>
          <c:spPr>
            <a:ln w="9525" cap="rnd">
              <a:solidFill>
                <a:schemeClr val="tx1"/>
              </a:solidFill>
              <a:round/>
            </a:ln>
            <a:effectLst/>
          </c:spPr>
          <c:marker>
            <c:symbol val="none"/>
          </c:marker>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crowding'!$K$45:$K$55</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ser>
        <c:ser>
          <c:idx val="3"/>
          <c:order val="3"/>
          <c:tx>
            <c:strRef>
              <c:f>'Rail - capacity and crowding'!$L$44</c:f>
              <c:strCache>
                <c:ptCount val="1"/>
              </c:strCache>
            </c:strRef>
          </c:tx>
          <c:spPr>
            <a:ln w="28575" cap="rnd">
              <a:solidFill>
                <a:schemeClr val="accent4"/>
              </a:solidFill>
              <a:round/>
            </a:ln>
            <a:effectLst/>
          </c:spPr>
          <c:marker>
            <c:symbol val="none"/>
          </c:marker>
          <c:cat>
            <c:strRef>
              <c:f>'Rail - capacity and crowding'!$H$45:$H$55</c:f>
              <c:strCache>
                <c:ptCount val="11"/>
                <c:pt idx="0">
                  <c:v>T4 Eastern Suburbs</c:v>
                </c:pt>
                <c:pt idx="1">
                  <c:v>T2 Inner West</c:v>
                </c:pt>
                <c:pt idx="2">
                  <c:v>T1 Northern via Macquarie Park</c:v>
                </c:pt>
                <c:pt idx="3">
                  <c:v>T3 Bankstown</c:v>
                </c:pt>
                <c:pt idx="4">
                  <c:v>T1 Central Coast via Shore</c:v>
                </c:pt>
                <c:pt idx="5">
                  <c:v>T1 North Shore</c:v>
                </c:pt>
                <c:pt idx="6">
                  <c:v>T2 Airport</c:v>
                </c:pt>
                <c:pt idx="7">
                  <c:v>T1 Western</c:v>
                </c:pt>
                <c:pt idx="8">
                  <c:v>T2 South</c:v>
                </c:pt>
                <c:pt idx="9">
                  <c:v>T4 Illawarra</c:v>
                </c:pt>
                <c:pt idx="10">
                  <c:v>T1 Northern via Strathfield</c:v>
                </c:pt>
              </c:strCache>
            </c:strRef>
          </c:cat>
          <c:val>
            <c:numRef>
              <c:f>'Rail - capacity and crowding'!$L$45:$L$55</c:f>
              <c:numCache>
                <c:formatCode>0%</c:formatCode>
                <c:ptCount val="11"/>
                <c:pt idx="0">
                  <c:v>1.35</c:v>
                </c:pt>
                <c:pt idx="1">
                  <c:v>1.35</c:v>
                </c:pt>
                <c:pt idx="2">
                  <c:v>1.35</c:v>
                </c:pt>
                <c:pt idx="3">
                  <c:v>1.35</c:v>
                </c:pt>
                <c:pt idx="4">
                  <c:v>1.35</c:v>
                </c:pt>
                <c:pt idx="5">
                  <c:v>1.35</c:v>
                </c:pt>
                <c:pt idx="6">
                  <c:v>1.35</c:v>
                </c:pt>
                <c:pt idx="7">
                  <c:v>1.35</c:v>
                </c:pt>
                <c:pt idx="8">
                  <c:v>1.35</c:v>
                </c:pt>
                <c:pt idx="9">
                  <c:v>1.35</c:v>
                </c:pt>
                <c:pt idx="10">
                  <c:v>1.35</c:v>
                </c:pt>
              </c:numCache>
            </c:numRef>
          </c:val>
          <c:smooth val="0"/>
        </c:ser>
        <c:dLbls>
          <c:showLegendKey val="0"/>
          <c:showVal val="0"/>
          <c:showCatName val="0"/>
          <c:showSerName val="0"/>
          <c:showPercent val="0"/>
          <c:showBubbleSize val="0"/>
        </c:dLbls>
        <c:marker val="1"/>
        <c:smooth val="0"/>
        <c:axId val="564526552"/>
        <c:axId val="564526160"/>
      </c:lineChart>
      <c:catAx>
        <c:axId val="564526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Raleway" panose="020B0003030101060003" pitchFamily="34" charset="0"/>
                <a:ea typeface="+mn-ea"/>
                <a:cs typeface="+mn-cs"/>
              </a:defRPr>
            </a:pPr>
            <a:endParaRPr lang="en-US"/>
          </a:p>
        </c:txPr>
        <c:crossAx val="564526160"/>
        <c:crosses val="autoZero"/>
        <c:auto val="1"/>
        <c:lblAlgn val="ctr"/>
        <c:lblOffset val="100"/>
        <c:noMultiLvlLbl val="0"/>
      </c:catAx>
      <c:valAx>
        <c:axId val="564526160"/>
        <c:scaling>
          <c:orientation val="minMax"/>
        </c:scaling>
        <c:delete val="1"/>
        <c:axPos val="l"/>
        <c:numFmt formatCode="0%" sourceLinked="1"/>
        <c:majorTickMark val="none"/>
        <c:minorTickMark val="none"/>
        <c:tickLblPos val="nextTo"/>
        <c:crossAx val="564526552"/>
        <c:crosses val="autoZero"/>
        <c:crossBetween val="between"/>
      </c:valAx>
      <c:spPr>
        <a:noFill/>
        <a:ln>
          <a:noFill/>
        </a:ln>
        <a:effectLst/>
      </c:spPr>
    </c:plotArea>
    <c:legend>
      <c:legendPos val="b"/>
      <c:legendEntry>
        <c:idx val="2"/>
        <c:delete val="1"/>
      </c:legendEntry>
      <c:legendEntry>
        <c:idx val="3"/>
        <c:delete val="1"/>
      </c:legendEntry>
      <c:layout>
        <c:manualLayout>
          <c:xMode val="edge"/>
          <c:yMode val="edge"/>
          <c:x val="0.51432800715825544"/>
          <c:y val="0.90085986329046996"/>
          <c:w val="0.44662832762910865"/>
          <c:h val="5.473702806379971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Raleway" panose="020B00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81936534662721E-2"/>
          <c:y val="5.4604120129064286E-2"/>
          <c:w val="0.8848703346044009"/>
          <c:h val="0.67192891586226144"/>
        </c:manualLayout>
      </c:layout>
      <c:lineChart>
        <c:grouping val="standard"/>
        <c:varyColors val="0"/>
        <c:ser>
          <c:idx val="0"/>
          <c:order val="0"/>
          <c:tx>
            <c:strRef>
              <c:f>'Change in average single fare'!$B$18:$C$18</c:f>
              <c:strCache>
                <c:ptCount val="2"/>
                <c:pt idx="0">
                  <c:v>Average single fare</c:v>
                </c:pt>
              </c:strCache>
            </c:strRef>
          </c:tx>
          <c:spPr>
            <a:ln w="28575" cap="rnd">
              <a:solidFill>
                <a:schemeClr val="accent4"/>
              </a:solidFill>
              <a:round/>
            </a:ln>
            <a:effectLst/>
          </c:spPr>
          <c:marker>
            <c:symbol val="none"/>
          </c:marker>
          <c:cat>
            <c:numRef>
              <c:f>'Change in average single fare'!$D$17:$R$17</c:f>
              <c:numCache>
                <c:formatCode>General</c:formatCode>
                <c:ptCount val="15"/>
                <c:pt idx="0">
                  <c:v>2009</c:v>
                </c:pt>
                <c:pt idx="10">
                  <c:v>2019</c:v>
                </c:pt>
                <c:pt idx="14">
                  <c:v>2023</c:v>
                </c:pt>
              </c:numCache>
            </c:numRef>
          </c:cat>
          <c:val>
            <c:numRef>
              <c:f>'Change in average single fare'!$D$18:$R$18</c:f>
              <c:numCache>
                <c:formatCode>_("$"* #,##0.00_);_("$"* \(#,##0.00\);_("$"* "-"??_);_(@_)</c:formatCode>
                <c:ptCount val="15"/>
                <c:pt idx="0">
                  <c:v>3.8500853204957197</c:v>
                </c:pt>
                <c:pt idx="1">
                  <c:v>3.8830377455299709</c:v>
                </c:pt>
                <c:pt idx="2">
                  <c:v>3.9162722064738831</c:v>
                </c:pt>
                <c:pt idx="3">
                  <c:v>3.9497911172394597</c:v>
                </c:pt>
                <c:pt idx="4">
                  <c:v>3.9835969123990917</c:v>
                </c:pt>
                <c:pt idx="5">
                  <c:v>4.0176920473623881</c:v>
                </c:pt>
                <c:pt idx="6">
                  <c:v>4.0520789985545163</c:v>
                </c:pt>
                <c:pt idx="7">
                  <c:v>4.0867602635960765</c:v>
                </c:pt>
                <c:pt idx="8">
                  <c:v>4.121738361484506</c:v>
                </c:pt>
                <c:pt idx="9">
                  <c:v>4.1570158327770459</c:v>
                </c:pt>
                <c:pt idx="10">
                  <c:v>4.1925952397752635</c:v>
                </c:pt>
              </c:numCache>
            </c:numRef>
          </c:val>
          <c:smooth val="0"/>
        </c:ser>
        <c:ser>
          <c:idx val="1"/>
          <c:order val="1"/>
          <c:tx>
            <c:strRef>
              <c:f>'Change in average single fare'!$B$19:$C$19</c:f>
              <c:strCache>
                <c:ptCount val="2"/>
                <c:pt idx="0">
                  <c:v>Average determined maximum fare</c:v>
                </c:pt>
              </c:strCache>
            </c:strRef>
          </c:tx>
          <c:spPr>
            <a:ln w="28575" cap="rnd">
              <a:solidFill>
                <a:schemeClr val="accent4"/>
              </a:solidFill>
              <a:prstDash val="sysDash"/>
              <a:round/>
            </a:ln>
            <a:effectLst/>
          </c:spPr>
          <c:marker>
            <c:symbol val="none"/>
          </c:marker>
          <c:dPt>
            <c:idx val="10"/>
            <c:marker>
              <c:symbol val="circle"/>
              <c:size val="8"/>
              <c:spPr>
                <a:solidFill>
                  <a:schemeClr val="accent4"/>
                </a:solidFill>
                <a:ln w="9525">
                  <a:noFill/>
                </a:ln>
                <a:effectLst/>
              </c:spPr>
            </c:marker>
            <c:bubble3D val="0"/>
          </c:dPt>
          <c:dPt>
            <c:idx val="14"/>
            <c:marker>
              <c:symbol val="none"/>
            </c:marker>
            <c:bubble3D val="0"/>
          </c:dPt>
          <c:cat>
            <c:numRef>
              <c:f>'Change in average single fare'!$D$17:$R$17</c:f>
              <c:numCache>
                <c:formatCode>General</c:formatCode>
                <c:ptCount val="15"/>
                <c:pt idx="0">
                  <c:v>2009</c:v>
                </c:pt>
                <c:pt idx="10">
                  <c:v>2019</c:v>
                </c:pt>
                <c:pt idx="14">
                  <c:v>2023</c:v>
                </c:pt>
              </c:numCache>
            </c:numRef>
          </c:cat>
          <c:val>
            <c:numRef>
              <c:f>'Change in average single fare'!$D$19:$R$19</c:f>
              <c:numCache>
                <c:formatCode>_("$"* #,##0.00_);_("$"* \(#,##0.00\);_("$"* "-"??_);_(@_)</c:formatCode>
                <c:ptCount val="15"/>
                <c:pt idx="10">
                  <c:v>4.1925952397752635</c:v>
                </c:pt>
                <c:pt idx="11">
                  <c:v>4.4223839212528278</c:v>
                </c:pt>
                <c:pt idx="12">
                  <c:v>4.6647669112947518</c:v>
                </c:pt>
                <c:pt idx="13">
                  <c:v>4.9204344815331913</c:v>
                </c:pt>
                <c:pt idx="14">
                  <c:v>5.1901147361596456</c:v>
                </c:pt>
              </c:numCache>
            </c:numRef>
          </c:val>
          <c:smooth val="0"/>
        </c:ser>
        <c:ser>
          <c:idx val="2"/>
          <c:order val="2"/>
          <c:tx>
            <c:strRef>
              <c:f>'Change in average single fare'!$B$20:$C$20</c:f>
              <c:strCache>
                <c:ptCount val="2"/>
                <c:pt idx="0">
                  <c:v>Fare increasing in line with inflation</c:v>
                </c:pt>
              </c:strCache>
            </c:strRef>
          </c:tx>
          <c:spPr>
            <a:ln w="28575" cap="rnd">
              <a:solidFill>
                <a:schemeClr val="bg2"/>
              </a:solidFill>
              <a:prstDash val="sysDot"/>
              <a:round/>
            </a:ln>
            <a:effectLst/>
          </c:spPr>
          <c:marker>
            <c:symbol val="none"/>
          </c:marker>
          <c:dPt>
            <c:idx val="0"/>
            <c:marker>
              <c:symbol val="circle"/>
              <c:size val="7"/>
              <c:spPr>
                <a:solidFill>
                  <a:schemeClr val="accent4"/>
                </a:solidFill>
                <a:ln w="9525">
                  <a:noFill/>
                </a:ln>
                <a:effectLst/>
              </c:spPr>
            </c:marker>
            <c:bubble3D val="0"/>
          </c:dPt>
          <c:dPt>
            <c:idx val="14"/>
            <c:marker>
              <c:symbol val="circle"/>
              <c:size val="7"/>
              <c:spPr>
                <a:solidFill>
                  <a:schemeClr val="accent4"/>
                </a:solidFill>
                <a:ln w="9525">
                  <a:noFill/>
                </a:ln>
                <a:effectLst/>
              </c:spPr>
            </c:marker>
            <c:bubble3D val="0"/>
          </c:dPt>
          <c:cat>
            <c:numRef>
              <c:f>'Change in average single fare'!$D$17:$R$17</c:f>
              <c:numCache>
                <c:formatCode>General</c:formatCode>
                <c:ptCount val="15"/>
                <c:pt idx="0">
                  <c:v>2009</c:v>
                </c:pt>
                <c:pt idx="10">
                  <c:v>2019</c:v>
                </c:pt>
                <c:pt idx="14">
                  <c:v>2023</c:v>
                </c:pt>
              </c:numCache>
            </c:numRef>
          </c:cat>
          <c:val>
            <c:numRef>
              <c:f>'Change in average single fare'!$D$20:$R$20</c:f>
              <c:numCache>
                <c:formatCode>_("$"* #,##0.00_);_("$"* \(#,##0.00\);_("$"* "-"??_);_(@_)</c:formatCode>
                <c:ptCount val="15"/>
                <c:pt idx="0">
                  <c:v>3.8500853204957197</c:v>
                </c:pt>
                <c:pt idx="1">
                  <c:v>3.9313326877671519</c:v>
                </c:pt>
                <c:pt idx="2">
                  <c:v>4.0142945974809026</c:v>
                </c:pt>
                <c:pt idx="3">
                  <c:v>4.099007231188267</c:v>
                </c:pt>
                <c:pt idx="4">
                  <c:v>4.1855075339705774</c:v>
                </c:pt>
                <c:pt idx="5">
                  <c:v>4.2738332305517819</c:v>
                </c:pt>
                <c:pt idx="6">
                  <c:v>4.3640228417510434</c:v>
                </c:pt>
                <c:pt idx="7">
                  <c:v>4.4561157012825339</c:v>
                </c:pt>
                <c:pt idx="8">
                  <c:v>4.5501519729097515</c:v>
                </c:pt>
                <c:pt idx="9">
                  <c:v>4.6461726679618369</c:v>
                </c:pt>
                <c:pt idx="10">
                  <c:v>4.7442196632195373</c:v>
                </c:pt>
                <c:pt idx="11">
                  <c:v>4.854501423082584</c:v>
                </c:pt>
                <c:pt idx="12">
                  <c:v>4.9673467376336191</c:v>
                </c:pt>
                <c:pt idx="13">
                  <c:v>5.0828151979840506</c:v>
                </c:pt>
                <c:pt idx="14">
                  <c:v>5.2009677804704877</c:v>
                </c:pt>
              </c:numCache>
            </c:numRef>
          </c:val>
          <c:smooth val="0"/>
        </c:ser>
        <c:dLbls>
          <c:showLegendKey val="0"/>
          <c:showVal val="0"/>
          <c:showCatName val="0"/>
          <c:showSerName val="0"/>
          <c:showPercent val="0"/>
          <c:showBubbleSize val="0"/>
        </c:dLbls>
        <c:smooth val="0"/>
        <c:axId val="564523808"/>
        <c:axId val="564528904"/>
      </c:lineChart>
      <c:catAx>
        <c:axId val="56452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Raleway" panose="020B0503030101060003" pitchFamily="34" charset="0"/>
                <a:ea typeface="+mn-ea"/>
                <a:cs typeface="+mn-cs"/>
              </a:defRPr>
            </a:pPr>
            <a:endParaRPr lang="en-US"/>
          </a:p>
        </c:txPr>
        <c:crossAx val="564528904"/>
        <c:crosses val="autoZero"/>
        <c:auto val="1"/>
        <c:lblAlgn val="ctr"/>
        <c:lblOffset val="100"/>
        <c:noMultiLvlLbl val="0"/>
      </c:catAx>
      <c:valAx>
        <c:axId val="564528904"/>
        <c:scaling>
          <c:orientation val="minMax"/>
          <c:min val="1"/>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Raleway" panose="020B0503030101060003" pitchFamily="34" charset="0"/>
                <a:ea typeface="+mn-ea"/>
                <a:cs typeface="+mn-cs"/>
              </a:defRPr>
            </a:pPr>
            <a:endParaRPr lang="en-US"/>
          </a:p>
        </c:txPr>
        <c:crossAx val="564523808"/>
        <c:crosses val="autoZero"/>
        <c:crossBetween val="between"/>
        <c:majorUnit val="1"/>
      </c:valAx>
      <c:spPr>
        <a:noFill/>
        <a:ln>
          <a:noFill/>
        </a:ln>
        <a:effectLst/>
      </c:spPr>
    </c:plotArea>
    <c:legend>
      <c:legendPos val="b"/>
      <c:legendEntry>
        <c:idx val="1"/>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Entry>
      <c:layout>
        <c:manualLayout>
          <c:xMode val="edge"/>
          <c:yMode val="edge"/>
          <c:x val="0.13609672826886357"/>
          <c:y val="0.82540542897254121"/>
          <c:w val="0.78322767835838702"/>
          <c:h val="0.159168127239908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3592919419742"/>
          <c:y val="5.8666666666666666E-2"/>
          <c:w val="0.70208991344055194"/>
          <c:h val="0.57779023622047243"/>
        </c:manualLayout>
      </c:layout>
      <c:lineChart>
        <c:grouping val="standard"/>
        <c:varyColors val="0"/>
        <c:ser>
          <c:idx val="0"/>
          <c:order val="0"/>
          <c:tx>
            <c:strRef>
              <c:f>'Change in operating costs'!$B$18</c:f>
              <c:strCache>
                <c:ptCount val="1"/>
                <c:pt idx="0">
                  <c:v>Operating costs</c:v>
                </c:pt>
              </c:strCache>
            </c:strRef>
          </c:tx>
          <c:spPr>
            <a:ln w="28575" cap="rnd">
              <a:solidFill>
                <a:schemeClr val="accent6"/>
              </a:solidFill>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costs'!$C$18:$H$18</c:f>
              <c:numCache>
                <c:formatCode>0%</c:formatCode>
                <c:ptCount val="6"/>
                <c:pt idx="0">
                  <c:v>0</c:v>
                </c:pt>
                <c:pt idx="1">
                  <c:v>2.2816623913517686E-2</c:v>
                </c:pt>
                <c:pt idx="2">
                  <c:v>4.615384615384599E-2</c:v>
                </c:pt>
                <c:pt idx="3">
                  <c:v>0.18281211030123345</c:v>
                </c:pt>
                <c:pt idx="4">
                  <c:v>0.33732193732193716</c:v>
                </c:pt>
                <c:pt idx="5">
                  <c:v>0.38408276485136672</c:v>
                </c:pt>
              </c:numCache>
            </c:numRef>
          </c:val>
          <c:smooth val="0"/>
        </c:ser>
        <c:ser>
          <c:idx val="1"/>
          <c:order val="1"/>
          <c:tx>
            <c:strRef>
              <c:f>'Change in operating costs'!$B$19</c:f>
              <c:strCache>
                <c:ptCount val="1"/>
                <c:pt idx="0">
                  <c:v>Revenue</c:v>
                </c:pt>
              </c:strCache>
            </c:strRef>
          </c:tx>
          <c:spPr>
            <a:ln w="28575" cap="rnd">
              <a:solidFill>
                <a:srgbClr val="FFC000"/>
              </a:solidFill>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costs'!$C$19:$H$19</c:f>
              <c:numCache>
                <c:formatCode>0%</c:formatCode>
                <c:ptCount val="6"/>
                <c:pt idx="0">
                  <c:v>0</c:v>
                </c:pt>
                <c:pt idx="1">
                  <c:v>-2.687179699518738E-2</c:v>
                </c:pt>
                <c:pt idx="2">
                  <c:v>1.2961718419049362E-2</c:v>
                </c:pt>
                <c:pt idx="3">
                  <c:v>8.8132996563289323E-2</c:v>
                </c:pt>
                <c:pt idx="4">
                  <c:v>0.17886661804097925</c:v>
                </c:pt>
                <c:pt idx="5">
                  <c:v>0.2813329345626423</c:v>
                </c:pt>
              </c:numCache>
            </c:numRef>
          </c:val>
          <c:smooth val="0"/>
        </c:ser>
        <c:ser>
          <c:idx val="2"/>
          <c:order val="2"/>
          <c:tx>
            <c:strRef>
              <c:f>'Change in operating costs'!$B$20</c:f>
              <c:strCache>
                <c:ptCount val="1"/>
                <c:pt idx="0">
                  <c:v>Patronage</c:v>
                </c:pt>
              </c:strCache>
            </c:strRef>
          </c:tx>
          <c:spPr>
            <a:ln w="12700" cap="rnd">
              <a:solidFill>
                <a:schemeClr val="bg2"/>
              </a:solidFill>
              <a:prstDash val="solid"/>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costs'!$C$20:$H$20</c:f>
              <c:numCache>
                <c:formatCode>0%</c:formatCode>
                <c:ptCount val="6"/>
                <c:pt idx="0">
                  <c:v>0</c:v>
                </c:pt>
                <c:pt idx="1">
                  <c:v>8.429810313615782E-2</c:v>
                </c:pt>
                <c:pt idx="2">
                  <c:v>0.21340254870954589</c:v>
                </c:pt>
                <c:pt idx="3">
                  <c:v>0.30431570511673844</c:v>
                </c:pt>
                <c:pt idx="4">
                  <c:v>0.36779553081419913</c:v>
                </c:pt>
                <c:pt idx="5">
                  <c:v>0.43176728178195023</c:v>
                </c:pt>
              </c:numCache>
            </c:numRef>
          </c:val>
          <c:smooth val="0"/>
        </c:ser>
        <c:ser>
          <c:idx val="3"/>
          <c:order val="3"/>
          <c:tx>
            <c:strRef>
              <c:f>'Change in operating costs'!$B$21</c:f>
              <c:strCache>
                <c:ptCount val="1"/>
                <c:pt idx="0">
                  <c:v>Average fare paid</c:v>
                </c:pt>
              </c:strCache>
            </c:strRef>
          </c:tx>
          <c:spPr>
            <a:ln w="12700" cap="rnd">
              <a:solidFill>
                <a:schemeClr val="bg2"/>
              </a:solidFill>
              <a:prstDash val="sysDash"/>
              <a:round/>
            </a:ln>
            <a:effectLst/>
          </c:spPr>
          <c:marker>
            <c:symbol val="none"/>
          </c:marker>
          <c:cat>
            <c:numRef>
              <c:f>'Change in operating costs'!$C$17:$H$17</c:f>
              <c:numCache>
                <c:formatCode>General</c:formatCode>
                <c:ptCount val="6"/>
                <c:pt idx="0">
                  <c:v>2014</c:v>
                </c:pt>
                <c:pt idx="1">
                  <c:v>2015</c:v>
                </c:pt>
                <c:pt idx="2">
                  <c:v>2016</c:v>
                </c:pt>
                <c:pt idx="3">
                  <c:v>2017</c:v>
                </c:pt>
                <c:pt idx="4">
                  <c:v>2018</c:v>
                </c:pt>
                <c:pt idx="5">
                  <c:v>2019</c:v>
                </c:pt>
              </c:numCache>
            </c:numRef>
          </c:cat>
          <c:val>
            <c:numRef>
              <c:f>'Change in operating costs'!$C$21:$H$21</c:f>
              <c:numCache>
                <c:formatCode>0%</c:formatCode>
                <c:ptCount val="6"/>
                <c:pt idx="0">
                  <c:v>0</c:v>
                </c:pt>
                <c:pt idx="1">
                  <c:v>2.954979360174154E-2</c:v>
                </c:pt>
                <c:pt idx="2">
                  <c:v>1.5405261778186073E-2</c:v>
                </c:pt>
                <c:pt idx="3">
                  <c:v>1.5405261778186073E-2</c:v>
                </c:pt>
                <c:pt idx="4">
                  <c:v>3.9872858447539843E-2</c:v>
                </c:pt>
                <c:pt idx="5">
                  <c:v>5.2106656782216945E-2</c:v>
                </c:pt>
              </c:numCache>
            </c:numRef>
          </c:val>
          <c:smooth val="0"/>
        </c:ser>
        <c:dLbls>
          <c:showLegendKey val="0"/>
          <c:showVal val="0"/>
          <c:showCatName val="0"/>
          <c:showSerName val="0"/>
          <c:showPercent val="0"/>
          <c:showBubbleSize val="0"/>
        </c:dLbls>
        <c:smooth val="0"/>
        <c:axId val="564522240"/>
        <c:axId val="564521848"/>
      </c:lineChart>
      <c:catAx>
        <c:axId val="564522240"/>
        <c:scaling>
          <c:orientation val="minMax"/>
        </c:scaling>
        <c:delete val="0"/>
        <c:axPos val="b"/>
        <c:numFmt formatCode="General" sourceLinked="1"/>
        <c:majorTickMark val="none"/>
        <c:minorTickMark val="none"/>
        <c:tickLblPos val="low"/>
        <c:spPr>
          <a:noFill/>
          <a:ln w="9525"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521848"/>
        <c:crosses val="autoZero"/>
        <c:auto val="1"/>
        <c:lblAlgn val="ctr"/>
        <c:lblOffset val="100"/>
        <c:noMultiLvlLbl val="0"/>
      </c:catAx>
      <c:valAx>
        <c:axId val="564521848"/>
        <c:scaling>
          <c:orientation val="minMax"/>
          <c:max val="0.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lgn="r">
                  <a:defRPr sz="1000" b="0" i="0" u="none" strike="noStrike" kern="1200" baseline="0">
                    <a:solidFill>
                      <a:schemeClr val="tx1">
                        <a:lumMod val="65000"/>
                        <a:lumOff val="35000"/>
                      </a:schemeClr>
                    </a:solidFill>
                    <a:latin typeface="Raleway" panose="020B0503030101060003" pitchFamily="34" charset="0"/>
                    <a:ea typeface="+mn-ea"/>
                    <a:cs typeface="+mn-cs"/>
                  </a:defRPr>
                </a:pPr>
                <a:r>
                  <a:rPr lang="en-AU"/>
                  <a:t>Cumulative</a:t>
                </a:r>
              </a:p>
              <a:p>
                <a:pPr algn="r">
                  <a:defRPr/>
                </a:pPr>
                <a:r>
                  <a:rPr lang="en-AU" baseline="0"/>
                  <a:t>change</a:t>
                </a:r>
                <a:endParaRPr lang="en-AU"/>
              </a:p>
            </c:rich>
          </c:tx>
          <c:layout>
            <c:manualLayout>
              <c:xMode val="edge"/>
              <c:yMode val="edge"/>
              <c:x val="6.0687521881960479E-4"/>
              <c:y val="3.9901372698022602E-2"/>
            </c:manualLayout>
          </c:layout>
          <c:overlay val="0"/>
          <c:spPr>
            <a:noFill/>
            <a:ln>
              <a:noFill/>
            </a:ln>
            <a:effectLst/>
          </c:spPr>
          <c:txPr>
            <a:bodyPr rot="0" spcFirstLastPara="1" vertOverflow="ellipsis" wrap="square" anchor="ctr" anchorCtr="1"/>
            <a:lstStyle/>
            <a:p>
              <a:pPr algn="r">
                <a:defRPr sz="10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crossAx val="564522240"/>
        <c:crosses val="autoZero"/>
        <c:crossBetween val="between"/>
        <c:majorUnit val="0.1"/>
      </c:valAx>
      <c:spPr>
        <a:noFill/>
        <a:ln>
          <a:noFill/>
        </a:ln>
        <a:effectLst/>
      </c:spPr>
    </c:plotArea>
    <c:legend>
      <c:legendPos val="b"/>
      <c:layout>
        <c:manualLayout>
          <c:xMode val="edge"/>
          <c:yMode val="edge"/>
          <c:x val="0.19190022903188059"/>
          <c:y val="0.78955044619422576"/>
          <c:w val="0.76998079043227574"/>
          <c:h val="0.11978288713910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Raleway" panose="020B0503030101060003"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latin typeface="Raleway" panose="020B05030301010600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List of sources'!A1"/></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1.png"/><Relationship Id="rId4" Type="http://schemas.openxmlformats.org/officeDocument/2006/relationships/hyperlink" Target="#'Contents, list of sources'!A1"/></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list of sources'!A1"/><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hyperlink" Target="#'Contents, list of sources'!A1"/><Relationship Id="rId5" Type="http://schemas.openxmlformats.org/officeDocument/2006/relationships/image" Target="../media/image1.png"/><Relationship Id="rId4" Type="http://schemas.openxmlformats.org/officeDocument/2006/relationships/hyperlink" Target="#'List of sources'!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List of sources'!A1"/><Relationship Id="rId1" Type="http://schemas.openxmlformats.org/officeDocument/2006/relationships/chart" Target="../charts/chart32.xml"/><Relationship Id="rId4" Type="http://schemas.openxmlformats.org/officeDocument/2006/relationships/hyperlink" Target="#'Contents, list of sources'!A1"/></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List of sources'!A1"/><Relationship Id="rId1" Type="http://schemas.openxmlformats.org/officeDocument/2006/relationships/chart" Target="../charts/chart33.xml"/><Relationship Id="rId4" Type="http://schemas.openxmlformats.org/officeDocument/2006/relationships/hyperlink" Target="#'Contents, list of sources'!A1"/></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List of sources'!A1"/><Relationship Id="rId1" Type="http://schemas.openxmlformats.org/officeDocument/2006/relationships/chart" Target="../charts/chart34.xml"/><Relationship Id="rId4" Type="http://schemas.openxmlformats.org/officeDocument/2006/relationships/hyperlink" Target="#'Contents, list of sources'!A1"/></Relationships>
</file>

<file path=xl/drawings/_rels/drawing1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1.png"/><Relationship Id="rId1" Type="http://schemas.openxmlformats.org/officeDocument/2006/relationships/hyperlink" Target="#'Contents, list of source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list of sources'!A1"/><Relationship Id="rId1" Type="http://schemas.openxmlformats.org/officeDocument/2006/relationships/chart" Target="../charts/chart3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list of sources'!A1"/><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list of sources'!A1"/><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8" Type="http://schemas.openxmlformats.org/officeDocument/2006/relationships/hyperlink" Target="#'Contents, list of sources'!A1"/><Relationship Id="rId13" Type="http://schemas.openxmlformats.org/officeDocument/2006/relationships/image" Target="../media/image5.png"/><Relationship Id="rId18" Type="http://schemas.openxmlformats.org/officeDocument/2006/relationships/chart" Target="../charts/chart11.xml"/><Relationship Id="rId26" Type="http://schemas.openxmlformats.org/officeDocument/2006/relationships/chart" Target="../charts/chart15.xml"/><Relationship Id="rId3" Type="http://schemas.openxmlformats.org/officeDocument/2006/relationships/chart" Target="../charts/chart1.xml"/><Relationship Id="rId21" Type="http://schemas.openxmlformats.org/officeDocument/2006/relationships/image" Target="../media/image9.png"/><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0.xml"/><Relationship Id="rId25" Type="http://schemas.openxmlformats.org/officeDocument/2006/relationships/image" Target="../media/image10.png"/><Relationship Id="rId2" Type="http://schemas.openxmlformats.org/officeDocument/2006/relationships/image" Target="../media/image3.png"/><Relationship Id="rId16" Type="http://schemas.openxmlformats.org/officeDocument/2006/relationships/chart" Target="../charts/chart9.xml"/><Relationship Id="rId20" Type="http://schemas.openxmlformats.org/officeDocument/2006/relationships/image" Target="../media/image8.png"/><Relationship Id="rId1" Type="http://schemas.openxmlformats.org/officeDocument/2006/relationships/image" Target="../media/image2.png"/><Relationship Id="rId6" Type="http://schemas.openxmlformats.org/officeDocument/2006/relationships/chart" Target="../charts/chart3.xml"/><Relationship Id="rId11" Type="http://schemas.openxmlformats.org/officeDocument/2006/relationships/chart" Target="../charts/chart6.xml"/><Relationship Id="rId24" Type="http://schemas.openxmlformats.org/officeDocument/2006/relationships/chart" Target="../charts/chart14.xml"/><Relationship Id="rId5" Type="http://schemas.openxmlformats.org/officeDocument/2006/relationships/image" Target="../media/image4.png"/><Relationship Id="rId15" Type="http://schemas.openxmlformats.org/officeDocument/2006/relationships/chart" Target="../charts/chart8.xml"/><Relationship Id="rId23" Type="http://schemas.openxmlformats.org/officeDocument/2006/relationships/chart" Target="../charts/chart13.xml"/><Relationship Id="rId28" Type="http://schemas.openxmlformats.org/officeDocument/2006/relationships/chart" Target="../charts/chart17.xml"/><Relationship Id="rId10" Type="http://schemas.openxmlformats.org/officeDocument/2006/relationships/chart" Target="../charts/chart5.xml"/><Relationship Id="rId19"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1.png"/><Relationship Id="rId14" Type="http://schemas.openxmlformats.org/officeDocument/2006/relationships/image" Target="../media/image6.png"/><Relationship Id="rId22" Type="http://schemas.openxmlformats.org/officeDocument/2006/relationships/chart" Target="../charts/chart12.xml"/><Relationship Id="rId27"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3" Type="http://schemas.openxmlformats.org/officeDocument/2006/relationships/hyperlink" Target="#'Contents, list of sources'!A1"/><Relationship Id="rId2" Type="http://schemas.openxmlformats.org/officeDocument/2006/relationships/chart" Target="../charts/chart39.xml"/><Relationship Id="rId1" Type="http://schemas.openxmlformats.org/officeDocument/2006/relationships/image" Target="../media/image2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list of sources'!A1"/><Relationship Id="rId1" Type="http://schemas.openxmlformats.org/officeDocument/2006/relationships/chart" Target="../charts/chart40.xml"/></Relationships>
</file>

<file path=xl/drawings/_rels/drawing22.xml.rels><?xml version="1.0" encoding="UTF-8" standalone="yes"?>
<Relationships xmlns="http://schemas.openxmlformats.org/package/2006/relationships"><Relationship Id="rId3" Type="http://schemas.openxmlformats.org/officeDocument/2006/relationships/hyperlink" Target="#'Contents, list of sources'!A1"/><Relationship Id="rId2" Type="http://schemas.openxmlformats.org/officeDocument/2006/relationships/image" Target="../media/image1.png"/><Relationship Id="rId1" Type="http://schemas.openxmlformats.org/officeDocument/2006/relationships/hyperlink" Target="#'List of sources'!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list of source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List of sources'!A1"/><Relationship Id="rId1" Type="http://schemas.openxmlformats.org/officeDocument/2006/relationships/chart" Target="../charts/chart18.xml"/><Relationship Id="rId4" Type="http://schemas.openxmlformats.org/officeDocument/2006/relationships/hyperlink" Target="#'Contents, list of sources'!A1"/></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list of sources'!A1"/><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List of sources'!A1"/><Relationship Id="rId1" Type="http://schemas.openxmlformats.org/officeDocument/2006/relationships/chart" Target="../charts/chart20.xml"/><Relationship Id="rId5" Type="http://schemas.openxmlformats.org/officeDocument/2006/relationships/chart" Target="../charts/chart21.xml"/><Relationship Id="rId4" Type="http://schemas.openxmlformats.org/officeDocument/2006/relationships/hyperlink" Target="#'Contents, list of sources'!A1"/></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1.png"/><Relationship Id="rId5" Type="http://schemas.openxmlformats.org/officeDocument/2006/relationships/image" Target="../media/image15.png"/><Relationship Id="rId10" Type="http://schemas.openxmlformats.org/officeDocument/2006/relationships/hyperlink" Target="#'Contents, list of sources'!A1"/><Relationship Id="rId4" Type="http://schemas.openxmlformats.org/officeDocument/2006/relationships/image" Target="../media/image14.png"/><Relationship Id="rId9"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list of sources'!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list of sources'!A1"/></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1.png"/><Relationship Id="rId5" Type="http://schemas.openxmlformats.org/officeDocument/2006/relationships/hyperlink" Target="#'Contents, list of sources'!A1"/><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2323575</xdr:colOff>
      <xdr:row>5</xdr:row>
      <xdr:rowOff>22014</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60" y="175260"/>
          <a:ext cx="2309182" cy="1003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4</xdr:col>
      <xdr:colOff>6310737</xdr:colOff>
      <xdr:row>15</xdr:row>
      <xdr:rowOff>67977</xdr:rowOff>
    </xdr:from>
    <xdr:to>
      <xdr:col>9</xdr:col>
      <xdr:colOff>230478</xdr:colOff>
      <xdr:row>38</xdr:row>
      <xdr:rowOff>27016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327981</xdr:colOff>
      <xdr:row>16</xdr:row>
      <xdr:rowOff>281018</xdr:rowOff>
    </xdr:from>
    <xdr:to>
      <xdr:col>4</xdr:col>
      <xdr:colOff>1726447</xdr:colOff>
      <xdr:row>35</xdr:row>
      <xdr:rowOff>72346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2784713</xdr:colOff>
      <xdr:row>15</xdr:row>
      <xdr:rowOff>202457</xdr:rowOff>
    </xdr:from>
    <xdr:to>
      <xdr:col>4</xdr:col>
      <xdr:colOff>5932155</xdr:colOff>
      <xdr:row>36</xdr:row>
      <xdr:rowOff>189807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632458</xdr:colOff>
      <xdr:row>0</xdr:row>
      <xdr:rowOff>106681</xdr:rowOff>
    </xdr:from>
    <xdr:ext cx="6416042" cy="937629"/>
    <xdr:sp macro="" textlink="">
      <xdr:nvSpPr>
        <xdr:cNvPr id="7" name="Rectangle 6"/>
        <xdr:cNvSpPr/>
      </xdr:nvSpPr>
      <xdr:spPr>
        <a:xfrm>
          <a:off x="1729738" y="106681"/>
          <a:ext cx="6416042" cy="937629"/>
        </a:xfrm>
        <a:prstGeom prst="rect">
          <a:avLst/>
        </a:prstGeom>
        <a:noFill/>
      </xdr:spPr>
      <xdr:txBody>
        <a:bodyPr wrap="square" lIns="91440" tIns="45720" rIns="91440" bIns="45720">
          <a:spAutoFit/>
        </a:bodyPr>
        <a:lstStyle/>
        <a:p>
          <a:pPr algn="ctr"/>
          <a:endPar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editAs="oneCell">
    <xdr:from>
      <xdr:col>1</xdr:col>
      <xdr:colOff>0</xdr:colOff>
      <xdr:row>1</xdr:row>
      <xdr:rowOff>0</xdr:rowOff>
    </xdr:from>
    <xdr:to>
      <xdr:col>1</xdr:col>
      <xdr:colOff>2325269</xdr:colOff>
      <xdr:row>5</xdr:row>
      <xdr:rowOff>26247</xdr:rowOff>
    </xdr:to>
    <xdr:pic>
      <xdr:nvPicPr>
        <xdr:cNvPr id="8" name="Picture 7">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8640" y="182880"/>
          <a:ext cx="2325269" cy="9609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3586</xdr:colOff>
      <xdr:row>26</xdr:row>
      <xdr:rowOff>107577</xdr:rowOff>
    </xdr:from>
    <xdr:to>
      <xdr:col>2</xdr:col>
      <xdr:colOff>1165412</xdr:colOff>
      <xdr:row>46</xdr:row>
      <xdr:rowOff>35859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2</xdr:col>
      <xdr:colOff>579754</xdr:colOff>
      <xdr:row>17</xdr:row>
      <xdr:rowOff>60960</xdr:rowOff>
    </xdr:from>
    <xdr:to>
      <xdr:col>6</xdr:col>
      <xdr:colOff>447040</xdr:colOff>
      <xdr:row>45</xdr:row>
      <xdr:rowOff>30480</xdr:rowOff>
    </xdr:to>
    <xdr:graphicFrame macro="">
      <xdr:nvGraphicFramePr>
        <xdr:cNvPr id="2" name="6. Cluster b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572770</xdr:colOff>
      <xdr:row>18</xdr:row>
      <xdr:rowOff>8255</xdr:rowOff>
    </xdr:from>
    <xdr:to>
      <xdr:col>2</xdr:col>
      <xdr:colOff>926465</xdr:colOff>
      <xdr:row>45</xdr:row>
      <xdr:rowOff>30480</xdr:rowOff>
    </xdr:to>
    <xdr:graphicFrame macro="">
      <xdr:nvGraphicFramePr>
        <xdr:cNvPr id="3" name="6. Cluster b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91</xdr:row>
      <xdr:rowOff>116540</xdr:rowOff>
    </xdr:from>
    <xdr:to>
      <xdr:col>1</xdr:col>
      <xdr:colOff>3289300</xdr:colOff>
      <xdr:row>104</xdr:row>
      <xdr:rowOff>98611</xdr:rowOff>
    </xdr:to>
    <xdr:graphicFrame macro="">
      <xdr:nvGraphicFramePr>
        <xdr:cNvPr id="9" name="9. Cluster colum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8" name="Picture 7">
          <a:hlinkClick xmlns:r="http://schemas.openxmlformats.org/officeDocument/2006/relationships" r:id="rId6"/>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6</xdr:col>
      <xdr:colOff>491414</xdr:colOff>
      <xdr:row>29</xdr:row>
      <xdr:rowOff>109145</xdr:rowOff>
    </xdr:from>
    <xdr:to>
      <xdr:col>16</xdr:col>
      <xdr:colOff>294640</xdr:colOff>
      <xdr:row>52</xdr:row>
      <xdr:rowOff>43628</xdr:rowOff>
    </xdr:to>
    <xdr:graphicFrame macro="">
      <xdr:nvGraphicFramePr>
        <xdr:cNvPr id="2" name="6. Cluster b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1513840</xdr:colOff>
      <xdr:row>18</xdr:row>
      <xdr:rowOff>71120</xdr:rowOff>
    </xdr:from>
    <xdr:to>
      <xdr:col>8</xdr:col>
      <xdr:colOff>40640</xdr:colOff>
      <xdr:row>34</xdr:row>
      <xdr:rowOff>68580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724798</xdr:colOff>
      <xdr:row>41</xdr:row>
      <xdr:rowOff>12549</xdr:rowOff>
    </xdr:from>
    <xdr:to>
      <xdr:col>5</xdr:col>
      <xdr:colOff>268942</xdr:colOff>
      <xdr:row>56</xdr:row>
      <xdr:rowOff>141192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6" name="Picture 5">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2328356</xdr:colOff>
      <xdr:row>5</xdr:row>
      <xdr:rowOff>22014</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60" y="175260"/>
          <a:ext cx="2309182" cy="1003300"/>
        </a:xfrm>
        <a:prstGeom prst="rect">
          <a:avLst/>
        </a:prstGeom>
      </xdr:spPr>
    </xdr:pic>
    <xdr:clientData/>
  </xdr:twoCellAnchor>
  <xdr:twoCellAnchor>
    <xdr:from>
      <xdr:col>0</xdr:col>
      <xdr:colOff>850778</xdr:colOff>
      <xdr:row>14</xdr:row>
      <xdr:rowOff>38464</xdr:rowOff>
    </xdr:from>
    <xdr:to>
      <xdr:col>4</xdr:col>
      <xdr:colOff>475128</xdr:colOff>
      <xdr:row>27</xdr:row>
      <xdr:rowOff>134470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1613947</xdr:colOff>
      <xdr:row>31</xdr:row>
      <xdr:rowOff>5379</xdr:rowOff>
    </xdr:from>
    <xdr:to>
      <xdr:col>14</xdr:col>
      <xdr:colOff>12700</xdr:colOff>
      <xdr:row>46</xdr:row>
      <xdr:rowOff>5379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2327809</xdr:colOff>
      <xdr:row>5</xdr:row>
      <xdr:rowOff>26247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100161</xdr:colOff>
      <xdr:row>14</xdr:row>
      <xdr:rowOff>91440</xdr:rowOff>
    </xdr:from>
    <xdr:to>
      <xdr:col>4</xdr:col>
      <xdr:colOff>695298</xdr:colOff>
      <xdr:row>25</xdr:row>
      <xdr:rowOff>86360</xdr:rowOff>
    </xdr:to>
    <xdr:graphicFrame macro="">
      <xdr:nvGraphicFramePr>
        <xdr:cNvPr id="5" name="7. Stacked b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636137</xdr:colOff>
      <xdr:row>17</xdr:row>
      <xdr:rowOff>139507</xdr:rowOff>
    </xdr:from>
    <xdr:to>
      <xdr:col>2</xdr:col>
      <xdr:colOff>1629703</xdr:colOff>
      <xdr:row>32</xdr:row>
      <xdr:rowOff>15240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1147782</xdr:colOff>
      <xdr:row>357</xdr:row>
      <xdr:rowOff>38250</xdr:rowOff>
    </xdr:from>
    <xdr:to>
      <xdr:col>3</xdr:col>
      <xdr:colOff>215052</xdr:colOff>
      <xdr:row>372</xdr:row>
      <xdr:rowOff>19570</xdr:rowOff>
    </xdr:to>
    <xdr:pic>
      <xdr:nvPicPr>
        <xdr:cNvPr id="3" name="Picture 2"/>
        <xdr:cNvPicPr>
          <a:picLocks noChangeAspect="1"/>
        </xdr:cNvPicPr>
      </xdr:nvPicPr>
      <xdr:blipFill rotWithShape="1">
        <a:blip xmlns:r="http://schemas.openxmlformats.org/officeDocument/2006/relationships" r:embed="rId1"/>
        <a:srcRect r="2751"/>
        <a:stretch/>
      </xdr:blipFill>
      <xdr:spPr>
        <a:xfrm>
          <a:off x="2112982" y="70866150"/>
          <a:ext cx="2940770" cy="2330820"/>
        </a:xfrm>
        <a:prstGeom prst="rect">
          <a:avLst/>
        </a:prstGeom>
      </xdr:spPr>
    </xdr:pic>
    <xdr:clientData/>
  </xdr:twoCellAnchor>
  <xdr:twoCellAnchor editAs="oneCell">
    <xdr:from>
      <xdr:col>1</xdr:col>
      <xdr:colOff>1510532</xdr:colOff>
      <xdr:row>374</xdr:row>
      <xdr:rowOff>137629</xdr:rowOff>
    </xdr:from>
    <xdr:to>
      <xdr:col>3</xdr:col>
      <xdr:colOff>402979</xdr:colOff>
      <xdr:row>399</xdr:row>
      <xdr:rowOff>145143</xdr:rowOff>
    </xdr:to>
    <xdr:pic>
      <xdr:nvPicPr>
        <xdr:cNvPr id="4" name="Picture 3"/>
        <xdr:cNvPicPr>
          <a:picLocks noChangeAspect="1"/>
        </xdr:cNvPicPr>
      </xdr:nvPicPr>
      <xdr:blipFill>
        <a:blip xmlns:r="http://schemas.openxmlformats.org/officeDocument/2006/relationships" r:embed="rId2"/>
        <a:stretch>
          <a:fillRect/>
        </a:stretch>
      </xdr:blipFill>
      <xdr:spPr>
        <a:xfrm>
          <a:off x="2475732" y="73696029"/>
          <a:ext cx="2765947" cy="3944514"/>
        </a:xfrm>
        <a:prstGeom prst="rect">
          <a:avLst/>
        </a:prstGeom>
      </xdr:spPr>
    </xdr:pic>
    <xdr:clientData/>
  </xdr:twoCellAnchor>
  <xdr:twoCellAnchor>
    <xdr:from>
      <xdr:col>1</xdr:col>
      <xdr:colOff>1204685</xdr:colOff>
      <xdr:row>69</xdr:row>
      <xdr:rowOff>163285</xdr:rowOff>
    </xdr:from>
    <xdr:to>
      <xdr:col>3</xdr:col>
      <xdr:colOff>149678</xdr:colOff>
      <xdr:row>84</xdr:row>
      <xdr:rowOff>25581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664883</xdr:colOff>
      <xdr:row>288</xdr:row>
      <xdr:rowOff>44822</xdr:rowOff>
    </xdr:from>
    <xdr:to>
      <xdr:col>4</xdr:col>
      <xdr:colOff>563880</xdr:colOff>
      <xdr:row>298</xdr:row>
      <xdr:rowOff>162560</xdr:rowOff>
    </xdr:to>
    <xdr:graphicFrame macro="">
      <xdr:nvGraphicFramePr>
        <xdr:cNvPr id="7" name="7. Stacked b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1024367</xdr:colOff>
      <xdr:row>403</xdr:row>
      <xdr:rowOff>120276</xdr:rowOff>
    </xdr:from>
    <xdr:to>
      <xdr:col>3</xdr:col>
      <xdr:colOff>220133</xdr:colOff>
      <xdr:row>423</xdr:row>
      <xdr:rowOff>88730</xdr:rowOff>
    </xdr:to>
    <xdr:pic>
      <xdr:nvPicPr>
        <xdr:cNvPr id="9" name="Picture 8"/>
        <xdr:cNvPicPr>
          <a:picLocks noChangeAspect="1"/>
        </xdr:cNvPicPr>
      </xdr:nvPicPr>
      <xdr:blipFill>
        <a:blip xmlns:r="http://schemas.openxmlformats.org/officeDocument/2006/relationships" r:embed="rId5"/>
        <a:stretch>
          <a:fillRect/>
        </a:stretch>
      </xdr:blipFill>
      <xdr:spPr>
        <a:xfrm>
          <a:off x="1989567" y="78187176"/>
          <a:ext cx="3069266" cy="3016454"/>
        </a:xfrm>
        <a:prstGeom prst="rect">
          <a:avLst/>
        </a:prstGeom>
      </xdr:spPr>
    </xdr:pic>
    <xdr:clientData/>
  </xdr:twoCellAnchor>
  <xdr:twoCellAnchor>
    <xdr:from>
      <xdr:col>1</xdr:col>
      <xdr:colOff>944880</xdr:colOff>
      <xdr:row>341</xdr:row>
      <xdr:rowOff>94876</xdr:rowOff>
    </xdr:from>
    <xdr:to>
      <xdr:col>3</xdr:col>
      <xdr:colOff>356235</xdr:colOff>
      <xdr:row>355</xdr:row>
      <xdr:rowOff>16443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1034228</xdr:colOff>
      <xdr:row>324</xdr:row>
      <xdr:rowOff>33020</xdr:rowOff>
    </xdr:from>
    <xdr:to>
      <xdr:col>3</xdr:col>
      <xdr:colOff>433069</xdr:colOff>
      <xdr:row>335</xdr:row>
      <xdr:rowOff>169582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1</xdr:row>
      <xdr:rowOff>0</xdr:rowOff>
    </xdr:from>
    <xdr:to>
      <xdr:col>1</xdr:col>
      <xdr:colOff>2323575</xdr:colOff>
      <xdr:row>5</xdr:row>
      <xdr:rowOff>22014</xdr:rowOff>
    </xdr:to>
    <xdr:pic>
      <xdr:nvPicPr>
        <xdr:cNvPr id="17" name="Picture 16">
          <a:hlinkClick xmlns:r="http://schemas.openxmlformats.org/officeDocument/2006/relationships" r:id="rId8"/>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1540" y="182880"/>
          <a:ext cx="2309182" cy="1003300"/>
        </a:xfrm>
        <a:prstGeom prst="rect">
          <a:avLst/>
        </a:prstGeom>
      </xdr:spPr>
    </xdr:pic>
    <xdr:clientData/>
  </xdr:twoCellAnchor>
  <xdr:twoCellAnchor>
    <xdr:from>
      <xdr:col>1</xdr:col>
      <xdr:colOff>568961</xdr:colOff>
      <xdr:row>307</xdr:row>
      <xdr:rowOff>0</xdr:rowOff>
    </xdr:from>
    <xdr:to>
      <xdr:col>4</xdr:col>
      <xdr:colOff>467361</xdr:colOff>
      <xdr:row>317</xdr:row>
      <xdr:rowOff>152400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406400</xdr:colOff>
      <xdr:row>449</xdr:row>
      <xdr:rowOff>93134</xdr:rowOff>
    </xdr:from>
    <xdr:to>
      <xdr:col>4</xdr:col>
      <xdr:colOff>315806</xdr:colOff>
      <xdr:row>468</xdr:row>
      <xdr:rowOff>75776</xdr:rowOff>
    </xdr:to>
    <xdr:graphicFrame macro="">
      <xdr:nvGraphicFramePr>
        <xdr:cNvPr id="37" name="9. Cluster colum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656167</xdr:colOff>
      <xdr:row>426</xdr:row>
      <xdr:rowOff>25401</xdr:rowOff>
    </xdr:from>
    <xdr:to>
      <xdr:col>4</xdr:col>
      <xdr:colOff>385234</xdr:colOff>
      <xdr:row>447</xdr:row>
      <xdr:rowOff>42334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931741</xdr:colOff>
      <xdr:row>428</xdr:row>
      <xdr:rowOff>27940</xdr:rowOff>
    </xdr:from>
    <xdr:to>
      <xdr:col>1</xdr:col>
      <xdr:colOff>1538165</xdr:colOff>
      <xdr:row>431</xdr:row>
      <xdr:rowOff>15850</xdr:rowOff>
    </xdr:to>
    <xdr:pic>
      <xdr:nvPicPr>
        <xdr:cNvPr id="39" name="Picture 38"/>
        <xdr:cNvPicPr>
          <a:picLocks noChangeAspect="1"/>
        </xdr:cNvPicPr>
      </xdr:nvPicPr>
      <xdr:blipFill>
        <a:blip xmlns:r="http://schemas.openxmlformats.org/officeDocument/2006/relationships" r:embed="rId13"/>
        <a:stretch>
          <a:fillRect/>
        </a:stretch>
      </xdr:blipFill>
      <xdr:spPr>
        <a:xfrm>
          <a:off x="1896941" y="82196940"/>
          <a:ext cx="606424" cy="445110"/>
        </a:xfrm>
        <a:prstGeom prst="rect">
          <a:avLst/>
        </a:prstGeom>
      </xdr:spPr>
    </xdr:pic>
    <xdr:clientData/>
  </xdr:twoCellAnchor>
  <xdr:twoCellAnchor>
    <xdr:from>
      <xdr:col>1</xdr:col>
      <xdr:colOff>967301</xdr:colOff>
      <xdr:row>430</xdr:row>
      <xdr:rowOff>0</xdr:rowOff>
    </xdr:from>
    <xdr:to>
      <xdr:col>1</xdr:col>
      <xdr:colOff>1524173</xdr:colOff>
      <xdr:row>433</xdr:row>
      <xdr:rowOff>5911</xdr:rowOff>
    </xdr:to>
    <xdr:pic>
      <xdr:nvPicPr>
        <xdr:cNvPr id="40" name="Picture 39"/>
        <xdr:cNvPicPr>
          <a:picLocks noChangeAspect="1"/>
        </xdr:cNvPicPr>
      </xdr:nvPicPr>
      <xdr:blipFill>
        <a:blip xmlns:r="http://schemas.openxmlformats.org/officeDocument/2006/relationships" r:embed="rId14"/>
        <a:stretch>
          <a:fillRect/>
        </a:stretch>
      </xdr:blipFill>
      <xdr:spPr>
        <a:xfrm>
          <a:off x="1932501" y="82473800"/>
          <a:ext cx="556872" cy="463111"/>
        </a:xfrm>
        <a:prstGeom prst="rect">
          <a:avLst/>
        </a:prstGeom>
      </xdr:spPr>
    </xdr:pic>
    <xdr:clientData/>
  </xdr:twoCellAnchor>
  <xdr:twoCellAnchor>
    <xdr:from>
      <xdr:col>1</xdr:col>
      <xdr:colOff>957943</xdr:colOff>
      <xdr:row>18</xdr:row>
      <xdr:rowOff>299720</xdr:rowOff>
    </xdr:from>
    <xdr:to>
      <xdr:col>3</xdr:col>
      <xdr:colOff>437606</xdr:colOff>
      <xdr:row>34</xdr:row>
      <xdr:rowOff>40640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231140</xdr:colOff>
      <xdr:row>37</xdr:row>
      <xdr:rowOff>142240</xdr:rowOff>
    </xdr:from>
    <xdr:to>
      <xdr:col>3</xdr:col>
      <xdr:colOff>1052196</xdr:colOff>
      <xdr:row>54</xdr:row>
      <xdr:rowOff>69850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121920</xdr:colOff>
      <xdr:row>56</xdr:row>
      <xdr:rowOff>134620</xdr:rowOff>
    </xdr:from>
    <xdr:to>
      <xdr:col>4</xdr:col>
      <xdr:colOff>106680</xdr:colOff>
      <xdr:row>69</xdr:row>
      <xdr:rowOff>157480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746760</xdr:colOff>
      <xdr:row>87</xdr:row>
      <xdr:rowOff>99060</xdr:rowOff>
    </xdr:from>
    <xdr:to>
      <xdr:col>3</xdr:col>
      <xdr:colOff>640443</xdr:colOff>
      <xdr:row>102</xdr:row>
      <xdr:rowOff>148772</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982980</xdr:colOff>
      <xdr:row>109</xdr:row>
      <xdr:rowOff>53340</xdr:rowOff>
    </xdr:from>
    <xdr:to>
      <xdr:col>3</xdr:col>
      <xdr:colOff>42391</xdr:colOff>
      <xdr:row>117</xdr:row>
      <xdr:rowOff>183025</xdr:rowOff>
    </xdr:to>
    <xdr:pic>
      <xdr:nvPicPr>
        <xdr:cNvPr id="2" name="Picture 1"/>
        <xdr:cNvPicPr>
          <a:picLocks noChangeAspect="1"/>
        </xdr:cNvPicPr>
      </xdr:nvPicPr>
      <xdr:blipFill>
        <a:blip xmlns:r="http://schemas.openxmlformats.org/officeDocument/2006/relationships" r:embed="rId19"/>
        <a:stretch>
          <a:fillRect/>
        </a:stretch>
      </xdr:blipFill>
      <xdr:spPr>
        <a:xfrm>
          <a:off x="1948180" y="22278340"/>
          <a:ext cx="2932911" cy="1653685"/>
        </a:xfrm>
        <a:prstGeom prst="rect">
          <a:avLst/>
        </a:prstGeom>
      </xdr:spPr>
    </xdr:pic>
    <xdr:clientData/>
  </xdr:twoCellAnchor>
  <xdr:twoCellAnchor editAs="oneCell">
    <xdr:from>
      <xdr:col>1</xdr:col>
      <xdr:colOff>392459</xdr:colOff>
      <xdr:row>233</xdr:row>
      <xdr:rowOff>12701</xdr:rowOff>
    </xdr:from>
    <xdr:to>
      <xdr:col>4</xdr:col>
      <xdr:colOff>887411</xdr:colOff>
      <xdr:row>246</xdr:row>
      <xdr:rowOff>19957</xdr:rowOff>
    </xdr:to>
    <xdr:pic>
      <xdr:nvPicPr>
        <xdr:cNvPr id="5" name="Picture 4"/>
        <xdr:cNvPicPr>
          <a:picLocks noChangeAspect="1"/>
        </xdr:cNvPicPr>
      </xdr:nvPicPr>
      <xdr:blipFill>
        <a:blip xmlns:r="http://schemas.openxmlformats.org/officeDocument/2006/relationships" r:embed="rId20"/>
        <a:stretch>
          <a:fillRect/>
        </a:stretch>
      </xdr:blipFill>
      <xdr:spPr>
        <a:xfrm>
          <a:off x="1357659" y="47028101"/>
          <a:ext cx="5613052" cy="2483756"/>
        </a:xfrm>
        <a:prstGeom prst="rect">
          <a:avLst/>
        </a:prstGeom>
      </xdr:spPr>
    </xdr:pic>
    <xdr:clientData/>
  </xdr:twoCellAnchor>
  <xdr:twoCellAnchor editAs="oneCell">
    <xdr:from>
      <xdr:col>1</xdr:col>
      <xdr:colOff>546100</xdr:colOff>
      <xdr:row>125</xdr:row>
      <xdr:rowOff>41728</xdr:rowOff>
    </xdr:from>
    <xdr:to>
      <xdr:col>4</xdr:col>
      <xdr:colOff>242562</xdr:colOff>
      <xdr:row>140</xdr:row>
      <xdr:rowOff>5493</xdr:rowOff>
    </xdr:to>
    <xdr:pic>
      <xdr:nvPicPr>
        <xdr:cNvPr id="8" name="Picture 7"/>
        <xdr:cNvPicPr>
          <a:picLocks noChangeAspect="1"/>
        </xdr:cNvPicPr>
      </xdr:nvPicPr>
      <xdr:blipFill>
        <a:blip xmlns:r="http://schemas.openxmlformats.org/officeDocument/2006/relationships" r:embed="rId21"/>
        <a:stretch>
          <a:fillRect/>
        </a:stretch>
      </xdr:blipFill>
      <xdr:spPr>
        <a:xfrm>
          <a:off x="1511300" y="25454428"/>
          <a:ext cx="4814562" cy="2821265"/>
        </a:xfrm>
        <a:prstGeom prst="rect">
          <a:avLst/>
        </a:prstGeom>
      </xdr:spPr>
    </xdr:pic>
    <xdr:clientData/>
  </xdr:twoCellAnchor>
  <xdr:twoCellAnchor>
    <xdr:from>
      <xdr:col>1</xdr:col>
      <xdr:colOff>876300</xdr:colOff>
      <xdr:row>141</xdr:row>
      <xdr:rowOff>337458</xdr:rowOff>
    </xdr:from>
    <xdr:to>
      <xdr:col>3</xdr:col>
      <xdr:colOff>952500</xdr:colOff>
      <xdr:row>157</xdr:row>
      <xdr:rowOff>114301</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1</xdr:col>
      <xdr:colOff>681445</xdr:colOff>
      <xdr:row>197</xdr:row>
      <xdr:rowOff>76926</xdr:rowOff>
    </xdr:from>
    <xdr:to>
      <xdr:col>3</xdr:col>
      <xdr:colOff>1220651</xdr:colOff>
      <xdr:row>209</xdr:row>
      <xdr:rowOff>71195</xdr:rowOff>
    </xdr:to>
    <xdr:graphicFrame macro="">
      <xdr:nvGraphicFramePr>
        <xdr:cNvPr id="51" name="6. Cluster ba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xdr:col>
      <xdr:colOff>766355</xdr:colOff>
      <xdr:row>162</xdr:row>
      <xdr:rowOff>52976</xdr:rowOff>
    </xdr:from>
    <xdr:to>
      <xdr:col>4</xdr:col>
      <xdr:colOff>191589</xdr:colOff>
      <xdr:row>175</xdr:row>
      <xdr:rowOff>132412</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xdr:col>
      <xdr:colOff>693058</xdr:colOff>
      <xdr:row>215</xdr:row>
      <xdr:rowOff>159657</xdr:rowOff>
    </xdr:from>
    <xdr:to>
      <xdr:col>3</xdr:col>
      <xdr:colOff>1232605</xdr:colOff>
      <xdr:row>229</xdr:row>
      <xdr:rowOff>140108</xdr:rowOff>
    </xdr:to>
    <xdr:pic>
      <xdr:nvPicPr>
        <xdr:cNvPr id="10" name="Picture 9"/>
        <xdr:cNvPicPr>
          <a:picLocks noChangeAspect="1"/>
        </xdr:cNvPicPr>
      </xdr:nvPicPr>
      <xdr:blipFill>
        <a:blip xmlns:r="http://schemas.openxmlformats.org/officeDocument/2006/relationships" r:embed="rId25"/>
        <a:stretch>
          <a:fillRect/>
        </a:stretch>
      </xdr:blipFill>
      <xdr:spPr>
        <a:xfrm>
          <a:off x="1658258" y="43403157"/>
          <a:ext cx="4413047" cy="2647451"/>
        </a:xfrm>
        <a:prstGeom prst="rect">
          <a:avLst/>
        </a:prstGeom>
      </xdr:spPr>
    </xdr:pic>
    <xdr:clientData/>
  </xdr:twoCellAnchor>
  <xdr:twoCellAnchor>
    <xdr:from>
      <xdr:col>1</xdr:col>
      <xdr:colOff>1239158</xdr:colOff>
      <xdr:row>178</xdr:row>
      <xdr:rowOff>108857</xdr:rowOff>
    </xdr:from>
    <xdr:to>
      <xdr:col>3</xdr:col>
      <xdr:colOff>389688</xdr:colOff>
      <xdr:row>192</xdr:row>
      <xdr:rowOff>178974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402771</xdr:colOff>
      <xdr:row>251</xdr:row>
      <xdr:rowOff>76199</xdr:rowOff>
    </xdr:from>
    <xdr:to>
      <xdr:col>3</xdr:col>
      <xdr:colOff>902788</xdr:colOff>
      <xdr:row>263</xdr:row>
      <xdr:rowOff>8345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139700</xdr:colOff>
      <xdr:row>268</xdr:row>
      <xdr:rowOff>139700</xdr:rowOff>
    </xdr:from>
    <xdr:to>
      <xdr:col>4</xdr:col>
      <xdr:colOff>610944</xdr:colOff>
      <xdr:row>283</xdr:row>
      <xdr:rowOff>179443</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587938</xdr:colOff>
      <xdr:row>17</xdr:row>
      <xdr:rowOff>129541</xdr:rowOff>
    </xdr:from>
    <xdr:to>
      <xdr:col>24</xdr:col>
      <xdr:colOff>195211</xdr:colOff>
      <xdr:row>37</xdr:row>
      <xdr:rowOff>91440</xdr:rowOff>
    </xdr:to>
    <xdr:pic>
      <xdr:nvPicPr>
        <xdr:cNvPr id="3" name="Picture 2"/>
        <xdr:cNvPicPr>
          <a:picLocks noChangeAspect="1"/>
        </xdr:cNvPicPr>
      </xdr:nvPicPr>
      <xdr:blipFill>
        <a:blip xmlns:r="http://schemas.openxmlformats.org/officeDocument/2006/relationships" r:embed="rId1"/>
        <a:stretch>
          <a:fillRect/>
        </a:stretch>
      </xdr:blipFill>
      <xdr:spPr>
        <a:xfrm>
          <a:off x="17069998" y="1196341"/>
          <a:ext cx="6000453" cy="3025139"/>
        </a:xfrm>
        <a:prstGeom prst="rect">
          <a:avLst/>
        </a:prstGeom>
      </xdr:spPr>
    </xdr:pic>
    <xdr:clientData/>
  </xdr:twoCellAnchor>
  <xdr:twoCellAnchor>
    <xdr:from>
      <xdr:col>1</xdr:col>
      <xdr:colOff>126593</xdr:colOff>
      <xdr:row>56</xdr:row>
      <xdr:rowOff>381000</xdr:rowOff>
    </xdr:from>
    <xdr:to>
      <xdr:col>4</xdr:col>
      <xdr:colOff>304800</xdr:colOff>
      <xdr:row>80</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1</xdr:col>
      <xdr:colOff>2330050</xdr:colOff>
      <xdr:row>5</xdr:row>
      <xdr:rowOff>26247</xdr:rowOff>
    </xdr:to>
    <xdr:pic>
      <xdr:nvPicPr>
        <xdr:cNvPr id="9" name="Picture 8">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twoCellAnchor>
    <xdr:from>
      <xdr:col>1</xdr:col>
      <xdr:colOff>406400</xdr:colOff>
      <xdr:row>56</xdr:row>
      <xdr:rowOff>955040</xdr:rowOff>
    </xdr:from>
    <xdr:to>
      <xdr:col>1</xdr:col>
      <xdr:colOff>1012824</xdr:colOff>
      <xdr:row>56</xdr:row>
      <xdr:rowOff>1374750</xdr:rowOff>
    </xdr:to>
    <xdr:pic>
      <xdr:nvPicPr>
        <xdr:cNvPr id="10" name="Picture 9"/>
        <xdr:cNvPicPr>
          <a:picLocks noChangeAspect="1"/>
        </xdr:cNvPicPr>
      </xdr:nvPicPr>
      <xdr:blipFill>
        <a:blip xmlns:r="http://schemas.openxmlformats.org/officeDocument/2006/relationships" r:embed="rId5"/>
        <a:stretch>
          <a:fillRect/>
        </a:stretch>
      </xdr:blipFill>
      <xdr:spPr>
        <a:xfrm>
          <a:off x="1300480" y="10393680"/>
          <a:ext cx="606424" cy="419710"/>
        </a:xfrm>
        <a:prstGeom prst="rect">
          <a:avLst/>
        </a:prstGeom>
      </xdr:spPr>
    </xdr:pic>
    <xdr:clientData/>
  </xdr:twoCellAnchor>
  <xdr:twoCellAnchor>
    <xdr:from>
      <xdr:col>1</xdr:col>
      <xdr:colOff>568960</xdr:colOff>
      <xdr:row>56</xdr:row>
      <xdr:rowOff>1422400</xdr:rowOff>
    </xdr:from>
    <xdr:to>
      <xdr:col>1</xdr:col>
      <xdr:colOff>1125832</xdr:colOff>
      <xdr:row>59</xdr:row>
      <xdr:rowOff>107511</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463040" y="10861040"/>
          <a:ext cx="556872" cy="42247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591821</xdr:colOff>
      <xdr:row>26</xdr:row>
      <xdr:rowOff>59691</xdr:rowOff>
    </xdr:from>
    <xdr:to>
      <xdr:col>11</xdr:col>
      <xdr:colOff>975360</xdr:colOff>
      <xdr:row>44</xdr:row>
      <xdr:rowOff>0</xdr:rowOff>
    </xdr:to>
    <xdr:graphicFrame macro="">
      <xdr:nvGraphicFramePr>
        <xdr:cNvPr id="4" name="9. Cluster colum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7" name="Picture 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2325269</xdr:colOff>
      <xdr:row>5</xdr:row>
      <xdr:rowOff>26247</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xdr:col>
      <xdr:colOff>632458</xdr:colOff>
      <xdr:row>0</xdr:row>
      <xdr:rowOff>106681</xdr:rowOff>
    </xdr:from>
    <xdr:ext cx="6416042" cy="937629"/>
    <xdr:sp macro="" textlink="">
      <xdr:nvSpPr>
        <xdr:cNvPr id="2" name="Rectangle 1"/>
        <xdr:cNvSpPr/>
      </xdr:nvSpPr>
      <xdr:spPr>
        <a:xfrm>
          <a:off x="3611878" y="106681"/>
          <a:ext cx="6416042" cy="937629"/>
        </a:xfrm>
        <a:prstGeom prst="rect">
          <a:avLst/>
        </a:prstGeom>
        <a:noFill/>
      </xdr:spPr>
      <xdr:txBody>
        <a:bodyPr wrap="square" lIns="91440" tIns="45720" rIns="91440" bIns="45720">
          <a:spAutoFit/>
        </a:bodyPr>
        <a:lstStyle/>
        <a:p>
          <a:pPr algn="ctr"/>
          <a:endPar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twoCellAnchor editAs="oneCell">
    <xdr:from>
      <xdr:col>1</xdr:col>
      <xdr:colOff>0</xdr:colOff>
      <xdr:row>1</xdr:row>
      <xdr:rowOff>0</xdr:rowOff>
    </xdr:from>
    <xdr:to>
      <xdr:col>1</xdr:col>
      <xdr:colOff>2328356</xdr:colOff>
      <xdr:row>5</xdr:row>
      <xdr:rowOff>22014</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60" y="175260"/>
          <a:ext cx="2309182" cy="1003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228600</xdr:colOff>
      <xdr:row>265</xdr:row>
      <xdr:rowOff>28576</xdr:rowOff>
    </xdr:from>
    <xdr:to>
      <xdr:col>14</xdr:col>
      <xdr:colOff>28575</xdr:colOff>
      <xdr:row>279</xdr:row>
      <xdr:rowOff>133351</xdr:rowOff>
    </xdr:to>
    <xdr:sp macro="" textlink="">
      <xdr:nvSpPr>
        <xdr:cNvPr id="2" name="TextBox 1"/>
        <xdr:cNvSpPr txBox="1"/>
      </xdr:nvSpPr>
      <xdr:spPr>
        <a:xfrm>
          <a:off x="4030980" y="8662036"/>
          <a:ext cx="2558415" cy="222313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dk1"/>
              </a:solidFill>
              <a:effectLst/>
              <a:latin typeface="Arial" pitchFamily="34" charset="0"/>
              <a:ea typeface="+mn-ea"/>
              <a:cs typeface="Arial" pitchFamily="34" charset="0"/>
            </a:rPr>
            <a:t>From the September quarter 2012, the ABS harmonised the index reference periods for the Consumer Price Index (CPI) series. These series are now presented on an index reference period of 2011–12, resulting in the index numbers for each index series being reset to 100.0 for the financial year 2011–12.</a:t>
          </a:r>
        </a:p>
        <a:p>
          <a:endParaRPr lang="en-AU" sz="900">
            <a:effectLst/>
            <a:latin typeface="Arial" pitchFamily="34" charset="0"/>
            <a:cs typeface="Arial" pitchFamily="34" charset="0"/>
          </a:endParaRPr>
        </a:p>
        <a:p>
          <a:r>
            <a:rPr lang="en-AU" sz="900">
              <a:solidFill>
                <a:schemeClr val="dk1"/>
              </a:solidFill>
              <a:effectLst/>
              <a:latin typeface="Arial" pitchFamily="34" charset="0"/>
              <a:ea typeface="+mn-ea"/>
              <a:cs typeface="Arial" pitchFamily="34" charset="0"/>
            </a:rPr>
            <a:t>The September Quarter 2000 numbers were the first  of Series 14.  This series includes the effects of the New Tax System which commenced on 1 July 2000. </a:t>
          </a:r>
        </a:p>
        <a:p>
          <a:endParaRPr lang="en-AU" sz="900">
            <a:effectLst/>
            <a:latin typeface="Arial" pitchFamily="34" charset="0"/>
            <a:cs typeface="Arial" pitchFamily="34" charset="0"/>
          </a:endParaRPr>
        </a:p>
        <a:p>
          <a:r>
            <a:rPr lang="en-AU" sz="900">
              <a:solidFill>
                <a:schemeClr val="dk1"/>
              </a:solidFill>
              <a:effectLst/>
              <a:latin typeface="Arial" pitchFamily="34" charset="0"/>
              <a:ea typeface="+mn-ea"/>
              <a:cs typeface="Arial" pitchFamily="34" charset="0"/>
            </a:rPr>
            <a:t>The September Quarter 1998 was the first of the 13th series. Data prior to Sept 94 is for 12th series.</a:t>
          </a:r>
          <a:endParaRPr lang="en-AU" sz="900">
            <a:effectLst/>
            <a:latin typeface="Arial" pitchFamily="34" charset="0"/>
            <a:cs typeface="Arial" pitchFamily="34" charset="0"/>
          </a:endParaRPr>
        </a:p>
        <a:p>
          <a:endParaRPr lang="en-AU" sz="900">
            <a:latin typeface="Arial" pitchFamily="34" charset="0"/>
            <a:cs typeface="Arial"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739774</xdr:colOff>
      <xdr:row>2</xdr:row>
      <xdr:rowOff>54609</xdr:rowOff>
    </xdr:to>
    <xdr:pic>
      <xdr:nvPicPr>
        <xdr:cNvPr id="2" name="Picture 1" descr="P_E_Two_Colour_Online.png">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3534" cy="506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0</xdr:col>
      <xdr:colOff>638175</xdr:colOff>
      <xdr:row>6</xdr:row>
      <xdr:rowOff>0</xdr:rowOff>
    </xdr:to>
    <xdr:pic>
      <xdr:nvPicPr>
        <xdr:cNvPr id="3" name="Picture 3">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7240"/>
          <a:ext cx="6381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919480</xdr:colOff>
      <xdr:row>23</xdr:row>
      <xdr:rowOff>59690</xdr:rowOff>
    </xdr:from>
    <xdr:to>
      <xdr:col>5</xdr:col>
      <xdr:colOff>355600</xdr:colOff>
      <xdr:row>43</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5" name="Picture 4">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306705</xdr:colOff>
      <xdr:row>13</xdr:row>
      <xdr:rowOff>91440</xdr:rowOff>
    </xdr:from>
    <xdr:to>
      <xdr:col>12</xdr:col>
      <xdr:colOff>975361</xdr:colOff>
      <xdr:row>29</xdr:row>
      <xdr:rowOff>34290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2327809</xdr:colOff>
      <xdr:row>5</xdr:row>
      <xdr:rowOff>26247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1060" y="182880"/>
          <a:ext cx="2325269" cy="9609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965200</xdr:colOff>
      <xdr:row>15</xdr:row>
      <xdr:rowOff>114300</xdr:rowOff>
    </xdr:from>
    <xdr:to>
      <xdr:col>19</xdr:col>
      <xdr:colOff>525780</xdr:colOff>
      <xdr:row>31</xdr:row>
      <xdr:rowOff>111760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2325269</xdr:colOff>
      <xdr:row>5</xdr:row>
      <xdr:rowOff>26247</xdr:rowOff>
    </xdr:to>
    <xdr:pic>
      <xdr:nvPicPr>
        <xdr:cNvPr id="6" name="Picture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twoCellAnchor editAs="oneCell">
    <xdr:from>
      <xdr:col>1</xdr:col>
      <xdr:colOff>0</xdr:colOff>
      <xdr:row>1</xdr:row>
      <xdr:rowOff>0</xdr:rowOff>
    </xdr:from>
    <xdr:to>
      <xdr:col>1</xdr:col>
      <xdr:colOff>2325269</xdr:colOff>
      <xdr:row>5</xdr:row>
      <xdr:rowOff>26247</xdr:rowOff>
    </xdr:to>
    <xdr:pic>
      <xdr:nvPicPr>
        <xdr:cNvPr id="7" name="Picture 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1540" y="182880"/>
          <a:ext cx="2309182" cy="1003300"/>
        </a:xfrm>
        <a:prstGeom prst="rect">
          <a:avLst/>
        </a:prstGeom>
      </xdr:spPr>
    </xdr:pic>
    <xdr:clientData/>
  </xdr:twoCellAnchor>
  <xdr:twoCellAnchor>
    <xdr:from>
      <xdr:col>5</xdr:col>
      <xdr:colOff>0</xdr:colOff>
      <xdr:row>14</xdr:row>
      <xdr:rowOff>111760</xdr:rowOff>
    </xdr:from>
    <xdr:to>
      <xdr:col>9</xdr:col>
      <xdr:colOff>670560</xdr:colOff>
      <xdr:row>31</xdr:row>
      <xdr:rowOff>101600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38100</xdr:colOff>
      <xdr:row>151</xdr:row>
      <xdr:rowOff>133350</xdr:rowOff>
    </xdr:from>
    <xdr:ext cx="6355486" cy="2819048"/>
    <xdr:pic>
      <xdr:nvPicPr>
        <xdr:cNvPr id="3" name="Picture 2"/>
        <xdr:cNvPicPr>
          <a:picLocks noChangeAspect="1"/>
        </xdr:cNvPicPr>
      </xdr:nvPicPr>
      <xdr:blipFill>
        <a:blip xmlns:r="http://schemas.openxmlformats.org/officeDocument/2006/relationships" r:embed="rId1"/>
        <a:stretch>
          <a:fillRect/>
        </a:stretch>
      </xdr:blipFill>
      <xdr:spPr>
        <a:xfrm>
          <a:off x="933450" y="24276050"/>
          <a:ext cx="6355486" cy="2819048"/>
        </a:xfrm>
        <a:prstGeom prst="rect">
          <a:avLst/>
        </a:prstGeom>
      </xdr:spPr>
    </xdr:pic>
    <xdr:clientData/>
  </xdr:oneCellAnchor>
  <xdr:oneCellAnchor>
    <xdr:from>
      <xdr:col>1</xdr:col>
      <xdr:colOff>139700</xdr:colOff>
      <xdr:row>168</xdr:row>
      <xdr:rowOff>76199</xdr:rowOff>
    </xdr:from>
    <xdr:ext cx="5988050" cy="10303641"/>
    <xdr:pic>
      <xdr:nvPicPr>
        <xdr:cNvPr id="4" name="Picture 3"/>
        <xdr:cNvPicPr>
          <a:picLocks noChangeAspect="1"/>
        </xdr:cNvPicPr>
      </xdr:nvPicPr>
      <xdr:blipFill>
        <a:blip xmlns:r="http://schemas.openxmlformats.org/officeDocument/2006/relationships" r:embed="rId2"/>
        <a:stretch>
          <a:fillRect/>
        </a:stretch>
      </xdr:blipFill>
      <xdr:spPr>
        <a:xfrm>
          <a:off x="1035050" y="27311349"/>
          <a:ext cx="5988050" cy="10303641"/>
        </a:xfrm>
        <a:prstGeom prst="rect">
          <a:avLst/>
        </a:prstGeom>
      </xdr:spPr>
    </xdr:pic>
    <xdr:clientData/>
  </xdr:oneCellAnchor>
  <xdr:oneCellAnchor>
    <xdr:from>
      <xdr:col>1</xdr:col>
      <xdr:colOff>463550</xdr:colOff>
      <xdr:row>228</xdr:row>
      <xdr:rowOff>88900</xdr:rowOff>
    </xdr:from>
    <xdr:ext cx="6240202" cy="4978400"/>
    <xdr:pic>
      <xdr:nvPicPr>
        <xdr:cNvPr id="5" name="Picture 4"/>
        <xdr:cNvPicPr>
          <a:picLocks noChangeAspect="1"/>
        </xdr:cNvPicPr>
      </xdr:nvPicPr>
      <xdr:blipFill>
        <a:blip xmlns:r="http://schemas.openxmlformats.org/officeDocument/2006/relationships" r:embed="rId3"/>
        <a:stretch>
          <a:fillRect/>
        </a:stretch>
      </xdr:blipFill>
      <xdr:spPr>
        <a:xfrm>
          <a:off x="1720850" y="18459450"/>
          <a:ext cx="6240202" cy="4978400"/>
        </a:xfrm>
        <a:prstGeom prst="rect">
          <a:avLst/>
        </a:prstGeom>
      </xdr:spPr>
    </xdr:pic>
    <xdr:clientData/>
  </xdr:oneCellAnchor>
  <xdr:oneCellAnchor>
    <xdr:from>
      <xdr:col>1</xdr:col>
      <xdr:colOff>412750</xdr:colOff>
      <xdr:row>255</xdr:row>
      <xdr:rowOff>101599</xdr:rowOff>
    </xdr:from>
    <xdr:ext cx="6032500" cy="7502863"/>
    <xdr:pic>
      <xdr:nvPicPr>
        <xdr:cNvPr id="6" name="Picture 5"/>
        <xdr:cNvPicPr>
          <a:picLocks noChangeAspect="1"/>
        </xdr:cNvPicPr>
      </xdr:nvPicPr>
      <xdr:blipFill>
        <a:blip xmlns:r="http://schemas.openxmlformats.org/officeDocument/2006/relationships" r:embed="rId4"/>
        <a:stretch>
          <a:fillRect/>
        </a:stretch>
      </xdr:blipFill>
      <xdr:spPr>
        <a:xfrm>
          <a:off x="1670050" y="23444199"/>
          <a:ext cx="6032500" cy="7502863"/>
        </a:xfrm>
        <a:prstGeom prst="rect">
          <a:avLst/>
        </a:prstGeom>
      </xdr:spPr>
    </xdr:pic>
    <xdr:clientData/>
  </xdr:oneCellAnchor>
  <xdr:twoCellAnchor editAs="oneCell">
    <xdr:from>
      <xdr:col>14</xdr:col>
      <xdr:colOff>1244600</xdr:colOff>
      <xdr:row>156</xdr:row>
      <xdr:rowOff>168924</xdr:rowOff>
    </xdr:from>
    <xdr:to>
      <xdr:col>24</xdr:col>
      <xdr:colOff>186317</xdr:colOff>
      <xdr:row>166</xdr:row>
      <xdr:rowOff>159096</xdr:rowOff>
    </xdr:to>
    <xdr:pic>
      <xdr:nvPicPr>
        <xdr:cNvPr id="2" name="Picture 1"/>
        <xdr:cNvPicPr>
          <a:picLocks noChangeAspect="1"/>
        </xdr:cNvPicPr>
      </xdr:nvPicPr>
      <xdr:blipFill>
        <a:blip xmlns:r="http://schemas.openxmlformats.org/officeDocument/2006/relationships" r:embed="rId5"/>
        <a:stretch>
          <a:fillRect/>
        </a:stretch>
      </xdr:blipFill>
      <xdr:spPr>
        <a:xfrm>
          <a:off x="16758920" y="24563084"/>
          <a:ext cx="6292477" cy="1818971"/>
        </a:xfrm>
        <a:prstGeom prst="rect">
          <a:avLst/>
        </a:prstGeom>
      </xdr:spPr>
    </xdr:pic>
    <xdr:clientData/>
  </xdr:twoCellAnchor>
  <xdr:twoCellAnchor editAs="oneCell">
    <xdr:from>
      <xdr:col>4</xdr:col>
      <xdr:colOff>239518</xdr:colOff>
      <xdr:row>93</xdr:row>
      <xdr:rowOff>60960</xdr:rowOff>
    </xdr:from>
    <xdr:to>
      <xdr:col>9</xdr:col>
      <xdr:colOff>335280</xdr:colOff>
      <xdr:row>118</xdr:row>
      <xdr:rowOff>120459</xdr:rowOff>
    </xdr:to>
    <xdr:pic>
      <xdr:nvPicPr>
        <xdr:cNvPr id="7" name="Picture 6"/>
        <xdr:cNvPicPr>
          <a:picLocks noChangeAspect="1"/>
        </xdr:cNvPicPr>
      </xdr:nvPicPr>
      <xdr:blipFill>
        <a:blip xmlns:r="http://schemas.openxmlformats.org/officeDocument/2006/relationships" r:embed="rId6"/>
        <a:stretch>
          <a:fillRect/>
        </a:stretch>
      </xdr:blipFill>
      <xdr:spPr>
        <a:xfrm>
          <a:off x="5045198" y="14406880"/>
          <a:ext cx="3956562" cy="3615498"/>
        </a:xfrm>
        <a:prstGeom prst="rect">
          <a:avLst/>
        </a:prstGeom>
      </xdr:spPr>
    </xdr:pic>
    <xdr:clientData/>
  </xdr:twoCellAnchor>
  <xdr:twoCellAnchor editAs="oneCell">
    <xdr:from>
      <xdr:col>4</xdr:col>
      <xdr:colOff>655320</xdr:colOff>
      <xdr:row>66</xdr:row>
      <xdr:rowOff>49530</xdr:rowOff>
    </xdr:from>
    <xdr:to>
      <xdr:col>10</xdr:col>
      <xdr:colOff>1109322</xdr:colOff>
      <xdr:row>82</xdr:row>
      <xdr:rowOff>99060</xdr:rowOff>
    </xdr:to>
    <xdr:pic>
      <xdr:nvPicPr>
        <xdr:cNvPr id="8" name="Picture 7"/>
        <xdr:cNvPicPr>
          <a:picLocks noChangeAspect="1"/>
        </xdr:cNvPicPr>
      </xdr:nvPicPr>
      <xdr:blipFill>
        <a:blip xmlns:r="http://schemas.openxmlformats.org/officeDocument/2006/relationships" r:embed="rId7"/>
        <a:stretch>
          <a:fillRect/>
        </a:stretch>
      </xdr:blipFill>
      <xdr:spPr>
        <a:xfrm>
          <a:off x="5737860" y="6267450"/>
          <a:ext cx="4865982" cy="2366010"/>
        </a:xfrm>
        <a:prstGeom prst="rect">
          <a:avLst/>
        </a:prstGeom>
      </xdr:spPr>
    </xdr:pic>
    <xdr:clientData/>
  </xdr:twoCellAnchor>
  <xdr:oneCellAnchor>
    <xdr:from>
      <xdr:col>11</xdr:col>
      <xdr:colOff>1454150</xdr:colOff>
      <xdr:row>66</xdr:row>
      <xdr:rowOff>95250</xdr:rowOff>
    </xdr:from>
    <xdr:ext cx="6295238" cy="7571428"/>
    <xdr:pic>
      <xdr:nvPicPr>
        <xdr:cNvPr id="10" name="Picture 9"/>
        <xdr:cNvPicPr>
          <a:picLocks noChangeAspect="1"/>
        </xdr:cNvPicPr>
      </xdr:nvPicPr>
      <xdr:blipFill>
        <a:blip xmlns:r="http://schemas.openxmlformats.org/officeDocument/2006/relationships" r:embed="rId8"/>
        <a:stretch>
          <a:fillRect/>
        </a:stretch>
      </xdr:blipFill>
      <xdr:spPr>
        <a:xfrm>
          <a:off x="11817350" y="4692650"/>
          <a:ext cx="6295238" cy="7571428"/>
        </a:xfrm>
        <a:prstGeom prst="rect">
          <a:avLst/>
        </a:prstGeom>
      </xdr:spPr>
    </xdr:pic>
    <xdr:clientData/>
  </xdr:oneCellAnchor>
  <xdr:twoCellAnchor>
    <xdr:from>
      <xdr:col>1</xdr:col>
      <xdr:colOff>812800</xdr:colOff>
      <xdr:row>12</xdr:row>
      <xdr:rowOff>142875</xdr:rowOff>
    </xdr:from>
    <xdr:to>
      <xdr:col>3</xdr:col>
      <xdr:colOff>708660</xdr:colOff>
      <xdr:row>31</xdr:row>
      <xdr:rowOff>104775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1</xdr:row>
      <xdr:rowOff>0</xdr:rowOff>
    </xdr:from>
    <xdr:to>
      <xdr:col>1</xdr:col>
      <xdr:colOff>2327809</xdr:colOff>
      <xdr:row>5</xdr:row>
      <xdr:rowOff>26247</xdr:rowOff>
    </xdr:to>
    <xdr:pic>
      <xdr:nvPicPr>
        <xdr:cNvPr id="14" name="Picture 13">
          <a:hlinkClick xmlns:r="http://schemas.openxmlformats.org/officeDocument/2006/relationships" r:id="rId10"/>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3440" y="182880"/>
          <a:ext cx="2306642" cy="1003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2327446</xdr:colOff>
      <xdr:row>5</xdr:row>
      <xdr:rowOff>26247</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60" y="182880"/>
          <a:ext cx="2325269" cy="9609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2325269</xdr:colOff>
      <xdr:row>5</xdr:row>
      <xdr:rowOff>26247</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300" y="236220"/>
          <a:ext cx="2325269" cy="9711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11</xdr:col>
      <xdr:colOff>568811</xdr:colOff>
      <xdr:row>118</xdr:row>
      <xdr:rowOff>21516</xdr:rowOff>
    </xdr:from>
    <xdr:ext cx="3873943" cy="5511650"/>
    <xdr:pic>
      <xdr:nvPicPr>
        <xdr:cNvPr id="3" name="Picture 2"/>
        <xdr:cNvPicPr>
          <a:picLocks noChangeAspect="1"/>
        </xdr:cNvPicPr>
      </xdr:nvPicPr>
      <xdr:blipFill>
        <a:blip xmlns:r="http://schemas.openxmlformats.org/officeDocument/2006/relationships" r:embed="rId1"/>
        <a:stretch>
          <a:fillRect/>
        </a:stretch>
      </xdr:blipFill>
      <xdr:spPr>
        <a:xfrm>
          <a:off x="14475311" y="16518816"/>
          <a:ext cx="3873943" cy="5511650"/>
        </a:xfrm>
        <a:prstGeom prst="rect">
          <a:avLst/>
        </a:prstGeom>
      </xdr:spPr>
    </xdr:pic>
    <xdr:clientData/>
  </xdr:oneCellAnchor>
  <xdr:oneCellAnchor>
    <xdr:from>
      <xdr:col>11</xdr:col>
      <xdr:colOff>551779</xdr:colOff>
      <xdr:row>158</xdr:row>
      <xdr:rowOff>10310</xdr:rowOff>
    </xdr:from>
    <xdr:ext cx="3382049" cy="3736043"/>
    <xdr:pic>
      <xdr:nvPicPr>
        <xdr:cNvPr id="22" name="Picture 21"/>
        <xdr:cNvPicPr>
          <a:picLocks noChangeAspect="1"/>
        </xdr:cNvPicPr>
      </xdr:nvPicPr>
      <xdr:blipFill>
        <a:blip xmlns:r="http://schemas.openxmlformats.org/officeDocument/2006/relationships" r:embed="rId2"/>
        <a:stretch>
          <a:fillRect/>
        </a:stretch>
      </xdr:blipFill>
      <xdr:spPr>
        <a:xfrm>
          <a:off x="14458279" y="22535030"/>
          <a:ext cx="3382049" cy="3736043"/>
        </a:xfrm>
        <a:prstGeom prst="rect">
          <a:avLst/>
        </a:prstGeom>
      </xdr:spPr>
    </xdr:pic>
    <xdr:clientData/>
  </xdr:oneCellAnchor>
  <xdr:twoCellAnchor>
    <xdr:from>
      <xdr:col>1</xdr:col>
      <xdr:colOff>1621565</xdr:colOff>
      <xdr:row>38</xdr:row>
      <xdr:rowOff>1539240</xdr:rowOff>
    </xdr:from>
    <xdr:to>
      <xdr:col>1</xdr:col>
      <xdr:colOff>1966067</xdr:colOff>
      <xdr:row>38</xdr:row>
      <xdr:rowOff>1846171</xdr:rowOff>
    </xdr:to>
    <xdr:sp macro="" textlink="">
      <xdr:nvSpPr>
        <xdr:cNvPr id="23" name="Oval 22"/>
        <xdr:cNvSpPr/>
      </xdr:nvSpPr>
      <xdr:spPr>
        <a:xfrm>
          <a:off x="2586765" y="8905240"/>
          <a:ext cx="344502" cy="306931"/>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2383417</xdr:colOff>
      <xdr:row>38</xdr:row>
      <xdr:rowOff>1531620</xdr:rowOff>
    </xdr:from>
    <xdr:to>
      <xdr:col>2</xdr:col>
      <xdr:colOff>73660</xdr:colOff>
      <xdr:row>38</xdr:row>
      <xdr:rowOff>1846022</xdr:rowOff>
    </xdr:to>
    <xdr:sp macro="" textlink="">
      <xdr:nvSpPr>
        <xdr:cNvPr id="24" name="Oval 23"/>
        <xdr:cNvSpPr/>
      </xdr:nvSpPr>
      <xdr:spPr>
        <a:xfrm>
          <a:off x="3348617" y="8897620"/>
          <a:ext cx="319143" cy="314402"/>
        </a:xfrm>
        <a:prstGeom prst="ellips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320040</xdr:colOff>
      <xdr:row>17</xdr:row>
      <xdr:rowOff>113909</xdr:rowOff>
    </xdr:from>
    <xdr:to>
      <xdr:col>5</xdr:col>
      <xdr:colOff>804603</xdr:colOff>
      <xdr:row>38</xdr:row>
      <xdr:rowOff>1828800</xdr:rowOff>
    </xdr:to>
    <xdr:grpSp>
      <xdr:nvGrpSpPr>
        <xdr:cNvPr id="36" name="Group 35"/>
        <xdr:cNvGrpSpPr/>
      </xdr:nvGrpSpPr>
      <xdr:grpSpPr>
        <a:xfrm>
          <a:off x="1285240" y="3746109"/>
          <a:ext cx="6580563" cy="5448691"/>
          <a:chOff x="886691" y="19930065"/>
          <a:chExt cx="7109114" cy="4178967"/>
        </a:xfrm>
      </xdr:grpSpPr>
      <xdr:grpSp>
        <xdr:nvGrpSpPr>
          <xdr:cNvPr id="37" name="Group 36"/>
          <xdr:cNvGrpSpPr/>
        </xdr:nvGrpSpPr>
        <xdr:grpSpPr>
          <a:xfrm>
            <a:off x="886691" y="19930065"/>
            <a:ext cx="7109114" cy="4178967"/>
            <a:chOff x="5965372" y="108860"/>
            <a:chExt cx="7029417" cy="4607095"/>
          </a:xfrm>
        </xdr:grpSpPr>
        <xdr:grpSp>
          <xdr:nvGrpSpPr>
            <xdr:cNvPr id="41" name="Group 40"/>
            <xdr:cNvGrpSpPr/>
          </xdr:nvGrpSpPr>
          <xdr:grpSpPr>
            <a:xfrm>
              <a:off x="5965372" y="108860"/>
              <a:ext cx="7029417" cy="4607095"/>
              <a:chOff x="2207110" y="3298115"/>
              <a:chExt cx="7081669" cy="4459049"/>
            </a:xfrm>
          </xdr:grpSpPr>
          <xdr:graphicFrame macro="">
            <xdr:nvGraphicFramePr>
              <xdr:cNvPr id="43" name="Chart 42"/>
              <xdr:cNvGraphicFramePr>
                <a:graphicFrameLocks/>
              </xdr:cNvGraphicFramePr>
            </xdr:nvGraphicFramePr>
            <xdr:xfrm>
              <a:off x="2207110" y="3298115"/>
              <a:ext cx="7081669" cy="4459049"/>
            </xdr:xfrm>
            <a:graphic>
              <a:graphicData uri="http://schemas.openxmlformats.org/drawingml/2006/chart">
                <c:chart xmlns:c="http://schemas.openxmlformats.org/drawingml/2006/chart" xmlns:r="http://schemas.openxmlformats.org/officeDocument/2006/relationships" r:id="rId3"/>
              </a:graphicData>
            </a:graphic>
          </xdr:graphicFrame>
          <xdr:sp macro="" textlink="#REF!">
            <xdr:nvSpPr>
              <xdr:cNvPr id="44" name="TextBox 43"/>
              <xdr:cNvSpPr txBox="1"/>
            </xdr:nvSpPr>
            <xdr:spPr>
              <a:xfrm>
                <a:off x="2942213" y="5641415"/>
                <a:ext cx="576603" cy="312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51DC1D5-3BD0-42C2-9BD5-037B5949DBD2}" type="TxLink">
                  <a:rPr lang="en-US" sz="900" b="1" i="0" u="none" strike="noStrike">
                    <a:solidFill>
                      <a:srgbClr val="000000"/>
                    </a:solidFill>
                    <a:latin typeface="Raleway" panose="020B0003030101060003" pitchFamily="34" charset="0"/>
                    <a:cs typeface="Arial"/>
                  </a:rPr>
                  <a:pPr/>
                  <a:t>-14%</a:t>
                </a:fld>
                <a:endParaRPr lang="en-AU" sz="1100" b="1">
                  <a:latin typeface="Raleway" panose="020B0003030101060003" pitchFamily="34" charset="0"/>
                </a:endParaRPr>
              </a:p>
            </xdr:txBody>
          </xdr:sp>
          <xdr:sp macro="" textlink="#REF!">
            <xdr:nvSpPr>
              <xdr:cNvPr id="45" name="TextBox 44"/>
              <xdr:cNvSpPr txBox="1"/>
            </xdr:nvSpPr>
            <xdr:spPr>
              <a:xfrm>
                <a:off x="3590464" y="5570824"/>
                <a:ext cx="560901" cy="34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66EB626-C048-4519-8F6D-EF0A0864B861}" type="TxLink">
                  <a:rPr lang="en-US" sz="900" b="1" i="0" u="none" strike="noStrike">
                    <a:solidFill>
                      <a:srgbClr val="000000"/>
                    </a:solidFill>
                    <a:latin typeface="Raleway" panose="020B0003030101060003" pitchFamily="34" charset="0"/>
                    <a:cs typeface="Arial"/>
                  </a:rPr>
                  <a:pPr/>
                  <a:t>-4%</a:t>
                </a:fld>
                <a:endParaRPr lang="en-AU" sz="1100" b="1">
                  <a:latin typeface="Raleway" panose="020B0003030101060003" pitchFamily="34" charset="0"/>
                </a:endParaRPr>
              </a:p>
            </xdr:txBody>
          </xdr:sp>
          <xdr:sp macro="" textlink="#REF!">
            <xdr:nvSpPr>
              <xdr:cNvPr id="46" name="TextBox 45"/>
              <xdr:cNvSpPr txBox="1"/>
            </xdr:nvSpPr>
            <xdr:spPr>
              <a:xfrm>
                <a:off x="4234238" y="5493819"/>
                <a:ext cx="635523" cy="370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D816C70-F2C5-4677-BAA3-7E456EBD680D}" type="TxLink">
                  <a:rPr lang="en-US" sz="900" b="1" i="0" u="none" strike="noStrike">
                    <a:solidFill>
                      <a:srgbClr val="000000"/>
                    </a:solidFill>
                    <a:latin typeface="Raleway" panose="020B0003030101060003" pitchFamily="34" charset="0"/>
                    <a:cs typeface="Arial"/>
                  </a:rPr>
                  <a:pPr/>
                  <a:t>-13%</a:t>
                </a:fld>
                <a:endParaRPr lang="en-AU" sz="1100" b="1">
                  <a:latin typeface="Raleway" panose="020B0003030101060003" pitchFamily="34" charset="0"/>
                </a:endParaRPr>
              </a:p>
            </xdr:txBody>
          </xdr:sp>
          <xdr:sp macro="" textlink="#REF!">
            <xdr:nvSpPr>
              <xdr:cNvPr id="47" name="TextBox 46"/>
              <xdr:cNvSpPr txBox="1"/>
            </xdr:nvSpPr>
            <xdr:spPr>
              <a:xfrm>
                <a:off x="4878568" y="5055509"/>
                <a:ext cx="597899" cy="362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76116FB-3C50-47FF-9A71-1CB3DEADD5C3}" type="TxLink">
                  <a:rPr lang="en-US" sz="900" b="1" i="0" u="none" strike="noStrike">
                    <a:solidFill>
                      <a:srgbClr val="000000"/>
                    </a:solidFill>
                    <a:latin typeface="Raleway"/>
                    <a:cs typeface="Arial"/>
                  </a:rPr>
                  <a:pPr/>
                  <a:t>-16%</a:t>
                </a:fld>
                <a:endParaRPr lang="en-AU" sz="1100" b="1">
                  <a:latin typeface="Raleway" panose="020B0003030101060003" pitchFamily="34" charset="0"/>
                </a:endParaRPr>
              </a:p>
            </xdr:txBody>
          </xdr:sp>
          <xdr:sp macro="" textlink="#REF!">
            <xdr:nvSpPr>
              <xdr:cNvPr id="48" name="TextBox 47"/>
              <xdr:cNvSpPr txBox="1"/>
            </xdr:nvSpPr>
            <xdr:spPr>
              <a:xfrm>
                <a:off x="5556294" y="5012495"/>
                <a:ext cx="596153" cy="349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B1CF1B2-5144-434C-8018-178E0CCB5616}" type="TxLink">
                  <a:rPr lang="en-US" sz="900" b="1" i="0" u="none" strike="noStrike">
                    <a:solidFill>
                      <a:srgbClr val="000000"/>
                    </a:solidFill>
                    <a:latin typeface="Raleway"/>
                    <a:cs typeface="Arial"/>
                  </a:rPr>
                  <a:pPr/>
                  <a:t>-41%</a:t>
                </a:fld>
                <a:endParaRPr lang="en-AU" sz="1100" b="1">
                  <a:latin typeface="Raleway" panose="020B0003030101060003" pitchFamily="34" charset="0"/>
                </a:endParaRPr>
              </a:p>
            </xdr:txBody>
          </xdr:sp>
          <xdr:sp macro="" textlink="#REF!">
            <xdr:nvSpPr>
              <xdr:cNvPr id="49" name="TextBox 48"/>
              <xdr:cNvSpPr txBox="1"/>
            </xdr:nvSpPr>
            <xdr:spPr>
              <a:xfrm>
                <a:off x="6177077" y="4987557"/>
                <a:ext cx="553885" cy="360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CB9419B-D20D-4150-AFF3-9E506C2F67C5}" type="TxLink">
                  <a:rPr lang="en-US" sz="900" b="1" i="0" u="none" strike="noStrike">
                    <a:solidFill>
                      <a:srgbClr val="000000"/>
                    </a:solidFill>
                    <a:latin typeface="Raleway"/>
                    <a:cs typeface="Arial"/>
                  </a:rPr>
                  <a:pPr/>
                  <a:t>-60%</a:t>
                </a:fld>
                <a:endParaRPr lang="en-AU" sz="1200" b="1">
                  <a:latin typeface="Raleway" panose="020B0003030101060003" pitchFamily="34" charset="0"/>
                </a:endParaRPr>
              </a:p>
            </xdr:txBody>
          </xdr:sp>
          <xdr:sp macro="" textlink="#REF!">
            <xdr:nvSpPr>
              <xdr:cNvPr id="50" name="TextBox 49"/>
              <xdr:cNvSpPr txBox="1"/>
            </xdr:nvSpPr>
            <xdr:spPr>
              <a:xfrm>
                <a:off x="6819696" y="5837915"/>
                <a:ext cx="640509" cy="329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24D656-FE23-4F52-84A0-A2071F931B68}" type="TxLink">
                  <a:rPr lang="en-US" sz="900" b="1" i="0" u="none" strike="noStrike">
                    <a:solidFill>
                      <a:srgbClr val="000000"/>
                    </a:solidFill>
                    <a:latin typeface="Raleway"/>
                    <a:cs typeface="Arial"/>
                  </a:rPr>
                  <a:pPr/>
                  <a:t>-4%</a:t>
                </a:fld>
                <a:endParaRPr lang="en-AU" sz="1200" b="1">
                  <a:latin typeface="Raleway" panose="020B0003030101060003" pitchFamily="34" charset="0"/>
                </a:endParaRPr>
              </a:p>
            </xdr:txBody>
          </xdr:sp>
          <xdr:sp macro="" textlink="#REF!">
            <xdr:nvSpPr>
              <xdr:cNvPr id="51" name="TextBox 50"/>
              <xdr:cNvSpPr txBox="1"/>
            </xdr:nvSpPr>
            <xdr:spPr>
              <a:xfrm>
                <a:off x="7439416" y="5572327"/>
                <a:ext cx="601725" cy="375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F588FE3-ED4E-4688-928F-9CFFCEF764F0}" type="TxLink">
                  <a:rPr lang="en-US" sz="900" b="1" i="0" u="none" strike="noStrike">
                    <a:solidFill>
                      <a:srgbClr val="000000"/>
                    </a:solidFill>
                    <a:latin typeface="Raleway"/>
                    <a:cs typeface="Arial"/>
                  </a:rPr>
                  <a:pPr/>
                  <a:t>-22%</a:t>
                </a:fld>
                <a:endParaRPr lang="en-AU" sz="1200" b="1">
                  <a:latin typeface="Raleway" panose="020B0003030101060003" pitchFamily="34" charset="0"/>
                </a:endParaRPr>
              </a:p>
            </xdr:txBody>
          </xdr:sp>
          <xdr:sp macro="" textlink="#REF!">
            <xdr:nvSpPr>
              <xdr:cNvPr id="52" name="TextBox 51"/>
              <xdr:cNvSpPr txBox="1"/>
            </xdr:nvSpPr>
            <xdr:spPr>
              <a:xfrm>
                <a:off x="8099223" y="5402328"/>
                <a:ext cx="525331" cy="352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4016DDC-282C-4183-B278-D0CD515ABE39}" type="TxLink">
                  <a:rPr lang="en-US" sz="900" b="1" i="0" u="none" strike="noStrike">
                    <a:solidFill>
                      <a:srgbClr val="000000"/>
                    </a:solidFill>
                    <a:latin typeface="Raleway"/>
                    <a:cs typeface="Arial"/>
                  </a:rPr>
                  <a:pPr/>
                  <a:t>-4%</a:t>
                </a:fld>
                <a:endParaRPr lang="en-AU" sz="1200" b="1">
                  <a:latin typeface="Raleway" panose="020B0003030101060003" pitchFamily="34" charset="0"/>
                </a:endParaRPr>
              </a:p>
            </xdr:txBody>
          </xdr:sp>
          <xdr:sp macro="" textlink="#REF!">
            <xdr:nvSpPr>
              <xdr:cNvPr id="53" name="TextBox 52"/>
              <xdr:cNvSpPr txBox="1"/>
            </xdr:nvSpPr>
            <xdr:spPr>
              <a:xfrm>
                <a:off x="8753948" y="5204128"/>
                <a:ext cx="518160" cy="2586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58BF7AC-6B0C-40F8-BE04-FC8AB9646ED2}" type="TxLink">
                  <a:rPr lang="en-US" sz="900" b="1" i="0" u="none" strike="noStrike">
                    <a:solidFill>
                      <a:srgbClr val="000000"/>
                    </a:solidFill>
                    <a:latin typeface="Raleway"/>
                    <a:cs typeface="Arial"/>
                  </a:rPr>
                  <a:pPr/>
                  <a:t>-3%</a:t>
                </a:fld>
                <a:endParaRPr lang="en-AU" sz="1200" b="1">
                  <a:latin typeface="Raleway" panose="020B0003030101060003" pitchFamily="34" charset="0"/>
                </a:endParaRPr>
              </a:p>
            </xdr:txBody>
          </xdr:sp>
        </xdr:grpSp>
        <xdr:sp macro="" textlink="">
          <xdr:nvSpPr>
            <xdr:cNvPr id="42" name="TextBox 41"/>
            <xdr:cNvSpPr txBox="1"/>
          </xdr:nvSpPr>
          <xdr:spPr>
            <a:xfrm>
              <a:off x="7914469" y="3820027"/>
              <a:ext cx="1005982" cy="442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rgbClr val="000000"/>
                  </a:solidFill>
                  <a:latin typeface="Raleway" panose="020B0003030101060003" pitchFamily="34" charset="0"/>
                  <a:cs typeface="Arial"/>
                </a:rPr>
                <a:t>to</a:t>
              </a:r>
              <a:r>
                <a:rPr lang="en-US" sz="900" b="0" i="0" u="none" strike="noStrike" baseline="0">
                  <a:solidFill>
                    <a:srgbClr val="000000"/>
                  </a:solidFill>
                  <a:latin typeface="Raleway" panose="020B0003030101060003" pitchFamily="34" charset="0"/>
                  <a:cs typeface="Arial"/>
                </a:rPr>
                <a:t> city </a:t>
              </a:r>
              <a:endParaRPr lang="en-US" sz="900" b="0" i="0" u="none" strike="noStrike">
                <a:solidFill>
                  <a:srgbClr val="000000"/>
                </a:solidFill>
                <a:latin typeface="Raleway" panose="020B0003030101060003" pitchFamily="34" charset="0"/>
                <a:cs typeface="Arial"/>
              </a:endParaRPr>
            </a:p>
          </xdr:txBody>
        </xdr:sp>
      </xdr:grpSp>
      <xdr:sp macro="" textlink="">
        <xdr:nvSpPr>
          <xdr:cNvPr id="38" name="Oval 37"/>
          <xdr:cNvSpPr/>
        </xdr:nvSpPr>
        <xdr:spPr>
          <a:xfrm>
            <a:off x="4305148" y="21518064"/>
            <a:ext cx="371490" cy="250945"/>
          </a:xfrm>
          <a:prstGeom prst="ellipse">
            <a:avLst/>
          </a:prstGeom>
          <a:solidFill>
            <a:srgbClr val="CC1F26">
              <a:alpha val="2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9" name="Oval 38"/>
          <xdr:cNvSpPr/>
        </xdr:nvSpPr>
        <xdr:spPr>
          <a:xfrm>
            <a:off x="4927999" y="21449880"/>
            <a:ext cx="376956" cy="267534"/>
          </a:xfrm>
          <a:prstGeom prst="ellipse">
            <a:avLst/>
          </a:prstGeom>
          <a:solidFill>
            <a:srgbClr val="CC1F26">
              <a:alpha val="2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0" name="Oval 39"/>
          <xdr:cNvSpPr/>
        </xdr:nvSpPr>
        <xdr:spPr>
          <a:xfrm>
            <a:off x="6206500" y="22017989"/>
            <a:ext cx="348754" cy="222678"/>
          </a:xfrm>
          <a:prstGeom prst="ellipse">
            <a:avLst/>
          </a:prstGeom>
          <a:solidFill>
            <a:srgbClr val="CC1F26">
              <a:alpha val="2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850899</xdr:colOff>
      <xdr:row>38</xdr:row>
      <xdr:rowOff>1510961</xdr:rowOff>
    </xdr:from>
    <xdr:to>
      <xdr:col>2</xdr:col>
      <xdr:colOff>766034</xdr:colOff>
      <xdr:row>38</xdr:row>
      <xdr:rowOff>2003600</xdr:rowOff>
    </xdr:to>
    <xdr:grpSp>
      <xdr:nvGrpSpPr>
        <xdr:cNvPr id="57" name="Group 56"/>
        <xdr:cNvGrpSpPr/>
      </xdr:nvGrpSpPr>
      <xdr:grpSpPr>
        <a:xfrm>
          <a:off x="1816099" y="8876961"/>
          <a:ext cx="2544035" cy="492639"/>
          <a:chOff x="1172479" y="24909940"/>
          <a:chExt cx="2276026" cy="471249"/>
        </a:xfrm>
      </xdr:grpSpPr>
      <xdr:sp macro="" textlink="">
        <xdr:nvSpPr>
          <xdr:cNvPr id="58" name="Oval 57"/>
          <xdr:cNvSpPr/>
        </xdr:nvSpPr>
        <xdr:spPr>
          <a:xfrm>
            <a:off x="1172479" y="24929178"/>
            <a:ext cx="249729" cy="260496"/>
          </a:xfrm>
          <a:prstGeom prst="ellips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9" name="Rectangle 58"/>
          <xdr:cNvSpPr/>
        </xdr:nvSpPr>
        <xdr:spPr>
          <a:xfrm>
            <a:off x="1867632" y="24911668"/>
            <a:ext cx="338619" cy="357790"/>
          </a:xfrm>
          <a:prstGeom prst="rect">
            <a:avLst/>
          </a:prstGeom>
          <a:noFill/>
        </xdr:spPr>
        <xdr:txBody>
          <a:bodyPr wrap="none" lIns="91440" tIns="45720" rIns="91440" bIns="45720">
            <a:spAutoFit/>
          </a:bodyPr>
          <a:lstStyle/>
          <a:p>
            <a:pPr algn="ctr"/>
            <a:r>
              <a:rPr lang="en-US" sz="1800" b="0" cap="none" spc="0">
                <a:ln w="19050">
                  <a:solidFill>
                    <a:schemeClr val="bg1"/>
                  </a:solidFill>
                </a:ln>
                <a:solidFill>
                  <a:schemeClr val="bg1"/>
                </a:solidFill>
                <a:effectLst/>
                <a:latin typeface="Arial" panose="020B0604020202020204" pitchFamily="34" charset="0"/>
                <a:cs typeface="Arial" panose="020B0604020202020204" pitchFamily="34" charset="0"/>
              </a:rPr>
              <a:t>B</a:t>
            </a:r>
          </a:p>
        </xdr:txBody>
      </xdr:sp>
      <xdr:sp macro="" textlink="">
        <xdr:nvSpPr>
          <xdr:cNvPr id="60" name="Rectangle 59"/>
          <xdr:cNvSpPr/>
        </xdr:nvSpPr>
        <xdr:spPr>
          <a:xfrm>
            <a:off x="2528641" y="24909940"/>
            <a:ext cx="325667" cy="251247"/>
          </a:xfrm>
          <a:prstGeom prst="rect">
            <a:avLst/>
          </a:prstGeom>
          <a:noFill/>
        </xdr:spPr>
        <xdr:txBody>
          <a:bodyPr wrap="none" lIns="91440" tIns="45720" rIns="91440" bIns="45720">
            <a:noAutofit/>
          </a:bodyPr>
          <a:lstStyle/>
          <a:p>
            <a:pPr algn="ctr"/>
            <a:r>
              <a:rPr lang="en-US" sz="1800" b="0" cap="none" spc="0">
                <a:ln w="19050">
                  <a:solidFill>
                    <a:schemeClr val="bg1"/>
                  </a:solidFill>
                </a:ln>
                <a:solidFill>
                  <a:schemeClr val="bg1"/>
                </a:solidFill>
                <a:effectLst/>
                <a:latin typeface="Arial" panose="020B0604020202020204" pitchFamily="34" charset="0"/>
                <a:cs typeface="Arial" panose="020B0604020202020204" pitchFamily="34" charset="0"/>
              </a:rPr>
              <a:t>F</a:t>
            </a:r>
          </a:p>
        </xdr:txBody>
      </xdr:sp>
      <xdr:sp macro="" textlink="">
        <xdr:nvSpPr>
          <xdr:cNvPr id="61" name="TextBox 60"/>
          <xdr:cNvSpPr txBox="1"/>
        </xdr:nvSpPr>
        <xdr:spPr>
          <a:xfrm>
            <a:off x="1369060" y="24953165"/>
            <a:ext cx="620059" cy="41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0" i="0" u="none" strike="noStrike">
                <a:solidFill>
                  <a:srgbClr val="000000"/>
                </a:solidFill>
                <a:latin typeface="Arial" panose="020B0604020202020204" pitchFamily="34" charset="0"/>
                <a:cs typeface="Arial" panose="020B0604020202020204" pitchFamily="34" charset="0"/>
              </a:rPr>
              <a:t>Trains</a:t>
            </a:r>
          </a:p>
        </xdr:txBody>
      </xdr:sp>
      <xdr:sp macro="" textlink="">
        <xdr:nvSpPr>
          <xdr:cNvPr id="62" name="TextBox 61"/>
          <xdr:cNvSpPr txBox="1"/>
        </xdr:nvSpPr>
        <xdr:spPr>
          <a:xfrm>
            <a:off x="2139332" y="24956154"/>
            <a:ext cx="620059" cy="41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0" i="0" u="none" strike="noStrike">
                <a:solidFill>
                  <a:srgbClr val="000000"/>
                </a:solidFill>
                <a:latin typeface="Arial" panose="020B0604020202020204" pitchFamily="34" charset="0"/>
                <a:cs typeface="Arial" panose="020B0604020202020204" pitchFamily="34" charset="0"/>
              </a:rPr>
              <a:t>Bus</a:t>
            </a:r>
          </a:p>
        </xdr:txBody>
      </xdr:sp>
      <xdr:sp macro="" textlink="">
        <xdr:nvSpPr>
          <xdr:cNvPr id="63" name="TextBox 62"/>
          <xdr:cNvSpPr txBox="1"/>
        </xdr:nvSpPr>
        <xdr:spPr>
          <a:xfrm>
            <a:off x="2828446" y="24962147"/>
            <a:ext cx="620059" cy="41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0" i="0" u="none" strike="noStrike">
                <a:solidFill>
                  <a:srgbClr val="000000"/>
                </a:solidFill>
                <a:latin typeface="Arial" panose="020B0604020202020204" pitchFamily="34" charset="0"/>
                <a:cs typeface="Arial" panose="020B0604020202020204" pitchFamily="34" charset="0"/>
              </a:rPr>
              <a:t>Ferry</a:t>
            </a:r>
          </a:p>
        </xdr:txBody>
      </xdr:sp>
    </xdr:grpSp>
    <xdr:clientData/>
  </xdr:twoCellAnchor>
  <xdr:twoCellAnchor>
    <xdr:from>
      <xdr:col>7</xdr:col>
      <xdr:colOff>128196</xdr:colOff>
      <xdr:row>17</xdr:row>
      <xdr:rowOff>88899</xdr:rowOff>
    </xdr:from>
    <xdr:to>
      <xdr:col>10</xdr:col>
      <xdr:colOff>672054</xdr:colOff>
      <xdr:row>39</xdr:row>
      <xdr:rowOff>50800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xdr:col>
      <xdr:colOff>838200</xdr:colOff>
      <xdr:row>38</xdr:row>
      <xdr:rowOff>1498601</xdr:rowOff>
    </xdr:from>
    <xdr:ext cx="301188" cy="345714"/>
    <xdr:sp macro="" textlink="">
      <xdr:nvSpPr>
        <xdr:cNvPr id="65" name="Rectangle 64"/>
        <xdr:cNvSpPr/>
      </xdr:nvSpPr>
      <xdr:spPr>
        <a:xfrm>
          <a:off x="1803400" y="8864601"/>
          <a:ext cx="301188" cy="345714"/>
        </a:xfrm>
        <a:prstGeom prst="rect">
          <a:avLst/>
        </a:prstGeom>
        <a:noFill/>
      </xdr:spPr>
      <xdr:txBody>
        <a:bodyPr wrap="none" lIns="91440" tIns="45720" rIns="91440" bIns="45720">
          <a:noAutofit/>
        </a:bodyPr>
        <a:lstStyle/>
        <a:p>
          <a:pPr algn="ctr"/>
          <a:r>
            <a:rPr lang="en-US" sz="1800" b="0" cap="none" spc="0">
              <a:ln w="19050">
                <a:solidFill>
                  <a:schemeClr val="bg1"/>
                </a:solidFill>
              </a:ln>
              <a:solidFill>
                <a:schemeClr val="bg1"/>
              </a:solidFill>
              <a:effectLst/>
              <a:latin typeface="Arial" panose="020B0604020202020204" pitchFamily="34" charset="0"/>
              <a:cs typeface="Arial" panose="020B0604020202020204" pitchFamily="34" charset="0"/>
            </a:rPr>
            <a:t>T</a:t>
          </a:r>
        </a:p>
      </xdr:txBody>
    </xdr:sp>
    <xdr:clientData/>
  </xdr:oneCellAnchor>
  <xdr:twoCellAnchor editAs="oneCell">
    <xdr:from>
      <xdr:col>1</xdr:col>
      <xdr:colOff>0</xdr:colOff>
      <xdr:row>1</xdr:row>
      <xdr:rowOff>0</xdr:rowOff>
    </xdr:from>
    <xdr:to>
      <xdr:col>1</xdr:col>
      <xdr:colOff>2327809</xdr:colOff>
      <xdr:row>5</xdr:row>
      <xdr:rowOff>26247</xdr:rowOff>
    </xdr:to>
    <xdr:pic>
      <xdr:nvPicPr>
        <xdr:cNvPr id="54" name="Picture 53">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8640" y="182880"/>
          <a:ext cx="2325269" cy="960967"/>
        </a:xfrm>
        <a:prstGeom prst="rect">
          <a:avLst/>
        </a:prstGeom>
      </xdr:spPr>
    </xdr:pic>
    <xdr:clientData/>
  </xdr:twoCellAnchor>
</xdr:wsDr>
</file>

<file path=xl/theme/theme1.xml><?xml version="1.0" encoding="utf-8"?>
<a:theme xmlns:a="http://schemas.openxmlformats.org/drawingml/2006/main" name="iPart">
  <a:themeElements>
    <a:clrScheme name="iPart">
      <a:dk1>
        <a:srgbClr val="212122"/>
      </a:dk1>
      <a:lt1>
        <a:sysClr val="window" lastClr="FFFFFF"/>
      </a:lt1>
      <a:dk2>
        <a:srgbClr val="007BC4"/>
      </a:dk2>
      <a:lt2>
        <a:srgbClr val="A0A09A"/>
      </a:lt2>
      <a:accent1>
        <a:srgbClr val="194787"/>
      </a:accent1>
      <a:accent2>
        <a:srgbClr val="00AEEF"/>
      </a:accent2>
      <a:accent3>
        <a:srgbClr val="48B749"/>
      </a:accent3>
      <a:accent4>
        <a:srgbClr val="F78D1E"/>
      </a:accent4>
      <a:accent5>
        <a:srgbClr val="CC1F26"/>
      </a:accent5>
      <a:accent6>
        <a:srgbClr val="8E4399"/>
      </a:accent6>
      <a:hlink>
        <a:srgbClr val="0000FF"/>
      </a:hlink>
      <a:folHlink>
        <a:srgbClr val="800080"/>
      </a:folHlink>
    </a:clrScheme>
    <a:fontScheme name="iPart">
      <a:majorFont>
        <a:latin typeface="Book Antiqua"/>
        <a:ea typeface=""/>
        <a:cs typeface=""/>
      </a:majorFont>
      <a:minorFont>
        <a:latin typeface="Book Antiqu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iPart" id="{5B29015D-EA79-45B6-9D51-0920F8122064}" vid="{EB9EA9A6-3ABD-45FF-A322-72402604B089}"/>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www.ipart.nsw.gov.au/files/sharedassets/website/shared-files/investigation-compliance-monitoring-transport-publications-fare-for-opal-services-201819/compliance-statement-2018-19-fares-for-opal-services.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rt.nsw.gov.au/files/3c8a3023-136c-4f5a-aae4-a29200d3471d/Compliance_Statement_-_Fares_for_CityRail_Sydney_Ferries_and_Metropolitan_and_Outer_Metropolitan_Bus_services_from_January_2014.pd" TargetMode="External"/><Relationship Id="rId13" Type="http://schemas.openxmlformats.org/officeDocument/2006/relationships/hyperlink" Target="https://www.ipart.nsw.gov.au/files/sharedassets/website/trimholdingbay/compliance_statement_-_withdrawing_paper_tickets_from_january_2016.pdf" TargetMode="External"/><Relationship Id="rId18" Type="http://schemas.openxmlformats.org/officeDocument/2006/relationships/hyperlink" Target="https://www.ipart.nsw.gov.au/files/sharedassets/website/trimholdingbay/fact_sheet_-_review_of_fares_for_metropolitan_and_outer_metropolitan_bus_services_from_january_2010_-_december_2009_-_website_document.pdf" TargetMode="External"/><Relationship Id="rId26" Type="http://schemas.openxmlformats.org/officeDocument/2006/relationships/hyperlink" Target="https://www.ipart.nsw.gov.au/files/sharedassets/website/trimholdingbay/compliance_statement_for_cityrail_sydney_ferries_metro_and_outer_metro_bus_services_from_january_2013.pdf" TargetMode="External"/><Relationship Id="rId3" Type="http://schemas.openxmlformats.org/officeDocument/2006/relationships/hyperlink" Target="https://www.ipart.nsw.gov.au/files/sharedassets/website/shared-files/investigation-compliance-monitoring-transport-publications-opal-fares-compliance-201718/compliance-statement-201718-fares-for-opal-services-june-2017.pdf" TargetMode="External"/><Relationship Id="rId21" Type="http://schemas.openxmlformats.org/officeDocument/2006/relationships/hyperlink" Target="https://www.ipart.nsw.gov.au/files/sharedassets/website/trimholdingbay/fact_sheet_-_review_of_fares_for_metropolitan_and_outer_metropolitan_bus_services_from_january_2010_-_december_2009_-_website_document.pdf" TargetMode="External"/><Relationship Id="rId34" Type="http://schemas.openxmlformats.org/officeDocument/2006/relationships/hyperlink" Target="https://www.ipart.nsw.gov.au/files/sharedassets/website/trimholdingbay/compliance_statement_for_cityrail_sydney_ferries_metro_and_outer_metro_bus_services_from_january_2013.pdf" TargetMode="External"/><Relationship Id="rId7" Type="http://schemas.openxmlformats.org/officeDocument/2006/relationships/hyperlink" Target="https://www.ipart.nsw.gov.au/files/3c8a3023-136c-4f5a-aae4-a29200d3471d/Compliance_Statement_-_Fares_for_CityRail_Sydney_Ferries_and_Metropolitan_and_Outer_Metropolitan_Bus_services_from_January_2014.pd" TargetMode="External"/><Relationship Id="rId12" Type="http://schemas.openxmlformats.org/officeDocument/2006/relationships/hyperlink" Target="https://www.ipart.nsw.gov.au/files/sharedassets/website/trimholdingbay/compliance_statement_-_withdrawing_paper_tickets_from_january_2016.pdf" TargetMode="External"/><Relationship Id="rId17" Type="http://schemas.openxmlformats.org/officeDocument/2006/relationships/hyperlink" Target="https://www.ipart.nsw.gov.au/files/sharedassets/website/trimholdingbay/ipart_statement_on_myzone_public_transport_fare_changes_-_1_april_2010.pdf" TargetMode="External"/><Relationship Id="rId25" Type="http://schemas.openxmlformats.org/officeDocument/2006/relationships/hyperlink" Target="https://www.ipart.nsw.gov.au/files/sharedassets/website/trimholdingbay/final_report_-_cityrail_and_metro_bus_prices_and_services_report_2011_-_december_2011.pdf" TargetMode="External"/><Relationship Id="rId33" Type="http://schemas.openxmlformats.org/officeDocument/2006/relationships/hyperlink" Target="https://www.ipart.nsw.gov.au/files/sharedassets/website/trimholdingbay/compliance_statement_-_fares_for_cityrail_sydney_ferries_and_metropolitan_and_outer_metropolitan_bus_services_-_august_2014.pdf" TargetMode="External"/><Relationship Id="rId38" Type="http://schemas.openxmlformats.org/officeDocument/2006/relationships/drawing" Target="../drawings/drawing16.xml"/><Relationship Id="rId2" Type="http://schemas.openxmlformats.org/officeDocument/2006/relationships/hyperlink" Target="https://www.ipart.nsw.gov.au/files/sharedassets/website/shared-files/pricing-reviews-compliance-publications-opal-fares-compliance-201617/qa_of_transport_nsw_pricing_proposal_-_frontier_economics.pdf" TargetMode="External"/><Relationship Id="rId16" Type="http://schemas.openxmlformats.org/officeDocument/2006/relationships/hyperlink" Target="https://www.ipart.nsw.gov.au/files/sharedassets/website/trimholdingbay/ipart_statement_on_myzone_public_transport_fare_changes_-_1_april_2010.pdf" TargetMode="External"/><Relationship Id="rId20" Type="http://schemas.openxmlformats.org/officeDocument/2006/relationships/hyperlink" Target="https://www.ipart.nsw.gov.au/files/sharedassets/website/trimholdingbay/final_report_-_cityrail_prices_and_services_report_2009_-_december_2009_-_website_version.pdf" TargetMode="External"/><Relationship Id="rId29" Type="http://schemas.openxmlformats.org/officeDocument/2006/relationships/hyperlink" Target="https://www.ipart.nsw.gov.au/files/sharedassets/website/trimholdingbay/compliance_statement_-_fares_for_cityrail_sydney_ferries_and_metropolitan_and_outer_metropolitan_bus_services_-_august_2014.pdf" TargetMode="External"/><Relationship Id="rId1" Type="http://schemas.openxmlformats.org/officeDocument/2006/relationships/hyperlink" Target="https://www.ipart.nsw.gov.au/files/sharedassets/website/shared-files/investigation-compliance-monitoring-transport-publications-opal-fares-compliance-201718/compliance-statement-201718-fares-for-opal-services-june-2017.pdf" TargetMode="External"/><Relationship Id="rId6" Type="http://schemas.openxmlformats.org/officeDocument/2006/relationships/hyperlink" Target="https://www.ipart.nsw.gov.au/files/sharedassets/website/shared-files/investigation-compliance-monitoring-transport-publications-opal-fares-compliance-201718/compliance-statement-201718-fares-for-opal-services-june-2017.pdf" TargetMode="External"/><Relationship Id="rId11" Type="http://schemas.openxmlformats.org/officeDocument/2006/relationships/hyperlink" Target="https://www.ipart.nsw.gov.au/files/sharedassets/website/shared-files/pricing-reviews-compliance-publications-opal-fares-compliance-201617/qa_of_transport_nsw_pricing_proposal_-_frontier_economics.pdf" TargetMode="External"/><Relationship Id="rId24" Type="http://schemas.openxmlformats.org/officeDocument/2006/relationships/hyperlink" Target="https://www.ipart.nsw.gov.au/files/sharedassets/website/trimholdingbay/final_report_-_cityrail_prices_and_services_report_2009_-_december_2009_-_website_version.pdf" TargetMode="External"/><Relationship Id="rId32" Type="http://schemas.openxmlformats.org/officeDocument/2006/relationships/hyperlink" Target="https://www.ipart.nsw.gov.au/files/3c8a3023-136c-4f5a-aae4-a29200d3471d/Compliance_Statement_-_Fares_for_CityRail_Sydney_Ferries_and_Metropolitan_and_Outer_Metropolitan_Bus_services_from_January_2014.pdf" TargetMode="External"/><Relationship Id="rId37" Type="http://schemas.openxmlformats.org/officeDocument/2006/relationships/printerSettings" Target="../printerSettings/printerSettings14.bin"/><Relationship Id="rId5" Type="http://schemas.openxmlformats.org/officeDocument/2006/relationships/hyperlink" Target="https://www.ipart.nsw.gov.au/files/sharedassets/website/shared-files/investigation-compliance-monitoring-transport-publications-fare-for-opal-services-201819/compliance-statement-2018-19-fares-for-opal-services.pdf" TargetMode="External"/><Relationship Id="rId15" Type="http://schemas.openxmlformats.org/officeDocument/2006/relationships/hyperlink" Target="https://www.transport.nsw.gov.au/newsroom-and-events/media-releases/public-transport-fare-rise-half-iparts-recommendation" TargetMode="External"/><Relationship Id="rId23" Type="http://schemas.openxmlformats.org/officeDocument/2006/relationships/hyperlink" Target="https://www.ipart.nsw.gov.au/files/sharedassets/website/trimholdingbay/final_report_-_cityrail_prices_and_services_report_2009_-_december_2009_-_website_version.pdf" TargetMode="External"/><Relationship Id="rId28" Type="http://schemas.openxmlformats.org/officeDocument/2006/relationships/hyperlink" Target="https://www.ipart.nsw.gov.au/files/sharedassets/website/trimholdingbay/compliance_statement_-_fares_for_cityrail_sydney_ferries_and_metropolitan_and_outer_metropolitan_bus_services_-_august_2014.pdf" TargetMode="External"/><Relationship Id="rId36" Type="http://schemas.openxmlformats.org/officeDocument/2006/relationships/hyperlink" Target="https://www.ipart.nsw.gov.au/files/sharedassets/website/trimholdingbay/compliance_statement_-_fares_for_cityrail_sydney_ferries_and_metropolitan_and_outer_metropolitan_bus_services_-_august_2014.pdf" TargetMode="External"/><Relationship Id="rId10" Type="http://schemas.openxmlformats.org/officeDocument/2006/relationships/hyperlink" Target="https://www.ipart.nsw.gov.au/files/sharedassets/website/trimholdingbay/compliance_statement_for_cityrail_sydney_ferries_metro_and_outer_metro_bus_services_from_january_2013.pdf" TargetMode="External"/><Relationship Id="rId19" Type="http://schemas.openxmlformats.org/officeDocument/2006/relationships/hyperlink" Target="https://www.ipart.nsw.gov.au/files/sharedassets/website/trimholdingbay/fact_sheet_-_review_of_fares_for_metropolitan_and_outer_metropolitan_bus_services_from_january_2010_-_december_2009_-_website_document.pdf" TargetMode="External"/><Relationship Id="rId31" Type="http://schemas.openxmlformats.org/officeDocument/2006/relationships/hyperlink" Target="https://www.ipart.nsw.gov.au/files/sharedassets/website/trimholdingbay/final_report_-_cityrail_and_metro_bus_prices_and_services_report_2011_-_december_2011.pdf" TargetMode="External"/><Relationship Id="rId4" Type="http://schemas.openxmlformats.org/officeDocument/2006/relationships/hyperlink" Target="https://www.ipart.nsw.gov.au/files/sharedassets/website/shared-files/pricing-reviews-compliance-publications-opal-fares-compliance-201617/qa_of_transport_nsw_pricing_proposal_-_frontier_economics.pdf" TargetMode="External"/><Relationship Id="rId9" Type="http://schemas.openxmlformats.org/officeDocument/2006/relationships/hyperlink" Target="https://www.transport.nsw.gov.au/newsroom-and-events/media-releases/public-transport-fare-rise-half-iparts-recommendation" TargetMode="External"/><Relationship Id="rId14" Type="http://schemas.openxmlformats.org/officeDocument/2006/relationships/hyperlink" Target="https://www.ipart.nsw.gov.au/files/sharedassets/website/trimholdingbay/compliance_statement_for_cityrail_sydney_ferries_metro_and_outer_metro_bus_services_from_january_2013.pdf" TargetMode="External"/><Relationship Id="rId22" Type="http://schemas.openxmlformats.org/officeDocument/2006/relationships/hyperlink" Target="https://www.ipart.nsw.gov.au/files/sharedassets/website/trimholdingbay/final_report_-_cityrail_and_metro_bus_prices_and_services_report_2011_-_december_2011.pdf" TargetMode="External"/><Relationship Id="rId27" Type="http://schemas.openxmlformats.org/officeDocument/2006/relationships/hyperlink" Target="https://www.ipart.nsw.gov.au/files/3c8a3023-136c-4f5a-aae4-a29200d3471d/Compliance_Statement_-_Fares_for_CityRail_Sydney_Ferries_and_Metropolitan_and_Outer_Metropolitan_Bus_services_from_January_2014.pd" TargetMode="External"/><Relationship Id="rId30" Type="http://schemas.openxmlformats.org/officeDocument/2006/relationships/hyperlink" Target="https://www.ipart.nsw.gov.au/files/sharedassets/website/trimholdingbay/fact_sheet_-_review_of_fares_for_metropolitan_and_outer_metropolitan_bus_services_from_january_2010_-_december_2009_-_website_document.pdf" TargetMode="External"/><Relationship Id="rId35" Type="http://schemas.openxmlformats.org/officeDocument/2006/relationships/hyperlink" Target="https://www.ipart.nsw.gov.au/files/3c8a3023-136c-4f5a-aae4-a29200d3471d/Compliance_Statement_-_Fares_for_CityRail_Sydney_Ferries_and_Metropolitan_and_Outer_Metropolitan_Bus_services_from_January_2014.pdf"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opendata.transport.nsw.gov.au/dataset/peak-train-load-estimates" TargetMode="External"/><Relationship Id="rId13" Type="http://schemas.openxmlformats.org/officeDocument/2006/relationships/hyperlink" Target="https://www.budget.nsw.gov.au/sites/default/files/budget-2018-06/Budget_Paper_2-Infrastructure%20Statement-Budget_201819.pdf" TargetMode="External"/><Relationship Id="rId18" Type="http://schemas.openxmlformats.org/officeDocument/2006/relationships/hyperlink" Target="https://www.ipart.nsw.gov.au/files/sharedassets/website/shared-files/investigation-compliance-monitoring-transport-publications-fares-for-opal-services-201920/compliance-statement-opal-fares-201920.pdf" TargetMode="External"/><Relationship Id="rId3" Type="http://schemas.openxmlformats.org/officeDocument/2006/relationships/hyperlink" Target="https://future.transport.nsw.gov.au/sites/default/files/media/documents/2018/Future_Transport_2056_Strategy.pdf" TargetMode="External"/><Relationship Id="rId21" Type="http://schemas.openxmlformats.org/officeDocument/2006/relationships/hyperlink" Target="https://www.ipart.nsw.gov.au/files/sharedassets/website/trimholdingbay/final_report_-_review_of_cityrail_fares_2009-2012_-_december_2008_-_website_document.pdf" TargetMode="External"/><Relationship Id="rId7" Type="http://schemas.openxmlformats.org/officeDocument/2006/relationships/hyperlink" Target="https://www.transport.nsw.gov.au/data-and-research/passenger-travel/all-modes-patronage-historical/all-modes-historical-patronage" TargetMode="External"/><Relationship Id="rId12" Type="http://schemas.openxmlformats.org/officeDocument/2006/relationships/hyperlink" Target="https://www.planning.nsw.gov.au/-/media/Files/DPE/Other/nsw-state-and-local-government-area-household-and-implied-dwelling-projections-2016-2017-09.xlsx?la=en" TargetMode="External"/><Relationship Id="rId17" Type="http://schemas.openxmlformats.org/officeDocument/2006/relationships/hyperlink" Target="https://www.transport.nsw.gov.au/system/files/media/documents/2019/M1574_Combined_Customer_Satisfaction_Index%20accessible.pdf" TargetMode="External"/><Relationship Id="rId25" Type="http://schemas.openxmlformats.org/officeDocument/2006/relationships/drawing" Target="../drawings/drawing2.xml"/><Relationship Id="rId2" Type="http://schemas.openxmlformats.org/officeDocument/2006/relationships/hyperlink" Target="https://www.transport.nsw.gov.au/projects/more-trains-more-services" TargetMode="External"/><Relationship Id="rId16" Type="http://schemas.openxmlformats.org/officeDocument/2006/relationships/hyperlink" Target="https://www.ipart.nsw.gov.au/files/sharedassets/website/trimholdingbay/final_report_and_determination_-_review_of_fares_for_private_ferry_services_and_the_stockton_ferry_service_for_2010_-_december_2009.pdf" TargetMode="External"/><Relationship Id="rId20" Type="http://schemas.openxmlformats.org/officeDocument/2006/relationships/hyperlink" Target="https://www.ipart.nsw.gov.au/files/sharedassets/website/trimholdingbay/final_report_-_review_of_fares_for_sydney_ferries_in_nsw_-_from_2_january_2007.pdf" TargetMode="External"/><Relationship Id="rId1" Type="http://schemas.openxmlformats.org/officeDocument/2006/relationships/hyperlink" Target="https://www.nsw.gov.au/news-and-events/news/thousands-of-extra-weekly-bus-services-for-nsw/" TargetMode="External"/><Relationship Id="rId6" Type="http://schemas.openxmlformats.org/officeDocument/2006/relationships/hyperlink" Target="https://www.ipart.nsw.gov.au/files/sharedassets/website/shared-files/investigation-compliance-monitoring-transport-publications-fare-for-opal-services-201819/compliance-statement-2018-19-fares-for-opal-services.pdf" TargetMode="External"/><Relationship Id="rId11" Type="http://schemas.openxmlformats.org/officeDocument/2006/relationships/hyperlink" Target="https://quickstats.censusdata.abs.gov.au/census_services/getproduct/census/2016/quickstat/1?opendocument" TargetMode="External"/><Relationship Id="rId24" Type="http://schemas.openxmlformats.org/officeDocument/2006/relationships/printerSettings" Target="../printerSettings/printerSettings2.bin"/><Relationship Id="rId5" Type="http://schemas.openxmlformats.org/officeDocument/2006/relationships/hyperlink" Target="https://future.transport.nsw.gov.au/sites/default/files/media/documents/2018/Future_Transport_2056_Strategy.pdf" TargetMode="External"/><Relationship Id="rId15" Type="http://schemas.openxmlformats.org/officeDocument/2006/relationships/hyperlink" Target="https://www.budget.nsw.gov.au/sites/default/files/budget-2018-06/6._Expenditure-BP1-Budget_201819.pdf" TargetMode="External"/><Relationship Id="rId23" Type="http://schemas.openxmlformats.org/officeDocument/2006/relationships/hyperlink" Target="https://www.transport.nsw.gov.au/sites/default/files/media/documents/2017/Train%20Statistics%202014.pdf" TargetMode="External"/><Relationship Id="rId10" Type="http://schemas.openxmlformats.org/officeDocument/2006/relationships/hyperlink" Target="https://www.budget.nsw.gov.au/sites/default/files/budget-2018-06/Appendices-A1-BP1-Budget_201819_0.pdf" TargetMode="External"/><Relationship Id="rId19" Type="http://schemas.openxmlformats.org/officeDocument/2006/relationships/hyperlink" Target="https://transportnsw.info/tickets-opal/opal/fares-payments/adult-fares" TargetMode="External"/><Relationship Id="rId4" Type="http://schemas.openxmlformats.org/officeDocument/2006/relationships/hyperlink" Target="https://transportnsw.info/metro" TargetMode="External"/><Relationship Id="rId9" Type="http://schemas.openxmlformats.org/officeDocument/2006/relationships/hyperlink" Target="https://www.transport.nsw.gov.au/data-and-research/passenger-travel/sydney-trains-and-nsw-trainlink-intercity-performance-reports" TargetMode="External"/><Relationship Id="rId14" Type="http://schemas.openxmlformats.org/officeDocument/2006/relationships/hyperlink" Target="https://www.budget.nsw.gov.au/my-budget" TargetMode="External"/><Relationship Id="rId22" Type="http://schemas.openxmlformats.org/officeDocument/2006/relationships/hyperlink" Target="https://www.ipart.nsw.gov.au/files/sharedassets/website/trimholdingbay/final_report_and_determination_-_review_of_fares_for_metropolitan_and_outer_metropolitan_bus_services_for_200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budget.nsw.gov.au/sites/default/files/budget-2018-06/6._Expenditure-BP1-Budget_201819.pdf" TargetMode="External"/><Relationship Id="rId7" Type="http://schemas.openxmlformats.org/officeDocument/2006/relationships/hyperlink" Target="https://www.budget.nsw.gov.au/sites/default/files/budget-2018-06/6._Expenditure-BP1-Budget_201819.pdf" TargetMode="External"/><Relationship Id="rId2" Type="http://schemas.openxmlformats.org/officeDocument/2006/relationships/hyperlink" Target="https://www.budget.nsw.gov.au/sites/default/files/budget-2018-06/Appendices-A1-BP1-Budget_201819_0.pdf" TargetMode="External"/><Relationship Id="rId1" Type="http://schemas.openxmlformats.org/officeDocument/2006/relationships/hyperlink" Target="https://www.budget.nsw.gov.au/sites/default/files/budget-2018-06/Budget_Paper_2-Infrastructure%20Statement-Budget_201819.pdf" TargetMode="External"/><Relationship Id="rId6" Type="http://schemas.openxmlformats.org/officeDocument/2006/relationships/hyperlink" Target="https://www.planning.nsw.gov.au/-/media/Files/DPE/Other/nsw-state-and-local-government-area-household-and-implied-dwelling-projections-2016-2017-09.xlsx?la=en" TargetMode="External"/><Relationship Id="rId5" Type="http://schemas.openxmlformats.org/officeDocument/2006/relationships/hyperlink" Target="https://quickstats.censusdata.abs.gov.au/census_services/getproduct/census/2016/quickstat/1?opendocument" TargetMode="External"/><Relationship Id="rId4" Type="http://schemas.openxmlformats.org/officeDocument/2006/relationships/hyperlink" Target="https://www.budget.nsw.gov.au/my-budget"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32"/>
  <sheetViews>
    <sheetView showGridLines="0" tabSelected="1" zoomScale="75" zoomScaleNormal="75" workbookViewId="0"/>
  </sheetViews>
  <sheetFormatPr defaultColWidth="10.28515625" defaultRowHeight="12" x14ac:dyDescent="0.2"/>
  <cols>
    <col min="1" max="1" width="14.42578125" style="381" customWidth="1"/>
    <col min="2" max="2" width="39.42578125" style="2" customWidth="1"/>
    <col min="3" max="3" width="18.7109375" style="2" customWidth="1"/>
    <col min="4" max="4" width="61" style="2" customWidth="1"/>
    <col min="5" max="16384" width="10.28515625" style="2"/>
  </cols>
  <sheetData>
    <row r="1" spans="2:19" s="352" customFormat="1" ht="18.600000000000001" customHeight="1" x14ac:dyDescent="0.2"/>
    <row r="2" spans="2:19" s="352" customFormat="1" ht="18.600000000000001" customHeight="1" x14ac:dyDescent="0.2"/>
    <row r="3" spans="2:19" s="352" customFormat="1" ht="18.600000000000001" customHeight="1" x14ac:dyDescent="0.2">
      <c r="E3" s="83"/>
      <c r="F3" s="28"/>
      <c r="G3" s="28"/>
      <c r="H3" s="28"/>
      <c r="I3" s="28"/>
      <c r="J3" s="28"/>
      <c r="K3" s="28"/>
      <c r="L3" s="28"/>
      <c r="M3" s="28"/>
      <c r="N3" s="28"/>
      <c r="O3" s="28"/>
      <c r="P3" s="28"/>
      <c r="Q3" s="28"/>
      <c r="R3" s="28"/>
      <c r="S3" s="28"/>
    </row>
    <row r="4" spans="2:19" s="352" customFormat="1" ht="18.600000000000001" customHeight="1" x14ac:dyDescent="0.2">
      <c r="E4" s="28"/>
      <c r="F4" s="28"/>
      <c r="G4" s="28"/>
      <c r="H4" s="28"/>
      <c r="I4" s="28"/>
      <c r="J4" s="28"/>
      <c r="K4" s="28"/>
      <c r="L4" s="28"/>
      <c r="M4" s="28"/>
      <c r="N4" s="28"/>
      <c r="O4" s="28"/>
      <c r="P4" s="28"/>
      <c r="Q4" s="28"/>
      <c r="R4" s="28"/>
      <c r="S4" s="28"/>
    </row>
    <row r="5" spans="2:19" s="679" customFormat="1" ht="18.600000000000001" customHeight="1" x14ac:dyDescent="0.2">
      <c r="E5" s="28"/>
      <c r="F5" s="28"/>
      <c r="G5" s="28"/>
      <c r="H5" s="28"/>
      <c r="I5" s="28"/>
      <c r="J5" s="28"/>
      <c r="K5" s="28"/>
      <c r="L5" s="28"/>
      <c r="M5" s="28"/>
      <c r="N5" s="28"/>
      <c r="O5" s="28"/>
      <c r="P5" s="28"/>
      <c r="Q5" s="28"/>
      <c r="R5" s="28"/>
      <c r="S5" s="28"/>
    </row>
    <row r="6" spans="2:19" s="352" customFormat="1" ht="18.600000000000001" customHeight="1" x14ac:dyDescent="0.2">
      <c r="E6" s="28"/>
      <c r="F6" s="28"/>
      <c r="G6" s="28"/>
      <c r="H6" s="28"/>
      <c r="I6" s="28"/>
      <c r="J6" s="28"/>
      <c r="K6" s="369"/>
      <c r="L6" s="28"/>
      <c r="M6" s="28"/>
      <c r="N6" s="28"/>
      <c r="O6" s="28"/>
      <c r="P6" s="28"/>
      <c r="Q6" s="28"/>
      <c r="R6" s="28"/>
      <c r="S6" s="28"/>
    </row>
    <row r="7" spans="2:19" s="352" customFormat="1" ht="18.600000000000001" customHeight="1" x14ac:dyDescent="0.2">
      <c r="E7" s="28"/>
      <c r="F7" s="28"/>
      <c r="G7" s="28"/>
      <c r="H7" s="28"/>
      <c r="I7" s="28"/>
      <c r="J7" s="28"/>
      <c r="K7" s="369"/>
      <c r="L7" s="28"/>
      <c r="M7" s="28"/>
      <c r="N7" s="28"/>
      <c r="O7" s="28"/>
      <c r="P7" s="28"/>
      <c r="Q7" s="28"/>
      <c r="R7" s="28"/>
      <c r="S7" s="28"/>
    </row>
    <row r="8" spans="2:19" ht="18.600000000000001" customHeight="1" x14ac:dyDescent="0.2">
      <c r="D8" s="86"/>
    </row>
    <row r="9" spans="2:19" ht="18.600000000000001" customHeight="1" x14ac:dyDescent="0.2">
      <c r="D9" s="86"/>
    </row>
    <row r="10" spans="2:19" ht="18.600000000000001" customHeight="1" x14ac:dyDescent="0.2">
      <c r="D10" s="86"/>
      <c r="F10" s="89"/>
    </row>
    <row r="11" spans="2:19" s="268" customFormat="1" ht="18.600000000000001" customHeight="1" x14ac:dyDescent="0.3">
      <c r="B11" s="382" t="s">
        <v>924</v>
      </c>
      <c r="E11" s="76"/>
      <c r="F11" s="76"/>
      <c r="G11" s="76"/>
      <c r="H11" s="76"/>
      <c r="I11" s="76"/>
      <c r="J11" s="76"/>
      <c r="K11" s="269"/>
      <c r="L11" s="76"/>
      <c r="M11" s="76"/>
      <c r="N11" s="76"/>
      <c r="O11" s="76"/>
      <c r="P11" s="76"/>
      <c r="Q11" s="76"/>
      <c r="R11" s="76"/>
      <c r="S11" s="76"/>
    </row>
    <row r="12" spans="2:19" s="77" customFormat="1" ht="18.600000000000001" customHeight="1" x14ac:dyDescent="0.3">
      <c r="C12" s="383"/>
    </row>
    <row r="13" spans="2:19" s="384" customFormat="1" ht="15.75" customHeight="1" x14ac:dyDescent="0.2">
      <c r="D13" s="90"/>
    </row>
    <row r="14" spans="2:19" ht="29.25" customHeight="1" x14ac:dyDescent="0.2">
      <c r="D14" s="86"/>
    </row>
    <row r="15" spans="2:19" ht="29.25" customHeight="1" x14ac:dyDescent="0.2">
      <c r="D15" s="86"/>
    </row>
    <row r="16" spans="2:19" ht="25.9" customHeight="1" x14ac:dyDescent="0.2">
      <c r="B16" s="1214"/>
      <c r="C16" s="1215"/>
      <c r="D16" s="1215"/>
    </row>
    <row r="17" spans="2:4" ht="19.899999999999999" customHeight="1" x14ac:dyDescent="0.2">
      <c r="B17" s="1159" t="s">
        <v>410</v>
      </c>
      <c r="C17" s="87"/>
      <c r="D17" s="88" t="s">
        <v>984</v>
      </c>
    </row>
    <row r="18" spans="2:4" ht="48.6" customHeight="1" x14ac:dyDescent="0.2">
      <c r="B18" s="1159" t="s">
        <v>926</v>
      </c>
      <c r="C18" s="87"/>
      <c r="D18" s="1212" t="s">
        <v>993</v>
      </c>
    </row>
    <row r="19" spans="2:4" ht="42" customHeight="1" x14ac:dyDescent="0.2">
      <c r="B19" s="1213" t="s">
        <v>415</v>
      </c>
      <c r="C19" s="98"/>
      <c r="D19" s="99" t="s">
        <v>416</v>
      </c>
    </row>
    <row r="20" spans="2:4" ht="49.15" customHeight="1" x14ac:dyDescent="0.2">
      <c r="B20" s="1320" t="s">
        <v>411</v>
      </c>
      <c r="C20" s="91"/>
      <c r="D20" s="92" t="s">
        <v>412</v>
      </c>
    </row>
    <row r="21" spans="2:4" ht="78" customHeight="1" x14ac:dyDescent="0.2">
      <c r="B21" s="1321"/>
      <c r="C21" s="93"/>
      <c r="D21" s="94" t="s">
        <v>413</v>
      </c>
    </row>
    <row r="22" spans="2:4" ht="38.25" x14ac:dyDescent="0.2">
      <c r="B22" s="95" t="s">
        <v>927</v>
      </c>
      <c r="C22" s="96"/>
      <c r="D22" s="97" t="s">
        <v>414</v>
      </c>
    </row>
    <row r="25" spans="2:4" x14ac:dyDescent="0.2">
      <c r="B25" s="215"/>
      <c r="C25" s="215"/>
      <c r="D25" s="215"/>
    </row>
    <row r="26" spans="2:4" ht="12.75" x14ac:dyDescent="0.2">
      <c r="B26" s="347" t="s">
        <v>584</v>
      </c>
      <c r="C26" s="348"/>
      <c r="D26" s="94"/>
    </row>
    <row r="27" spans="2:4" x14ac:dyDescent="0.2">
      <c r="B27" s="353" t="s">
        <v>585</v>
      </c>
      <c r="C27" s="353"/>
      <c r="D27" s="281"/>
    </row>
    <row r="28" spans="2:4" x14ac:dyDescent="0.2">
      <c r="B28" s="282" t="s">
        <v>586</v>
      </c>
      <c r="C28" s="282"/>
      <c r="D28" s="282"/>
    </row>
    <row r="29" spans="2:4" x14ac:dyDescent="0.2">
      <c r="B29" s="1211" t="s">
        <v>925</v>
      </c>
      <c r="C29" s="1211"/>
      <c r="D29" s="1211"/>
    </row>
    <row r="30" spans="2:4" x14ac:dyDescent="0.2">
      <c r="B30" s="284" t="s">
        <v>587</v>
      </c>
      <c r="C30" s="284"/>
      <c r="D30" s="285"/>
    </row>
    <row r="31" spans="2:4" x14ac:dyDescent="0.2">
      <c r="B31" s="286" t="s">
        <v>588</v>
      </c>
      <c r="C31" s="286"/>
      <c r="D31" s="286"/>
    </row>
    <row r="32" spans="2:4" x14ac:dyDescent="0.2">
      <c r="B32" s="385" t="s">
        <v>594</v>
      </c>
      <c r="C32" s="385"/>
      <c r="D32" s="385"/>
    </row>
  </sheetData>
  <mergeCells count="1">
    <mergeCell ref="B20:B21"/>
  </mergeCells>
  <pageMargins left="0.70866141732283472" right="0.70866141732283472" top="0.74803149606299213" bottom="0.74803149606299213" header="0.31496062992125984" footer="0.31496062992125984"/>
  <pageSetup paperSize="9" scale="5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1"/>
  <sheetViews>
    <sheetView showGridLines="0" zoomScale="75" zoomScaleNormal="75" workbookViewId="0"/>
  </sheetViews>
  <sheetFormatPr defaultColWidth="9" defaultRowHeight="16.5" x14ac:dyDescent="0.3"/>
  <cols>
    <col min="1" max="1" width="14.42578125" style="932" customWidth="1"/>
    <col min="2" max="2" width="39.42578125" style="932" customWidth="1"/>
    <col min="3" max="3" width="35.140625" style="932" customWidth="1"/>
    <col min="4" max="4" width="9.28515625" style="932" bestFit="1" customWidth="1"/>
    <col min="5" max="5" width="106.7109375" style="932" customWidth="1"/>
    <col min="6" max="6" width="9.140625" style="932" bestFit="1" customWidth="1"/>
    <col min="7" max="7" width="9.28515625" style="932" bestFit="1" customWidth="1"/>
    <col min="8" max="9" width="9.140625" style="932" bestFit="1" customWidth="1"/>
    <col min="10" max="10" width="9.28515625" style="932" bestFit="1" customWidth="1"/>
    <col min="11" max="18" width="18" style="932" customWidth="1"/>
    <col min="19" max="29" width="11.85546875" style="932" customWidth="1"/>
    <col min="30" max="30" width="54" style="932" customWidth="1"/>
    <col min="31" max="31" width="49.28515625" style="932" customWidth="1"/>
    <col min="32" max="32" width="64.42578125" style="932" customWidth="1"/>
    <col min="33" max="16384" width="9" style="932"/>
  </cols>
  <sheetData>
    <row r="1" spans="1:27" s="679" customFormat="1" ht="18.600000000000001" customHeight="1" x14ac:dyDescent="0.2">
      <c r="A1" s="28"/>
      <c r="B1" s="28"/>
      <c r="C1" s="28"/>
    </row>
    <row r="2" spans="1:27" s="679" customFormat="1" ht="18.600000000000001" customHeight="1" x14ac:dyDescent="0.2">
      <c r="A2" s="28"/>
      <c r="B2" s="28"/>
      <c r="C2" s="28"/>
    </row>
    <row r="3" spans="1:27" s="679" customFormat="1" ht="18.600000000000001" customHeight="1" x14ac:dyDescent="0.2">
      <c r="A3" s="28"/>
      <c r="B3" s="28"/>
      <c r="C3" s="28"/>
      <c r="E3" s="83"/>
      <c r="F3" s="28"/>
      <c r="G3" s="28"/>
      <c r="H3" s="28"/>
      <c r="I3" s="28"/>
      <c r="J3" s="28"/>
      <c r="K3" s="82" t="s">
        <v>409</v>
      </c>
      <c r="L3" s="28"/>
      <c r="M3" s="28"/>
      <c r="N3" s="28"/>
    </row>
    <row r="4" spans="1:27" s="679" customFormat="1" ht="18.600000000000001" customHeight="1" x14ac:dyDescent="0.2">
      <c r="A4" s="28"/>
      <c r="B4" s="28"/>
      <c r="C4" s="28"/>
      <c r="E4" s="28"/>
      <c r="F4" s="28"/>
      <c r="G4" s="28"/>
      <c r="H4" s="28"/>
      <c r="I4" s="28"/>
      <c r="J4" s="28"/>
      <c r="L4" s="28"/>
      <c r="M4" s="28"/>
      <c r="N4" s="28"/>
    </row>
    <row r="5" spans="1:27" s="679" customFormat="1" ht="18.600000000000001" customHeight="1" x14ac:dyDescent="0.2">
      <c r="A5" s="28"/>
      <c r="B5" s="28"/>
      <c r="C5" s="28"/>
      <c r="E5" s="28"/>
      <c r="F5" s="28"/>
      <c r="G5" s="28"/>
      <c r="H5" s="28"/>
      <c r="I5" s="28"/>
      <c r="J5" s="28"/>
      <c r="K5" s="295" t="str">
        <f>'Contents, list of sources'!G17</f>
        <v>Organisation</v>
      </c>
      <c r="L5" s="295"/>
      <c r="M5" s="295" t="str">
        <f>'Contents, list of sources'!I17</f>
        <v>Title</v>
      </c>
      <c r="N5" s="295"/>
      <c r="O5" s="295"/>
      <c r="P5" s="295"/>
      <c r="Q5" s="295"/>
      <c r="R5" s="295"/>
      <c r="S5" s="295"/>
      <c r="T5" s="295"/>
      <c r="U5" s="295"/>
      <c r="V5" s="295"/>
      <c r="W5" s="295"/>
      <c r="X5" s="295"/>
      <c r="Y5" s="295"/>
      <c r="Z5" s="351"/>
      <c r="AA5" s="295"/>
    </row>
    <row r="6" spans="1:27" s="679" customFormat="1" ht="18.600000000000001" customHeight="1" x14ac:dyDescent="0.2">
      <c r="A6" s="28"/>
      <c r="B6" s="28"/>
      <c r="C6" s="28"/>
      <c r="E6" s="28"/>
      <c r="F6" s="28"/>
      <c r="G6" s="28"/>
      <c r="H6" s="28"/>
      <c r="I6" s="28"/>
      <c r="J6" s="32"/>
      <c r="K6" s="74" t="str">
        <f>'Contents, list of sources'!G474</f>
        <v xml:space="preserve">Transport Performance and Analytics (TPA) </v>
      </c>
      <c r="L6" s="74"/>
      <c r="M6" s="74" t="str">
        <f>'Contents, list of sources'!I474</f>
        <v>Opal Assignment Models, IPART data request provided 18 June 2019</v>
      </c>
      <c r="N6" s="74"/>
      <c r="O6" s="74"/>
      <c r="P6" s="74"/>
      <c r="Q6" s="74"/>
      <c r="R6" s="74"/>
      <c r="S6" s="74"/>
      <c r="T6" s="74"/>
      <c r="U6" s="74"/>
      <c r="V6" s="74"/>
      <c r="W6" s="74"/>
      <c r="X6" s="74"/>
      <c r="Y6" s="74"/>
      <c r="Z6" s="74"/>
    </row>
    <row r="7" spans="1:27" s="679" customFormat="1" ht="18.600000000000001" customHeight="1" x14ac:dyDescent="0.2">
      <c r="A7" s="28"/>
      <c r="B7" s="28"/>
      <c r="C7" s="28"/>
      <c r="E7" s="28"/>
      <c r="F7" s="28"/>
      <c r="G7" s="28"/>
      <c r="H7" s="28"/>
      <c r="I7" s="28"/>
      <c r="J7" s="28"/>
      <c r="K7" s="28"/>
      <c r="L7" s="28"/>
      <c r="M7" s="28"/>
      <c r="N7" s="28"/>
      <c r="O7" s="28"/>
      <c r="P7" s="28"/>
      <c r="Q7" s="369"/>
      <c r="R7" s="28"/>
      <c r="S7" s="28"/>
      <c r="T7" s="28"/>
      <c r="U7" s="28"/>
      <c r="V7" s="28"/>
      <c r="W7" s="28"/>
      <c r="X7" s="28"/>
      <c r="Y7" s="28"/>
      <c r="Z7" s="28"/>
      <c r="AA7" s="28"/>
    </row>
    <row r="8" spans="1:27" s="679" customFormat="1" ht="18.600000000000001" customHeight="1" x14ac:dyDescent="0.2">
      <c r="K8" s="28"/>
      <c r="L8" s="28"/>
      <c r="M8" s="28"/>
      <c r="N8" s="28"/>
      <c r="O8" s="28"/>
      <c r="P8" s="28"/>
      <c r="Q8" s="369"/>
      <c r="R8" s="28"/>
      <c r="S8" s="741"/>
      <c r="T8" s="28"/>
      <c r="U8" s="28"/>
      <c r="V8" s="28"/>
      <c r="W8" s="28"/>
      <c r="X8" s="28"/>
      <c r="Y8" s="1028"/>
      <c r="Z8" s="28"/>
      <c r="AA8" s="28"/>
    </row>
    <row r="9" spans="1:27" s="679" customFormat="1" ht="18.600000000000001" customHeight="1" x14ac:dyDescent="0.3">
      <c r="K9" s="28"/>
      <c r="L9" s="578"/>
      <c r="M9" s="28"/>
      <c r="N9" s="28"/>
      <c r="O9" s="28"/>
      <c r="P9" s="28"/>
      <c r="Q9" s="578"/>
      <c r="R9" s="578"/>
      <c r="S9" s="578"/>
      <c r="T9" s="578"/>
      <c r="U9" s="578"/>
      <c r="V9" s="578"/>
      <c r="W9" s="578"/>
      <c r="X9" s="578"/>
      <c r="Y9" s="28"/>
      <c r="Z9" s="28"/>
      <c r="AA9" s="28"/>
    </row>
    <row r="10" spans="1:27" s="679" customFormat="1" ht="18.600000000000001" customHeight="1" x14ac:dyDescent="0.2">
      <c r="K10" s="28"/>
      <c r="L10" s="28"/>
      <c r="M10" s="28"/>
      <c r="N10" s="28"/>
      <c r="O10" s="28"/>
      <c r="P10" s="28"/>
      <c r="Q10" s="369"/>
      <c r="R10" s="28"/>
      <c r="S10" s="741"/>
      <c r="T10" s="28"/>
      <c r="U10" s="28"/>
      <c r="V10" s="28"/>
      <c r="W10" s="28"/>
      <c r="X10" s="28"/>
      <c r="Y10" s="28"/>
      <c r="Z10" s="28"/>
      <c r="AA10" s="28"/>
    </row>
    <row r="11" spans="1:27" s="270" customFormat="1" ht="18.600000000000001" customHeight="1" x14ac:dyDescent="0.3">
      <c r="B11" s="373" t="s">
        <v>748</v>
      </c>
      <c r="K11" s="28"/>
      <c r="L11" s="28"/>
      <c r="M11" s="28"/>
      <c r="N11" s="28"/>
      <c r="O11" s="28"/>
      <c r="P11" s="28"/>
      <c r="Q11" s="1029"/>
      <c r="R11" s="28"/>
      <c r="S11" s="741"/>
      <c r="T11" s="28"/>
      <c r="U11" s="28"/>
      <c r="V11" s="28"/>
      <c r="W11" s="28"/>
      <c r="X11" s="28"/>
      <c r="Y11" s="369"/>
      <c r="Z11" s="28"/>
      <c r="AA11" s="28"/>
    </row>
    <row r="12" spans="1:27" s="79" customFormat="1" ht="18.600000000000001" customHeight="1" x14ac:dyDescent="0.2">
      <c r="A12" s="374"/>
    </row>
    <row r="16" spans="1:27" x14ac:dyDescent="0.3">
      <c r="B16" s="1317" t="s">
        <v>988</v>
      </c>
      <c r="E16" s="1318" t="s">
        <v>990</v>
      </c>
      <c r="F16" s="1317" t="s">
        <v>989</v>
      </c>
      <c r="P16" s="788" t="s">
        <v>749</v>
      </c>
      <c r="Q16" s="945"/>
      <c r="R16" s="945"/>
      <c r="S16" s="945"/>
    </row>
    <row r="17" spans="16:28" ht="25.5" x14ac:dyDescent="0.3">
      <c r="P17" s="935"/>
      <c r="Q17" s="936" t="s">
        <v>747</v>
      </c>
      <c r="R17" s="936" t="s">
        <v>746</v>
      </c>
      <c r="S17" s="936" t="s">
        <v>745</v>
      </c>
      <c r="T17" s="936" t="s">
        <v>744</v>
      </c>
      <c r="U17" s="936" t="s">
        <v>743</v>
      </c>
      <c r="V17" s="936" t="s">
        <v>742</v>
      </c>
      <c r="W17" s="936" t="s">
        <v>741</v>
      </c>
      <c r="X17" s="936" t="s">
        <v>740</v>
      </c>
      <c r="Y17" s="936" t="s">
        <v>739</v>
      </c>
      <c r="Z17" s="936" t="s">
        <v>738</v>
      </c>
      <c r="AA17" s="936" t="s">
        <v>737</v>
      </c>
      <c r="AB17" s="937" t="s">
        <v>736</v>
      </c>
    </row>
    <row r="18" spans="16:28" x14ac:dyDescent="0.3">
      <c r="P18" s="938" t="s">
        <v>735</v>
      </c>
      <c r="Q18" s="939">
        <v>5.8149903787487684E-3</v>
      </c>
      <c r="R18" s="939">
        <v>2.3015910264232411E-2</v>
      </c>
      <c r="S18" s="939">
        <v>2.5343783733045478E-4</v>
      </c>
      <c r="T18" s="939">
        <v>5.3247406188582655E-3</v>
      </c>
      <c r="U18" s="939">
        <v>4.1135335252982314E-4</v>
      </c>
      <c r="V18" s="939">
        <v>5.3475935828877002E-3</v>
      </c>
      <c r="W18" s="939">
        <v>0</v>
      </c>
      <c r="X18" s="939">
        <v>1.7054263565891473E-2</v>
      </c>
      <c r="Y18" s="939">
        <v>0</v>
      </c>
      <c r="Z18" s="939">
        <v>7.1082879612825167E-3</v>
      </c>
      <c r="AA18" s="939">
        <v>4.2498487598306108E-2</v>
      </c>
      <c r="AB18" s="940">
        <v>0</v>
      </c>
    </row>
    <row r="19" spans="16:28" x14ac:dyDescent="0.3">
      <c r="P19" s="938" t="s">
        <v>734</v>
      </c>
      <c r="Q19" s="939">
        <v>1.1545501478387385E-3</v>
      </c>
      <c r="R19" s="939">
        <v>1.2488853428450743E-2</v>
      </c>
      <c r="S19" s="939">
        <v>1.8773173135589244E-5</v>
      </c>
      <c r="T19" s="939">
        <v>0</v>
      </c>
      <c r="U19" s="939">
        <v>0</v>
      </c>
      <c r="V19" s="939">
        <v>0</v>
      </c>
      <c r="W19" s="939">
        <v>0</v>
      </c>
      <c r="X19" s="939">
        <v>0</v>
      </c>
      <c r="Y19" s="939">
        <v>0</v>
      </c>
      <c r="Z19" s="939">
        <v>0</v>
      </c>
      <c r="AA19" s="939">
        <v>3.1760435571687841E-3</v>
      </c>
      <c r="AB19" s="940">
        <v>0</v>
      </c>
    </row>
    <row r="20" spans="16:28" x14ac:dyDescent="0.3">
      <c r="P20" s="938" t="s">
        <v>733</v>
      </c>
      <c r="Q20" s="939">
        <v>0</v>
      </c>
      <c r="R20" s="939">
        <v>1.6942788754869293E-3</v>
      </c>
      <c r="S20" s="939">
        <v>0</v>
      </c>
      <c r="T20" s="939">
        <v>0</v>
      </c>
      <c r="U20" s="939">
        <v>9.1411856117738465E-5</v>
      </c>
      <c r="V20" s="939">
        <v>0</v>
      </c>
      <c r="W20" s="939">
        <v>0</v>
      </c>
      <c r="X20" s="939">
        <v>0</v>
      </c>
      <c r="Y20" s="939">
        <v>0</v>
      </c>
      <c r="Z20" s="939">
        <v>0</v>
      </c>
      <c r="AA20" s="939">
        <v>0</v>
      </c>
      <c r="AB20" s="940">
        <v>0</v>
      </c>
    </row>
    <row r="21" spans="16:28" x14ac:dyDescent="0.3">
      <c r="P21" s="938" t="s">
        <v>732</v>
      </c>
      <c r="Q21" s="939">
        <v>3.7546346271178488E-5</v>
      </c>
      <c r="R21" s="939">
        <v>2.8159759703383863E-5</v>
      </c>
      <c r="S21" s="939">
        <v>0</v>
      </c>
      <c r="T21" s="939">
        <v>9.1411856117738465E-5</v>
      </c>
      <c r="U21" s="939">
        <v>2.5138260432378077E-4</v>
      </c>
      <c r="V21" s="939">
        <v>2.2852964029434618E-4</v>
      </c>
      <c r="W21" s="939">
        <v>0</v>
      </c>
      <c r="X21" s="939">
        <v>0</v>
      </c>
      <c r="Y21" s="939">
        <v>0</v>
      </c>
      <c r="Z21" s="939">
        <v>0</v>
      </c>
      <c r="AA21" s="939">
        <v>0</v>
      </c>
      <c r="AB21" s="940">
        <v>0</v>
      </c>
    </row>
    <row r="22" spans="16:28" x14ac:dyDescent="0.3">
      <c r="P22" s="938" t="s">
        <v>731</v>
      </c>
      <c r="Q22" s="939">
        <v>1.2859623597878631E-2</v>
      </c>
      <c r="R22" s="939">
        <v>6.1622940817571692E-3</v>
      </c>
      <c r="S22" s="939">
        <v>6.7207959825409487E-3</v>
      </c>
      <c r="T22" s="939">
        <v>7.2215366333013391E-3</v>
      </c>
      <c r="U22" s="939">
        <v>3.9764157411216238E-3</v>
      </c>
      <c r="V22" s="939">
        <v>2.6509438274144159E-3</v>
      </c>
      <c r="W22" s="939">
        <v>0</v>
      </c>
      <c r="X22" s="939">
        <v>0</v>
      </c>
      <c r="Y22" s="939">
        <v>0</v>
      </c>
      <c r="Z22" s="939">
        <v>0</v>
      </c>
      <c r="AA22" s="939">
        <v>0</v>
      </c>
      <c r="AB22" s="940">
        <v>0</v>
      </c>
    </row>
    <row r="23" spans="16:28" x14ac:dyDescent="0.3">
      <c r="P23" s="938" t="s">
        <v>730</v>
      </c>
      <c r="Q23" s="939">
        <v>9.906603463650443E-2</v>
      </c>
      <c r="R23" s="939">
        <v>4.4891350260477775E-2</v>
      </c>
      <c r="S23" s="939">
        <v>3.2923452386539633E-2</v>
      </c>
      <c r="T23" s="939">
        <v>7.3449426390602868E-2</v>
      </c>
      <c r="U23" s="939">
        <v>3.0920060331825039E-2</v>
      </c>
      <c r="V23" s="939">
        <v>1.1655011655011656E-2</v>
      </c>
      <c r="W23" s="939">
        <v>2.3255813953488372E-3</v>
      </c>
      <c r="X23" s="939">
        <v>3.875968992248062E-4</v>
      </c>
      <c r="Y23" s="939">
        <v>7.093023255813953E-2</v>
      </c>
      <c r="Z23" s="939">
        <v>0</v>
      </c>
      <c r="AA23" s="939">
        <v>0</v>
      </c>
      <c r="AB23" s="940">
        <v>0</v>
      </c>
    </row>
    <row r="24" spans="16:28" x14ac:dyDescent="0.3">
      <c r="P24" s="938" t="s">
        <v>729</v>
      </c>
      <c r="Q24" s="939">
        <v>0.24532313324259633</v>
      </c>
      <c r="R24" s="939">
        <v>7.705448913502605E-2</v>
      </c>
      <c r="S24" s="939">
        <v>4.7580607312150934E-2</v>
      </c>
      <c r="T24" s="939">
        <v>0.27894327894327892</v>
      </c>
      <c r="U24" s="939">
        <v>8.2773435714612181E-2</v>
      </c>
      <c r="V24" s="939">
        <v>4.5134603958133367E-2</v>
      </c>
      <c r="W24" s="939">
        <v>0.26511627906976742</v>
      </c>
      <c r="X24" s="939">
        <v>0.10697674418604651</v>
      </c>
      <c r="Y24" s="939">
        <v>0.15426356589147286</v>
      </c>
      <c r="Z24" s="939">
        <v>5.6261343012704176E-2</v>
      </c>
      <c r="AA24" s="939">
        <v>6.5033272837265576E-3</v>
      </c>
      <c r="AB24" s="940">
        <v>0</v>
      </c>
    </row>
    <row r="25" spans="16:28" x14ac:dyDescent="0.3">
      <c r="P25" s="938" t="s">
        <v>728</v>
      </c>
      <c r="Q25" s="939">
        <v>0.54227249260806309</v>
      </c>
      <c r="R25" s="939">
        <v>7.71389684141362E-2</v>
      </c>
      <c r="S25" s="939">
        <v>7.5702820669263621E-2</v>
      </c>
      <c r="T25" s="939">
        <v>0.66721513780337305</v>
      </c>
      <c r="U25" s="939">
        <v>0.13279857397504458</v>
      </c>
      <c r="V25" s="939">
        <v>8.6498468851410035E-2</v>
      </c>
      <c r="W25" s="939">
        <v>0.48643410852713176</v>
      </c>
      <c r="X25" s="939">
        <v>0.12751937984496123</v>
      </c>
      <c r="Y25" s="939">
        <v>0.20348837209302326</v>
      </c>
      <c r="Z25" s="939">
        <v>0.29401088929219599</v>
      </c>
      <c r="AA25" s="939">
        <v>1.9056261343012703E-2</v>
      </c>
      <c r="AB25" s="940">
        <v>3.327283726557774E-2</v>
      </c>
    </row>
    <row r="26" spans="16:28" x14ac:dyDescent="0.3">
      <c r="P26" s="938" t="s">
        <v>727</v>
      </c>
      <c r="Q26" s="939">
        <v>1</v>
      </c>
      <c r="R26" s="939">
        <v>0.12790632186605341</v>
      </c>
      <c r="S26" s="939">
        <v>0.14702210541136715</v>
      </c>
      <c r="T26" s="939">
        <v>1</v>
      </c>
      <c r="U26" s="939">
        <v>0.21959413135883724</v>
      </c>
      <c r="V26" s="939">
        <v>0.17962429727135609</v>
      </c>
      <c r="W26" s="939">
        <v>1</v>
      </c>
      <c r="X26" s="939">
        <v>0.14534883720930233</v>
      </c>
      <c r="Y26" s="939">
        <v>0.60465116279069764</v>
      </c>
      <c r="Z26" s="939">
        <v>0.75862068965517238</v>
      </c>
      <c r="AA26" s="939">
        <v>5.777374470659407E-2</v>
      </c>
      <c r="AB26" s="940">
        <v>0.22005444646098005</v>
      </c>
    </row>
    <row r="27" spans="16:28" x14ac:dyDescent="0.3">
      <c r="P27" s="938" t="s">
        <v>726</v>
      </c>
      <c r="Q27" s="939">
        <v>0.44879147697939642</v>
      </c>
      <c r="R27" s="939">
        <v>0.14204721453043601</v>
      </c>
      <c r="S27" s="939">
        <v>0.15878349838081382</v>
      </c>
      <c r="T27" s="939">
        <v>0.57203254262077796</v>
      </c>
      <c r="U27" s="939">
        <v>0.26381461675579321</v>
      </c>
      <c r="V27" s="939">
        <v>0.28100004570592807</v>
      </c>
      <c r="W27" s="939">
        <v>0.51472868217054268</v>
      </c>
      <c r="X27" s="939">
        <v>0.20193798449612402</v>
      </c>
      <c r="Y27" s="939">
        <v>0.49496124031007754</v>
      </c>
      <c r="Z27" s="939">
        <v>0.18663036902601332</v>
      </c>
      <c r="AA27" s="939">
        <v>0.13127646702964307</v>
      </c>
      <c r="AB27" s="940">
        <v>0.56276467029643074</v>
      </c>
    </row>
    <row r="28" spans="16:28" x14ac:dyDescent="0.3">
      <c r="P28" s="938" t="s">
        <v>725</v>
      </c>
      <c r="Q28" s="939">
        <v>0.23091941615431549</v>
      </c>
      <c r="R28" s="939">
        <v>0.14107100952738535</v>
      </c>
      <c r="S28" s="939">
        <v>0.15996151499507205</v>
      </c>
      <c r="T28" s="939">
        <v>0.38287855934914761</v>
      </c>
      <c r="U28" s="939">
        <v>0.29644864938982585</v>
      </c>
      <c r="V28" s="939">
        <v>0.32519767813885458</v>
      </c>
      <c r="W28" s="939">
        <v>0.34728682170542635</v>
      </c>
      <c r="X28" s="939">
        <v>0.5</v>
      </c>
      <c r="Y28" s="939">
        <v>0.76472868217054268</v>
      </c>
      <c r="Z28" s="939">
        <v>0.26996370235934664</v>
      </c>
      <c r="AA28" s="939">
        <v>0.29204476709013916</v>
      </c>
      <c r="AB28" s="940">
        <v>0.81427707199032062</v>
      </c>
    </row>
    <row r="29" spans="16:28" x14ac:dyDescent="0.3">
      <c r="P29" s="938" t="s">
        <v>724</v>
      </c>
      <c r="Q29" s="939">
        <v>0.17562772797672127</v>
      </c>
      <c r="R29" s="939">
        <v>0.14740695546064675</v>
      </c>
      <c r="S29" s="939">
        <v>0.13358051344628527</v>
      </c>
      <c r="T29" s="939">
        <v>0.35751176927647516</v>
      </c>
      <c r="U29" s="939">
        <v>0.331527949175008</v>
      </c>
      <c r="V29" s="939">
        <v>0.34976461447049684</v>
      </c>
      <c r="W29" s="939">
        <v>0.33100775193798448</v>
      </c>
      <c r="X29" s="939">
        <v>0.54689922480620157</v>
      </c>
      <c r="Y29" s="939">
        <v>0.65968992248062019</v>
      </c>
      <c r="Z29" s="939">
        <v>0.28977616454930427</v>
      </c>
      <c r="AA29" s="939">
        <v>0.39866908650937688</v>
      </c>
      <c r="AB29" s="940">
        <v>0.83242589231699937</v>
      </c>
    </row>
    <row r="30" spans="16:28" x14ac:dyDescent="0.3">
      <c r="P30" s="938" t="s">
        <v>723</v>
      </c>
      <c r="Q30" s="939">
        <v>0.14793260430844324</v>
      </c>
      <c r="R30" s="939">
        <v>0.15873187215469095</v>
      </c>
      <c r="S30" s="939">
        <v>0.1266954521988079</v>
      </c>
      <c r="T30" s="939">
        <v>0.36599021893139538</v>
      </c>
      <c r="U30" s="939">
        <v>0.35755747520453401</v>
      </c>
      <c r="V30" s="939">
        <v>0.35860871154988799</v>
      </c>
      <c r="W30" s="939">
        <v>0.30116279069767443</v>
      </c>
      <c r="X30" s="939">
        <v>0.48410852713178293</v>
      </c>
      <c r="Y30" s="939">
        <v>0.57131782945736431</v>
      </c>
      <c r="Z30" s="939">
        <v>0.28342407743496673</v>
      </c>
      <c r="AA30" s="939">
        <v>0.48759830611010285</v>
      </c>
      <c r="AB30" s="940">
        <v>0.94948578342407741</v>
      </c>
    </row>
    <row r="31" spans="16:28" x14ac:dyDescent="0.3">
      <c r="P31" s="938" t="s">
        <v>722</v>
      </c>
      <c r="Q31" s="939">
        <v>0.16645703289998592</v>
      </c>
      <c r="R31" s="939">
        <v>0.14035293565494908</v>
      </c>
      <c r="S31" s="939">
        <v>0.12728211385929505</v>
      </c>
      <c r="T31" s="939">
        <v>0.38518670871612049</v>
      </c>
      <c r="U31" s="939">
        <v>0.35371817724758903</v>
      </c>
      <c r="V31" s="939">
        <v>0.35239270533388178</v>
      </c>
      <c r="W31" s="939">
        <v>0.34302325581395349</v>
      </c>
      <c r="X31" s="939">
        <v>0.50387596899224807</v>
      </c>
      <c r="Y31" s="939">
        <v>0.68488372093023253</v>
      </c>
      <c r="Z31" s="939">
        <v>0.29204476709013916</v>
      </c>
      <c r="AA31" s="939">
        <v>0.48321234119782214</v>
      </c>
      <c r="AB31" s="940">
        <v>0.92377495462794923</v>
      </c>
    </row>
    <row r="32" spans="16:28" x14ac:dyDescent="0.3">
      <c r="P32" s="938" t="s">
        <v>721</v>
      </c>
      <c r="Q32" s="939">
        <v>0.1712019524100061</v>
      </c>
      <c r="R32" s="939">
        <v>0.15005866616604871</v>
      </c>
      <c r="S32" s="939">
        <v>0.14612099310085888</v>
      </c>
      <c r="T32" s="939">
        <v>0.43178390237213765</v>
      </c>
      <c r="U32" s="939">
        <v>0.36658439599616072</v>
      </c>
      <c r="V32" s="939">
        <v>0.35362676539147125</v>
      </c>
      <c r="W32" s="939">
        <v>0.39147286821705424</v>
      </c>
      <c r="X32" s="939">
        <v>0.51666666666666672</v>
      </c>
      <c r="Y32" s="939">
        <v>0.62635658914728687</v>
      </c>
      <c r="Z32" s="939">
        <v>0.27676950998185118</v>
      </c>
      <c r="AA32" s="939">
        <v>0.48714458560193585</v>
      </c>
      <c r="AB32" s="940">
        <v>1</v>
      </c>
    </row>
    <row r="33" spans="3:28" x14ac:dyDescent="0.3">
      <c r="P33" s="938" t="s">
        <v>720</v>
      </c>
      <c r="Q33" s="939">
        <v>0.27455296381470878</v>
      </c>
      <c r="R33" s="939">
        <v>0.16249589336837658</v>
      </c>
      <c r="S33" s="939">
        <v>0.14387290561787205</v>
      </c>
      <c r="T33" s="939">
        <v>0.5819278760455231</v>
      </c>
      <c r="U33" s="939">
        <v>0.38075323369441016</v>
      </c>
      <c r="V33" s="939">
        <v>0.36443621737739385</v>
      </c>
      <c r="W33" s="939">
        <v>0.53837209302325584</v>
      </c>
      <c r="X33" s="939">
        <v>0.52093023255813953</v>
      </c>
      <c r="Y33" s="939">
        <v>0.68798449612403101</v>
      </c>
      <c r="Z33" s="939">
        <v>0.30671506352087113</v>
      </c>
      <c r="AA33" s="939">
        <v>0.52692075015124018</v>
      </c>
      <c r="AB33" s="940">
        <v>0.9522081064730793</v>
      </c>
    </row>
    <row r="34" spans="3:28" x14ac:dyDescent="0.3">
      <c r="P34" s="938" t="s">
        <v>719</v>
      </c>
      <c r="Q34" s="939">
        <v>0.41159712770451024</v>
      </c>
      <c r="R34" s="939">
        <v>0.16059980288168207</v>
      </c>
      <c r="S34" s="939">
        <v>0.15180457126765851</v>
      </c>
      <c r="T34" s="939">
        <v>0.65448603683897799</v>
      </c>
      <c r="U34" s="939">
        <v>0.39032862562274329</v>
      </c>
      <c r="V34" s="939">
        <v>0.36850404497463318</v>
      </c>
      <c r="W34" s="939">
        <v>0.58294573643410852</v>
      </c>
      <c r="X34" s="939">
        <v>0.44186046511627908</v>
      </c>
      <c r="Y34" s="939">
        <v>0.44651162790697674</v>
      </c>
      <c r="Z34" s="939">
        <v>0.39050211736237145</v>
      </c>
      <c r="AA34" s="939">
        <v>0.5428009679370841</v>
      </c>
      <c r="AB34" s="940">
        <v>0.78357531760435573</v>
      </c>
    </row>
    <row r="35" spans="3:28" x14ac:dyDescent="0.3">
      <c r="P35" s="938" t="s">
        <v>718</v>
      </c>
      <c r="Q35" s="939">
        <v>0.66776176843290935</v>
      </c>
      <c r="R35" s="939">
        <v>0.17718590134697518</v>
      </c>
      <c r="S35" s="939">
        <v>0.13703008400994979</v>
      </c>
      <c r="T35" s="939">
        <v>0.82078705608117375</v>
      </c>
      <c r="U35" s="939">
        <v>0.40495452260158143</v>
      </c>
      <c r="V35" s="939">
        <v>0.38326705973764796</v>
      </c>
      <c r="W35" s="939">
        <v>0.88062015503875968</v>
      </c>
      <c r="X35" s="939">
        <v>0.60503875968992249</v>
      </c>
      <c r="Y35" s="939">
        <v>0.49689922480620152</v>
      </c>
      <c r="Z35" s="939">
        <v>0.53932244404113727</v>
      </c>
      <c r="AA35" s="939">
        <v>0.52404718693284935</v>
      </c>
      <c r="AB35" s="940">
        <v>0.70598911070780401</v>
      </c>
    </row>
    <row r="36" spans="3:28" x14ac:dyDescent="0.3">
      <c r="P36" s="938" t="s">
        <v>717</v>
      </c>
      <c r="Q36" s="939">
        <v>0.47124888534284509</v>
      </c>
      <c r="R36" s="939">
        <v>0.16464542169240157</v>
      </c>
      <c r="S36" s="939">
        <v>8.5248979208710746E-2</v>
      </c>
      <c r="T36" s="939">
        <v>0.73442570501394033</v>
      </c>
      <c r="U36" s="939">
        <v>0.39046574340691986</v>
      </c>
      <c r="V36" s="939">
        <v>0.31331413684354859</v>
      </c>
      <c r="W36" s="939">
        <v>0.47635658914728685</v>
      </c>
      <c r="X36" s="939">
        <v>0.41124031007751938</v>
      </c>
      <c r="Y36" s="939">
        <v>0.26317829457364339</v>
      </c>
      <c r="Z36" s="939">
        <v>0.45039322444041135</v>
      </c>
      <c r="AA36" s="939">
        <v>0.36872353297035693</v>
      </c>
      <c r="AB36" s="940">
        <v>0.29930429522081065</v>
      </c>
    </row>
    <row r="37" spans="3:28" x14ac:dyDescent="0.3">
      <c r="P37" s="938" t="s">
        <v>716</v>
      </c>
      <c r="Q37" s="939">
        <v>0.22926737691838364</v>
      </c>
      <c r="R37" s="939">
        <v>0.12119491247008025</v>
      </c>
      <c r="S37" s="939">
        <v>6.9925376636786038E-2</v>
      </c>
      <c r="T37" s="939">
        <v>0.39380227615521735</v>
      </c>
      <c r="U37" s="939">
        <v>0.2802230449289273</v>
      </c>
      <c r="V37" s="939">
        <v>0.20990447461035697</v>
      </c>
      <c r="W37" s="939">
        <v>0.39496124031007751</v>
      </c>
      <c r="X37" s="939">
        <v>0.36046511627906974</v>
      </c>
      <c r="Y37" s="939">
        <v>5.8527131782945739E-2</v>
      </c>
      <c r="Z37" s="939">
        <v>0.17437991530550515</v>
      </c>
      <c r="AA37" s="939">
        <v>0.27298850574712646</v>
      </c>
      <c r="AB37" s="940">
        <v>0.16848154869933454</v>
      </c>
    </row>
    <row r="38" spans="3:28" x14ac:dyDescent="0.3">
      <c r="P38" s="938" t="s">
        <v>715</v>
      </c>
      <c r="Q38" s="939">
        <v>0.14253531703196132</v>
      </c>
      <c r="R38" s="939">
        <v>9.4945323133242596E-2</v>
      </c>
      <c r="S38" s="939">
        <v>5.35786361289717E-2</v>
      </c>
      <c r="T38" s="939">
        <v>0.25188536953242835</v>
      </c>
      <c r="U38" s="939">
        <v>0.18725718725718726</v>
      </c>
      <c r="V38" s="939">
        <v>0.14381370263723206</v>
      </c>
      <c r="W38" s="939">
        <v>5.6201550387596902E-2</v>
      </c>
      <c r="X38" s="939">
        <v>9.9224806201550386E-2</v>
      </c>
      <c r="Y38" s="939">
        <v>4.0697674418604654E-2</v>
      </c>
      <c r="Z38" s="939">
        <v>7.834240774349667E-2</v>
      </c>
      <c r="AA38" s="939">
        <v>0.14503932244404114</v>
      </c>
      <c r="AB38" s="940">
        <v>6.639443436176648E-2</v>
      </c>
    </row>
    <row r="39" spans="3:28" x14ac:dyDescent="0.3">
      <c r="P39" s="938" t="s">
        <v>714</v>
      </c>
      <c r="Q39" s="939">
        <v>0.11230581499037876</v>
      </c>
      <c r="R39" s="939">
        <v>7.9767212653118688E-2</v>
      </c>
      <c r="S39" s="939">
        <v>4.9476697798845448E-2</v>
      </c>
      <c r="T39" s="939">
        <v>0.21682892271127566</v>
      </c>
      <c r="U39" s="939">
        <v>0.16143333790392614</v>
      </c>
      <c r="V39" s="939">
        <v>0.12002376708259062</v>
      </c>
      <c r="W39" s="939">
        <v>4.7286821705426356E-2</v>
      </c>
      <c r="X39" s="939">
        <v>9.4961240310077522E-2</v>
      </c>
      <c r="Y39" s="939">
        <v>5.8914728682170542E-2</v>
      </c>
      <c r="Z39" s="939">
        <v>7.9249848759830613E-2</v>
      </c>
      <c r="AA39" s="939">
        <v>8.5601935874168172E-2</v>
      </c>
      <c r="AB39" s="940">
        <v>3.4180278281911676E-2</v>
      </c>
    </row>
    <row r="40" spans="3:28" x14ac:dyDescent="0.3">
      <c r="P40" s="938" t="s">
        <v>713</v>
      </c>
      <c r="Q40" s="939">
        <v>7.7612991035809833E-2</v>
      </c>
      <c r="R40" s="939">
        <v>8.6197024452058013E-2</v>
      </c>
      <c r="S40" s="939">
        <v>4.4135730041770307E-2</v>
      </c>
      <c r="T40" s="939">
        <v>0.14657891128479364</v>
      </c>
      <c r="U40" s="939">
        <v>0.16223319164495634</v>
      </c>
      <c r="V40" s="939">
        <v>0.10030165912518854</v>
      </c>
      <c r="W40" s="939">
        <v>8.0620155038759689E-2</v>
      </c>
      <c r="X40" s="939">
        <v>0.10930232558139535</v>
      </c>
      <c r="Y40" s="939">
        <v>1.0852713178294573E-2</v>
      </c>
      <c r="Z40" s="939">
        <v>6.1403508771929821E-2</v>
      </c>
      <c r="AA40" s="939">
        <v>0.14927404718693285</v>
      </c>
      <c r="AB40" s="940">
        <v>3.2970356926799761E-2</v>
      </c>
    </row>
    <row r="41" spans="3:28" x14ac:dyDescent="0.3">
      <c r="P41" s="941" t="s">
        <v>712</v>
      </c>
      <c r="Q41" s="942">
        <v>3.012155629605294E-2</v>
      </c>
      <c r="R41" s="942">
        <v>4.6318111418782559E-2</v>
      </c>
      <c r="S41" s="942">
        <v>1.0630309288027408E-2</v>
      </c>
      <c r="T41" s="942">
        <v>6.142876731112025E-2</v>
      </c>
      <c r="U41" s="942">
        <v>0.10761460761460762</v>
      </c>
      <c r="V41" s="942">
        <v>4.9750902692079164E-2</v>
      </c>
      <c r="W41" s="942">
        <v>1.2403100775193798E-2</v>
      </c>
      <c r="X41" s="942">
        <v>6.0077519379844964E-2</v>
      </c>
      <c r="Y41" s="942">
        <v>0</v>
      </c>
      <c r="Z41" s="942">
        <v>2.5710828796128252E-2</v>
      </c>
      <c r="AA41" s="942">
        <v>7.1082879612825167E-2</v>
      </c>
      <c r="AB41" s="943">
        <v>5.4446460980036296E-3</v>
      </c>
    </row>
    <row r="42" spans="3:28" s="934" customFormat="1" ht="12" x14ac:dyDescent="0.2"/>
    <row r="43" spans="3:28" s="934" customFormat="1" ht="12" x14ac:dyDescent="0.2"/>
    <row r="44" spans="3:28" s="934" customFormat="1" ht="12" x14ac:dyDescent="0.2"/>
    <row r="45" spans="3:28" s="934" customFormat="1" ht="12" x14ac:dyDescent="0.2">
      <c r="C45" s="944"/>
      <c r="D45" s="944"/>
    </row>
    <row r="46" spans="3:28" ht="17.25" thickBot="1" x14ac:dyDescent="0.35"/>
    <row r="47" spans="3:28" ht="17.25" thickBot="1" x14ac:dyDescent="0.35">
      <c r="C47" s="964" t="s">
        <v>759</v>
      </c>
      <c r="D47" s="1342" t="s">
        <v>760</v>
      </c>
      <c r="E47" s="1343"/>
    </row>
    <row r="48" spans="3:28" ht="26.45" customHeight="1" x14ac:dyDescent="0.3">
      <c r="C48" s="965" t="s">
        <v>761</v>
      </c>
      <c r="D48" s="1344" t="s">
        <v>762</v>
      </c>
      <c r="E48" s="1345"/>
    </row>
    <row r="49" spans="3:5" x14ac:dyDescent="0.3">
      <c r="C49" s="965" t="s">
        <v>763</v>
      </c>
      <c r="D49" s="1346" t="s">
        <v>764</v>
      </c>
      <c r="E49" s="1347"/>
    </row>
    <row r="50" spans="3:5" ht="32.25" customHeight="1" x14ac:dyDescent="0.3">
      <c r="C50" s="965" t="s">
        <v>765</v>
      </c>
      <c r="D50" s="1348" t="s">
        <v>766</v>
      </c>
      <c r="E50" s="1347"/>
    </row>
    <row r="51" spans="3:5" x14ac:dyDescent="0.3">
      <c r="C51" s="965" t="s">
        <v>767</v>
      </c>
      <c r="D51" s="1349" t="s">
        <v>524</v>
      </c>
      <c r="E51" s="1347"/>
    </row>
    <row r="52" spans="3:5" ht="17.25" thickBot="1" x14ac:dyDescent="0.35">
      <c r="C52" s="966" t="s">
        <v>768</v>
      </c>
      <c r="D52" s="1350">
        <v>43634</v>
      </c>
      <c r="E52" s="1351"/>
    </row>
    <row r="53" spans="3:5" ht="17.25" thickBot="1" x14ac:dyDescent="0.35">
      <c r="C53" s="967"/>
      <c r="D53" s="967"/>
      <c r="E53" s="968"/>
    </row>
    <row r="54" spans="3:5" ht="17.25" thickBot="1" x14ac:dyDescent="0.35">
      <c r="C54" s="969" t="s">
        <v>769</v>
      </c>
      <c r="D54" s="1342"/>
      <c r="E54" s="1365"/>
    </row>
    <row r="55" spans="3:5" x14ac:dyDescent="0.3">
      <c r="C55" s="1352" t="s">
        <v>770</v>
      </c>
      <c r="D55" s="1353"/>
      <c r="E55" s="1345"/>
    </row>
    <row r="56" spans="3:5" x14ac:dyDescent="0.3">
      <c r="C56" s="1354"/>
      <c r="D56" s="1355"/>
      <c r="E56" s="1347"/>
    </row>
    <row r="57" spans="3:5" x14ac:dyDescent="0.3">
      <c r="C57" s="1354"/>
      <c r="D57" s="1355"/>
      <c r="E57" s="1347"/>
    </row>
    <row r="58" spans="3:5" ht="17.25" thickBot="1" x14ac:dyDescent="0.35">
      <c r="C58" s="1356"/>
      <c r="D58" s="1357"/>
      <c r="E58" s="1351"/>
    </row>
    <row r="59" spans="3:5" ht="17.25" thickBot="1" x14ac:dyDescent="0.35">
      <c r="C59" s="969"/>
      <c r="D59" s="970"/>
      <c r="E59" s="970"/>
    </row>
    <row r="60" spans="3:5" ht="17.25" thickBot="1" x14ac:dyDescent="0.35">
      <c r="C60" s="969" t="s">
        <v>521</v>
      </c>
      <c r="D60" s="971"/>
      <c r="E60" s="972"/>
    </row>
    <row r="61" spans="3:5" x14ac:dyDescent="0.3">
      <c r="C61" s="965" t="s">
        <v>411</v>
      </c>
      <c r="D61" s="1344" t="s">
        <v>771</v>
      </c>
      <c r="E61" s="1345"/>
    </row>
    <row r="62" spans="3:5" x14ac:dyDescent="0.3">
      <c r="C62" s="1358" t="s">
        <v>772</v>
      </c>
      <c r="D62" s="1349" t="s">
        <v>773</v>
      </c>
      <c r="E62" s="1347"/>
    </row>
    <row r="63" spans="3:5" x14ac:dyDescent="0.3">
      <c r="C63" s="1359"/>
      <c r="D63" s="1361"/>
      <c r="E63" s="1362"/>
    </row>
    <row r="64" spans="3:5" x14ac:dyDescent="0.3">
      <c r="C64" s="1359"/>
      <c r="D64" s="1361"/>
      <c r="E64" s="1362"/>
    </row>
    <row r="65" spans="3:22" x14ac:dyDescent="0.3">
      <c r="C65" s="1359"/>
      <c r="D65" s="1361"/>
      <c r="E65" s="1362"/>
    </row>
    <row r="66" spans="3:22" x14ac:dyDescent="0.3">
      <c r="C66" s="1359"/>
      <c r="D66" s="1361"/>
      <c r="E66" s="1362"/>
    </row>
    <row r="67" spans="3:22" x14ac:dyDescent="0.3">
      <c r="C67" s="1359"/>
      <c r="D67" s="1361"/>
      <c r="E67" s="1362"/>
    </row>
    <row r="68" spans="3:22" x14ac:dyDescent="0.3">
      <c r="C68" s="1359"/>
      <c r="D68" s="1361"/>
      <c r="E68" s="1362"/>
      <c r="L68" s="933"/>
      <c r="M68" s="933"/>
      <c r="N68" s="933"/>
      <c r="O68" s="933"/>
      <c r="P68" s="933"/>
      <c r="Q68" s="933"/>
      <c r="R68" s="933"/>
      <c r="S68" s="933"/>
      <c r="T68" s="933"/>
      <c r="U68" s="933"/>
      <c r="V68" s="933"/>
    </row>
    <row r="69" spans="3:22" x14ac:dyDescent="0.3">
      <c r="C69" s="1359"/>
      <c r="D69" s="1361"/>
      <c r="E69" s="1362"/>
      <c r="L69" s="933"/>
      <c r="M69" s="933"/>
      <c r="N69" s="933"/>
      <c r="O69" s="933"/>
      <c r="P69" s="933"/>
      <c r="Q69" s="933"/>
      <c r="R69" s="933"/>
      <c r="S69" s="933"/>
      <c r="T69" s="933"/>
      <c r="U69" s="933"/>
      <c r="V69" s="933"/>
    </row>
    <row r="70" spans="3:22" x14ac:dyDescent="0.3">
      <c r="C70" s="1359"/>
      <c r="D70" s="1361"/>
      <c r="E70" s="1362"/>
      <c r="L70" s="933"/>
      <c r="M70" s="933"/>
      <c r="N70" s="933"/>
      <c r="O70" s="933"/>
      <c r="P70" s="933"/>
      <c r="Q70" s="933"/>
      <c r="R70" s="933"/>
      <c r="S70" s="933"/>
      <c r="T70" s="933"/>
      <c r="U70" s="933"/>
      <c r="V70" s="933"/>
    </row>
    <row r="71" spans="3:22" x14ac:dyDescent="0.3">
      <c r="C71" s="1359"/>
      <c r="D71" s="1361"/>
      <c r="E71" s="1362"/>
      <c r="L71" s="933"/>
      <c r="M71" s="933"/>
      <c r="N71" s="933"/>
      <c r="O71" s="933"/>
      <c r="P71" s="933"/>
      <c r="Q71" s="933"/>
      <c r="R71" s="933"/>
      <c r="S71" s="933"/>
      <c r="T71" s="933"/>
      <c r="U71" s="933"/>
      <c r="V71" s="933"/>
    </row>
    <row r="72" spans="3:22" x14ac:dyDescent="0.3">
      <c r="C72" s="1359"/>
      <c r="D72" s="1361"/>
      <c r="E72" s="1362"/>
      <c r="L72" s="933"/>
      <c r="M72" s="933"/>
      <c r="N72" s="933"/>
      <c r="O72" s="933"/>
      <c r="P72" s="933"/>
      <c r="Q72" s="933"/>
      <c r="R72" s="933"/>
      <c r="S72" s="933"/>
      <c r="T72" s="933"/>
      <c r="U72" s="933"/>
      <c r="V72" s="933"/>
    </row>
    <row r="73" spans="3:22" ht="17.25" thickBot="1" x14ac:dyDescent="0.35">
      <c r="C73" s="1360"/>
      <c r="D73" s="1363"/>
      <c r="E73" s="1364"/>
      <c r="L73" s="933"/>
      <c r="M73" s="933"/>
      <c r="N73" s="933"/>
      <c r="O73" s="933"/>
      <c r="P73" s="933"/>
      <c r="Q73" s="933"/>
      <c r="R73" s="933"/>
      <c r="S73" s="933"/>
      <c r="T73" s="933"/>
      <c r="U73" s="933"/>
      <c r="V73" s="933"/>
    </row>
    <row r="74" spans="3:22" x14ac:dyDescent="0.3">
      <c r="L74" s="933"/>
      <c r="M74" s="933"/>
      <c r="N74" s="933"/>
      <c r="O74" s="933"/>
      <c r="P74" s="933"/>
      <c r="Q74" s="933"/>
      <c r="R74" s="933"/>
      <c r="S74" s="933"/>
      <c r="T74" s="933"/>
      <c r="U74" s="933"/>
      <c r="V74" s="933"/>
    </row>
    <row r="75" spans="3:22" x14ac:dyDescent="0.3">
      <c r="L75" s="933"/>
      <c r="M75" s="933"/>
      <c r="N75" s="933"/>
      <c r="O75" s="933"/>
      <c r="P75" s="933"/>
      <c r="Q75" s="933"/>
      <c r="R75" s="933"/>
      <c r="S75" s="933"/>
      <c r="T75" s="933"/>
      <c r="U75" s="933"/>
      <c r="V75" s="933"/>
    </row>
    <row r="76" spans="3:22" x14ac:dyDescent="0.3">
      <c r="L76" s="933"/>
      <c r="M76" s="933"/>
      <c r="N76" s="933"/>
      <c r="O76" s="933"/>
      <c r="P76" s="933"/>
      <c r="Q76" s="933"/>
      <c r="R76" s="933"/>
      <c r="S76" s="933"/>
      <c r="T76" s="933"/>
      <c r="U76" s="933"/>
      <c r="V76" s="933"/>
    </row>
    <row r="77" spans="3:22" x14ac:dyDescent="0.3">
      <c r="L77" s="933"/>
      <c r="M77" s="933"/>
      <c r="N77" s="933"/>
      <c r="O77" s="933"/>
      <c r="P77" s="933"/>
      <c r="Q77" s="933"/>
      <c r="R77" s="933"/>
      <c r="S77" s="933"/>
      <c r="T77" s="933"/>
      <c r="U77" s="933"/>
      <c r="V77" s="933"/>
    </row>
    <row r="78" spans="3:22" x14ac:dyDescent="0.3">
      <c r="L78" s="933"/>
      <c r="M78" s="933"/>
      <c r="N78" s="933"/>
      <c r="O78" s="933"/>
      <c r="P78" s="933"/>
      <c r="Q78" s="933"/>
      <c r="R78" s="933"/>
      <c r="S78" s="933"/>
      <c r="T78" s="933"/>
      <c r="U78" s="933"/>
      <c r="V78" s="933"/>
    </row>
    <row r="79" spans="3:22" x14ac:dyDescent="0.3">
      <c r="L79" s="933"/>
      <c r="M79" s="933"/>
      <c r="N79" s="933"/>
      <c r="O79" s="933"/>
      <c r="P79" s="933"/>
      <c r="Q79" s="933"/>
      <c r="R79" s="933"/>
      <c r="S79" s="933"/>
      <c r="T79" s="933"/>
      <c r="U79" s="933"/>
      <c r="V79" s="933"/>
    </row>
    <row r="80" spans="3:22" x14ac:dyDescent="0.3">
      <c r="L80" s="933"/>
      <c r="M80" s="933"/>
      <c r="N80" s="933"/>
      <c r="O80" s="933"/>
      <c r="P80" s="933"/>
      <c r="Q80" s="933"/>
      <c r="R80" s="933"/>
      <c r="S80" s="933"/>
      <c r="T80" s="933"/>
      <c r="U80" s="933"/>
      <c r="V80" s="933"/>
    </row>
    <row r="81" spans="12:22" x14ac:dyDescent="0.3">
      <c r="L81" s="933"/>
      <c r="M81" s="933"/>
      <c r="N81" s="933"/>
      <c r="O81" s="933"/>
      <c r="P81" s="933"/>
      <c r="Q81" s="933"/>
      <c r="R81" s="933"/>
      <c r="S81" s="933"/>
      <c r="T81" s="933"/>
      <c r="U81" s="933"/>
      <c r="V81" s="933"/>
    </row>
    <row r="82" spans="12:22" x14ac:dyDescent="0.3">
      <c r="L82" s="933"/>
      <c r="M82" s="933"/>
      <c r="N82" s="933"/>
      <c r="O82" s="933"/>
      <c r="P82" s="933"/>
      <c r="Q82" s="933"/>
      <c r="R82" s="933"/>
      <c r="S82" s="933"/>
      <c r="T82" s="933"/>
      <c r="U82" s="933"/>
      <c r="V82" s="933"/>
    </row>
    <row r="83" spans="12:22" x14ac:dyDescent="0.3">
      <c r="L83" s="933"/>
      <c r="M83" s="933"/>
      <c r="N83" s="933"/>
      <c r="O83" s="933"/>
      <c r="P83" s="933"/>
      <c r="Q83" s="933"/>
      <c r="R83" s="933"/>
      <c r="S83" s="933"/>
      <c r="T83" s="933"/>
      <c r="U83" s="933"/>
      <c r="V83" s="933"/>
    </row>
    <row r="84" spans="12:22" x14ac:dyDescent="0.3">
      <c r="L84" s="933"/>
      <c r="M84" s="933"/>
      <c r="N84" s="933"/>
      <c r="O84" s="933"/>
      <c r="P84" s="933"/>
      <c r="Q84" s="933"/>
      <c r="R84" s="933"/>
      <c r="S84" s="933"/>
      <c r="T84" s="933"/>
      <c r="U84" s="933"/>
      <c r="V84" s="933"/>
    </row>
    <row r="85" spans="12:22" x14ac:dyDescent="0.3">
      <c r="L85" s="933"/>
      <c r="M85" s="933"/>
      <c r="N85" s="933"/>
      <c r="O85" s="933"/>
      <c r="P85" s="933"/>
      <c r="Q85" s="933"/>
      <c r="R85" s="933"/>
      <c r="S85" s="933"/>
      <c r="T85" s="933"/>
      <c r="U85" s="933"/>
      <c r="V85" s="933"/>
    </row>
    <row r="86" spans="12:22" x14ac:dyDescent="0.3">
      <c r="L86" s="933"/>
      <c r="M86" s="933"/>
      <c r="N86" s="933"/>
      <c r="O86" s="933"/>
      <c r="P86" s="933"/>
      <c r="Q86" s="933"/>
      <c r="R86" s="933"/>
      <c r="S86" s="933"/>
      <c r="T86" s="933"/>
      <c r="U86" s="933"/>
      <c r="V86" s="933"/>
    </row>
    <row r="87" spans="12:22" x14ac:dyDescent="0.3">
      <c r="L87" s="933"/>
      <c r="M87" s="933"/>
      <c r="N87" s="933"/>
      <c r="O87" s="933"/>
      <c r="P87" s="933"/>
      <c r="Q87" s="933"/>
      <c r="R87" s="933"/>
      <c r="S87" s="933"/>
      <c r="T87" s="933"/>
      <c r="U87" s="933"/>
      <c r="V87" s="933"/>
    </row>
    <row r="88" spans="12:22" x14ac:dyDescent="0.3">
      <c r="L88" s="933"/>
      <c r="M88" s="933"/>
      <c r="N88" s="933"/>
      <c r="O88" s="933"/>
      <c r="P88" s="933"/>
      <c r="Q88" s="933"/>
      <c r="R88" s="933"/>
      <c r="S88" s="933"/>
      <c r="T88" s="933"/>
      <c r="U88" s="933"/>
      <c r="V88" s="933"/>
    </row>
    <row r="107" spans="1:14" x14ac:dyDescent="0.3">
      <c r="A107" s="933"/>
      <c r="B107" s="933"/>
      <c r="C107" s="933"/>
      <c r="D107" s="933"/>
      <c r="E107" s="933"/>
      <c r="F107" s="933"/>
      <c r="G107" s="933"/>
      <c r="H107" s="933"/>
      <c r="I107" s="933"/>
      <c r="J107" s="933"/>
      <c r="K107" s="933"/>
      <c r="L107" s="933"/>
      <c r="M107" s="933"/>
      <c r="N107" s="933"/>
    </row>
    <row r="108" spans="1:14" x14ac:dyDescent="0.3">
      <c r="A108" s="933"/>
      <c r="B108" s="933"/>
      <c r="C108" s="933"/>
      <c r="D108" s="933"/>
      <c r="E108" s="933"/>
      <c r="F108" s="933"/>
      <c r="G108" s="933"/>
      <c r="H108" s="933"/>
      <c r="I108" s="933"/>
      <c r="J108" s="933"/>
      <c r="K108" s="933"/>
      <c r="L108" s="933"/>
      <c r="M108" s="933"/>
      <c r="N108" s="933"/>
    </row>
    <row r="109" spans="1:14" x14ac:dyDescent="0.3">
      <c r="A109" s="933"/>
      <c r="M109" s="933"/>
      <c r="N109" s="933"/>
    </row>
    <row r="110" spans="1:14" x14ac:dyDescent="0.3">
      <c r="A110" s="933"/>
      <c r="M110" s="933"/>
      <c r="N110" s="933"/>
    </row>
    <row r="111" spans="1:14" x14ac:dyDescent="0.3">
      <c r="A111" s="933"/>
      <c r="M111" s="933"/>
      <c r="N111" s="933"/>
    </row>
    <row r="112" spans="1:14" x14ac:dyDescent="0.3">
      <c r="A112" s="933"/>
      <c r="M112" s="933"/>
      <c r="N112" s="933"/>
    </row>
    <row r="113" spans="1:14" x14ac:dyDescent="0.3">
      <c r="A113" s="933"/>
      <c r="M113" s="933"/>
      <c r="N113" s="933"/>
    </row>
    <row r="114" spans="1:14" x14ac:dyDescent="0.3">
      <c r="A114" s="933"/>
      <c r="M114" s="933"/>
      <c r="N114" s="933"/>
    </row>
    <row r="115" spans="1:14" x14ac:dyDescent="0.3">
      <c r="A115" s="933"/>
      <c r="M115" s="933"/>
      <c r="N115" s="933"/>
    </row>
    <row r="116" spans="1:14" x14ac:dyDescent="0.3">
      <c r="A116" s="933"/>
      <c r="M116" s="933"/>
      <c r="N116" s="933"/>
    </row>
    <row r="117" spans="1:14" x14ac:dyDescent="0.3">
      <c r="A117" s="933"/>
      <c r="M117" s="933"/>
      <c r="N117" s="933"/>
    </row>
    <row r="118" spans="1:14" x14ac:dyDescent="0.3">
      <c r="A118" s="933"/>
      <c r="M118" s="933"/>
      <c r="N118" s="933"/>
    </row>
    <row r="119" spans="1:14" x14ac:dyDescent="0.3">
      <c r="A119" s="933"/>
      <c r="M119" s="933"/>
      <c r="N119" s="933"/>
    </row>
    <row r="120" spans="1:14" x14ac:dyDescent="0.3">
      <c r="A120" s="933"/>
      <c r="M120" s="933"/>
      <c r="N120" s="933"/>
    </row>
    <row r="121" spans="1:14" x14ac:dyDescent="0.3">
      <c r="A121" s="933"/>
      <c r="M121" s="933"/>
      <c r="N121" s="933"/>
    </row>
    <row r="122" spans="1:14" x14ac:dyDescent="0.3">
      <c r="A122" s="933"/>
      <c r="M122" s="933"/>
      <c r="N122" s="933"/>
    </row>
    <row r="123" spans="1:14" x14ac:dyDescent="0.3">
      <c r="A123" s="933"/>
      <c r="M123" s="933"/>
      <c r="N123" s="933"/>
    </row>
    <row r="124" spans="1:14" x14ac:dyDescent="0.3">
      <c r="A124" s="933"/>
      <c r="M124" s="933"/>
      <c r="N124" s="933"/>
    </row>
    <row r="125" spans="1:14" x14ac:dyDescent="0.3">
      <c r="A125" s="933"/>
      <c r="M125" s="933"/>
      <c r="N125" s="933"/>
    </row>
    <row r="126" spans="1:14" x14ac:dyDescent="0.3">
      <c r="A126" s="933"/>
      <c r="M126" s="933"/>
      <c r="N126" s="933"/>
    </row>
    <row r="127" spans="1:14" x14ac:dyDescent="0.3">
      <c r="A127" s="933"/>
      <c r="M127" s="933"/>
      <c r="N127" s="933"/>
    </row>
    <row r="128" spans="1:14" x14ac:dyDescent="0.3">
      <c r="A128" s="933"/>
      <c r="M128" s="933"/>
      <c r="N128" s="933"/>
    </row>
    <row r="129" spans="1:14" x14ac:dyDescent="0.3">
      <c r="A129" s="933"/>
      <c r="M129" s="933"/>
      <c r="N129" s="933"/>
    </row>
    <row r="130" spans="1:14" x14ac:dyDescent="0.3">
      <c r="A130" s="933"/>
      <c r="B130" s="933"/>
      <c r="C130" s="933"/>
      <c r="D130" s="933"/>
      <c r="E130" s="933"/>
      <c r="F130" s="933"/>
      <c r="G130" s="933"/>
      <c r="H130" s="933"/>
      <c r="I130" s="933"/>
      <c r="J130" s="933"/>
      <c r="K130" s="933"/>
      <c r="L130" s="933"/>
      <c r="M130" s="933"/>
      <c r="N130" s="933"/>
    </row>
    <row r="131" spans="1:14" x14ac:dyDescent="0.3">
      <c r="A131" s="933"/>
      <c r="B131" s="933"/>
      <c r="C131" s="933"/>
      <c r="D131" s="933"/>
      <c r="E131" s="933"/>
      <c r="F131" s="933"/>
      <c r="G131" s="933"/>
      <c r="H131" s="933"/>
      <c r="I131" s="933"/>
      <c r="J131" s="933"/>
      <c r="K131" s="933"/>
      <c r="L131" s="933"/>
      <c r="M131" s="933"/>
      <c r="N131" s="933"/>
    </row>
  </sheetData>
  <mergeCells count="11">
    <mergeCell ref="D52:E52"/>
    <mergeCell ref="C55:E58"/>
    <mergeCell ref="D61:E61"/>
    <mergeCell ref="C62:C73"/>
    <mergeCell ref="D62:E73"/>
    <mergeCell ref="D54:E54"/>
    <mergeCell ref="D47:E47"/>
    <mergeCell ref="D48:E48"/>
    <mergeCell ref="D49:E49"/>
    <mergeCell ref="D50:E50"/>
    <mergeCell ref="D51:E5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showGridLines="0" zoomScale="75" zoomScaleNormal="75" workbookViewId="0"/>
  </sheetViews>
  <sheetFormatPr defaultColWidth="9" defaultRowHeight="12" x14ac:dyDescent="0.2"/>
  <cols>
    <col min="1" max="1" width="14.42578125" style="934" customWidth="1"/>
    <col min="2" max="2" width="39.42578125" style="934" customWidth="1"/>
    <col min="3" max="3" width="36.7109375" style="934" customWidth="1"/>
    <col min="4" max="4" width="11.28515625" style="934" bestFit="1" customWidth="1"/>
    <col min="5" max="5" width="31.5703125" style="934" bestFit="1" customWidth="1"/>
    <col min="6" max="6" width="13.28515625" style="934" bestFit="1" customWidth="1"/>
    <col min="7" max="7" width="11" style="934" bestFit="1" customWidth="1"/>
    <col min="8" max="9" width="9" style="934"/>
    <col min="10" max="10" width="17.7109375" style="934" customWidth="1"/>
    <col min="11" max="11" width="12.7109375" style="934" bestFit="1" customWidth="1"/>
    <col min="12" max="17" width="11.5703125" style="934" bestFit="1" customWidth="1"/>
    <col min="18" max="16384" width="9" style="934"/>
  </cols>
  <sheetData>
    <row r="1" spans="1:27" s="679" customFormat="1" ht="18.600000000000001" customHeight="1" x14ac:dyDescent="0.2">
      <c r="A1" s="28"/>
      <c r="B1" s="28"/>
    </row>
    <row r="2" spans="1:27" s="679" customFormat="1" ht="18.600000000000001" customHeight="1" x14ac:dyDescent="0.2">
      <c r="A2" s="28"/>
      <c r="B2" s="28"/>
    </row>
    <row r="3" spans="1:27" s="679" customFormat="1" ht="18.600000000000001" customHeight="1" x14ac:dyDescent="0.2">
      <c r="A3" s="28"/>
      <c r="B3" s="28"/>
      <c r="K3" s="82" t="s">
        <v>409</v>
      </c>
    </row>
    <row r="4" spans="1:27" s="679" customFormat="1" ht="18.600000000000001" customHeight="1" x14ac:dyDescent="0.2">
      <c r="A4" s="28"/>
      <c r="B4" s="28"/>
    </row>
    <row r="5" spans="1:27" s="679" customFormat="1" ht="18.600000000000001" customHeight="1" x14ac:dyDescent="0.2">
      <c r="A5" s="28"/>
      <c r="B5" s="28"/>
      <c r="K5" s="679" t="str">
        <f>'Contents, list of sources'!G17</f>
        <v>Organisation</v>
      </c>
      <c r="M5" s="679" t="str">
        <f>'Contents, list of sources'!I17</f>
        <v>Title</v>
      </c>
      <c r="Q5" s="679" t="str">
        <f>'Contents, list of sources'!M17</f>
        <v>Date published</v>
      </c>
      <c r="R5" s="679" t="str">
        <f>'Contents, list of sources'!N17</f>
        <v>Pg</v>
      </c>
    </row>
    <row r="6" spans="1:27" s="679" customFormat="1" ht="18.600000000000001" customHeight="1" x14ac:dyDescent="0.2">
      <c r="A6" s="28"/>
      <c r="B6" s="28"/>
      <c r="K6" s="74" t="str">
        <f>'Contents, list of sources'!G495</f>
        <v xml:space="preserve">Transport Performance and Analytics (TPA) </v>
      </c>
      <c r="L6" s="74"/>
      <c r="M6" s="74" t="str">
        <f>'Contents, list of sources'!I495</f>
        <v>Opal data - IPART data request  - weekly data for sample weeks between Jan and June 2019</v>
      </c>
      <c r="N6" s="74"/>
      <c r="O6" s="74"/>
      <c r="P6" s="74"/>
      <c r="Q6" s="191">
        <f>'Contents, list of sources'!M495</f>
        <v>43648</v>
      </c>
      <c r="R6" s="74"/>
      <c r="S6" s="74"/>
      <c r="T6" s="74"/>
      <c r="U6" s="74"/>
      <c r="V6" s="74"/>
      <c r="W6" s="74"/>
      <c r="X6" s="74"/>
      <c r="Y6" s="74"/>
      <c r="Z6" s="74"/>
      <c r="AA6" s="74"/>
    </row>
    <row r="7" spans="1:27" s="679" customFormat="1" ht="18.600000000000001" customHeight="1" x14ac:dyDescent="0.2">
      <c r="D7" s="368"/>
      <c r="G7" s="28"/>
      <c r="H7" s="28"/>
      <c r="I7" s="28"/>
      <c r="J7" s="28"/>
      <c r="K7" s="28"/>
      <c r="L7" s="28"/>
      <c r="M7" s="369"/>
      <c r="N7" s="28"/>
      <c r="O7" s="28"/>
      <c r="P7" s="28"/>
      <c r="Q7" s="28"/>
      <c r="R7" s="28"/>
      <c r="S7" s="28"/>
      <c r="T7" s="28"/>
      <c r="U7" s="28"/>
    </row>
    <row r="8" spans="1:27" s="679" customFormat="1" ht="18.600000000000001" customHeight="1" x14ac:dyDescent="0.2">
      <c r="E8" s="370"/>
      <c r="F8" s="370"/>
      <c r="G8" s="370"/>
      <c r="H8" s="370"/>
      <c r="I8" s="370"/>
      <c r="J8" s="370"/>
      <c r="K8" s="371"/>
      <c r="L8" s="370"/>
      <c r="M8" s="370"/>
      <c r="N8" s="370"/>
      <c r="O8" s="370"/>
      <c r="P8" s="370"/>
      <c r="Q8" s="370"/>
      <c r="S8" s="370"/>
    </row>
    <row r="9" spans="1:27" s="28" customFormat="1" ht="18.600000000000001" customHeight="1" x14ac:dyDescent="0.2">
      <c r="A9" s="372"/>
      <c r="B9" s="32"/>
      <c r="D9" s="32"/>
      <c r="K9" s="369"/>
    </row>
    <row r="10" spans="1:27" s="28" customFormat="1" ht="18.600000000000001" customHeight="1" x14ac:dyDescent="0.2">
      <c r="A10" s="372"/>
      <c r="K10" s="369"/>
    </row>
    <row r="11" spans="1:27" s="270" customFormat="1" ht="18.600000000000001" customHeight="1" x14ac:dyDescent="0.3">
      <c r="B11" s="373" t="s">
        <v>933</v>
      </c>
      <c r="E11" s="76"/>
      <c r="F11" s="76"/>
      <c r="G11" s="76"/>
      <c r="H11" s="76"/>
      <c r="I11" s="76"/>
      <c r="J11" s="76"/>
      <c r="K11" s="269"/>
      <c r="L11" s="76"/>
      <c r="M11" s="76"/>
      <c r="N11" s="76"/>
      <c r="O11" s="76"/>
      <c r="P11" s="76"/>
      <c r="Q11" s="76"/>
      <c r="R11" s="76"/>
      <c r="S11" s="76"/>
    </row>
    <row r="12" spans="1:27" s="79" customFormat="1" ht="18.600000000000001" customHeight="1" x14ac:dyDescent="0.2">
      <c r="A12" s="374"/>
    </row>
    <row r="13" spans="1:27" x14ac:dyDescent="0.2">
      <c r="B13" s="1130"/>
    </row>
    <row r="15" spans="1:27" ht="24" customHeight="1" x14ac:dyDescent="0.2">
      <c r="B15" s="1135" t="s">
        <v>934</v>
      </c>
    </row>
    <row r="16" spans="1:27" ht="12.75" customHeight="1" x14ac:dyDescent="0.2">
      <c r="B16" s="935" t="s">
        <v>136</v>
      </c>
      <c r="C16" s="1152" t="s">
        <v>893</v>
      </c>
      <c r="D16" s="1153" t="s">
        <v>892</v>
      </c>
      <c r="H16" s="1366" t="s">
        <v>991</v>
      </c>
      <c r="I16" s="1366"/>
      <c r="J16" s="1366"/>
      <c r="K16" s="1366"/>
    </row>
    <row r="17" spans="2:11" x14ac:dyDescent="0.2">
      <c r="B17" s="938" t="s">
        <v>4</v>
      </c>
      <c r="C17" s="1154">
        <v>0.59034672614503581</v>
      </c>
      <c r="D17" s="1155">
        <v>0.40965327385496419</v>
      </c>
      <c r="H17" s="1366"/>
      <c r="I17" s="1366"/>
      <c r="J17" s="1366"/>
      <c r="K17" s="1366"/>
    </row>
    <row r="18" spans="2:11" x14ac:dyDescent="0.2">
      <c r="B18" s="938" t="s">
        <v>3</v>
      </c>
      <c r="C18" s="1154">
        <v>0.59391868504201328</v>
      </c>
      <c r="D18" s="1155">
        <v>0.40608131495798672</v>
      </c>
      <c r="H18" s="1366"/>
      <c r="I18" s="1366"/>
      <c r="J18" s="1366"/>
      <c r="K18" s="1366"/>
    </row>
    <row r="19" spans="2:11" x14ac:dyDescent="0.2">
      <c r="B19" s="938" t="s">
        <v>8</v>
      </c>
      <c r="C19" s="1154">
        <v>0.63818208189081649</v>
      </c>
      <c r="D19" s="1155">
        <v>0.36181791810918357</v>
      </c>
      <c r="H19" s="1366"/>
      <c r="I19" s="1366"/>
      <c r="J19" s="1366"/>
      <c r="K19" s="1366"/>
    </row>
    <row r="20" spans="2:11" x14ac:dyDescent="0.2">
      <c r="B20" s="941" t="s">
        <v>7</v>
      </c>
      <c r="C20" s="1156">
        <v>0.99481639834276092</v>
      </c>
      <c r="D20" s="1157">
        <v>0.40288314194366143</v>
      </c>
      <c r="I20" s="1151"/>
    </row>
    <row r="21" spans="2:11" x14ac:dyDescent="0.2">
      <c r="I21" s="1151"/>
    </row>
    <row r="25" spans="2:11" x14ac:dyDescent="0.2">
      <c r="B25" s="934" t="s">
        <v>1006</v>
      </c>
    </row>
  </sheetData>
  <mergeCells count="1">
    <mergeCell ref="H16:K1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4"/>
  <sheetViews>
    <sheetView showGridLines="0" zoomScale="75" zoomScaleNormal="75" workbookViewId="0"/>
  </sheetViews>
  <sheetFormatPr defaultColWidth="9.140625" defaultRowHeight="12" x14ac:dyDescent="0.2"/>
  <cols>
    <col min="1" max="1" width="14.42578125" style="32" customWidth="1"/>
    <col min="2" max="2" width="39.42578125" style="32" customWidth="1"/>
    <col min="3" max="3" width="16.140625" style="32" customWidth="1"/>
    <col min="4" max="4" width="15.85546875" style="32" customWidth="1"/>
    <col min="5" max="5" width="16.42578125" style="32" customWidth="1"/>
    <col min="6" max="6" width="15.28515625" style="32" customWidth="1"/>
    <col min="7" max="7" width="25.140625" style="32" customWidth="1"/>
    <col min="8" max="8" width="23" style="32" customWidth="1"/>
    <col min="9" max="9" width="41.5703125" style="987" customWidth="1"/>
    <col min="10" max="11" width="9.140625" style="987"/>
    <col min="12" max="12" width="30.140625" style="987" customWidth="1"/>
    <col min="13" max="15" width="9.140625" style="987"/>
    <col min="16" max="17" width="9.140625" style="677"/>
    <col min="18" max="18" width="9.85546875" style="677" bestFit="1" customWidth="1"/>
    <col min="19" max="21" width="9.140625" style="677"/>
  </cols>
  <sheetData>
    <row r="1" spans="1:25" s="679" customFormat="1" ht="18.600000000000001" customHeight="1" x14ac:dyDescent="0.2"/>
    <row r="2" spans="1:25" s="679" customFormat="1" ht="18.600000000000001" customHeight="1" x14ac:dyDescent="0.2"/>
    <row r="3" spans="1:25" s="679" customFormat="1" ht="18.600000000000001" customHeight="1" x14ac:dyDescent="0.2">
      <c r="K3" s="82" t="s">
        <v>409</v>
      </c>
    </row>
    <row r="4" spans="1:25" s="679" customFormat="1" ht="18.600000000000001" customHeight="1" x14ac:dyDescent="0.2"/>
    <row r="5" spans="1:25" s="679" customFormat="1" ht="18.600000000000001" customHeight="1" x14ac:dyDescent="0.2">
      <c r="K5" s="679" t="str">
        <f>'Contents, list of sources'!G17</f>
        <v>Organisation</v>
      </c>
      <c r="M5" s="679" t="str">
        <f>'Contents, list of sources'!I17</f>
        <v>Title</v>
      </c>
      <c r="Q5" s="679" t="str">
        <f>'Contents, list of sources'!M17</f>
        <v>Date published</v>
      </c>
      <c r="R5" s="679" t="str">
        <f>'Contents, list of sources'!N17</f>
        <v>Pg</v>
      </c>
      <c r="S5" s="679" t="str">
        <f>'Contents, list of sources'!O17</f>
        <v>Link</v>
      </c>
      <c r="X5" s="679" t="str">
        <f>'Contents, list of sources'!T17</f>
        <v>Date accessed</v>
      </c>
    </row>
    <row r="6" spans="1:25" s="679" customFormat="1" ht="18.600000000000001" customHeight="1" x14ac:dyDescent="0.2">
      <c r="K6" s="74" t="str">
        <f>'Contents, list of sources'!G493</f>
        <v>The CIE</v>
      </c>
      <c r="L6" s="74"/>
      <c r="M6" s="74" t="str">
        <f>'Contents, list of sources'!I493</f>
        <v>Cost recovery spreadsheet (model ) - 21 February 2020</v>
      </c>
      <c r="N6" s="74"/>
      <c r="O6" s="74"/>
      <c r="P6" s="74"/>
      <c r="Q6" s="74"/>
      <c r="R6" s="74"/>
      <c r="S6" s="74"/>
      <c r="T6" s="74"/>
      <c r="U6" s="74"/>
      <c r="V6" s="74"/>
      <c r="W6" s="74"/>
      <c r="X6" s="74"/>
      <c r="Y6" s="74"/>
    </row>
    <row r="7" spans="1:25" s="679" customFormat="1" ht="18.600000000000001" customHeight="1" x14ac:dyDescent="0.2">
      <c r="D7" s="368"/>
      <c r="K7" s="447" t="str">
        <f>'Contents, list of sources'!G476</f>
        <v>IPART</v>
      </c>
      <c r="L7" s="74"/>
      <c r="M7" s="447" t="str">
        <f>'Contents, list of sources'!I476</f>
        <v>Compliance statement 2018-19 fares for Opal services</v>
      </c>
      <c r="N7" s="74"/>
      <c r="O7" s="74"/>
      <c r="P7" s="74"/>
      <c r="Q7" s="448">
        <f>'Contents, list of sources'!M476</f>
        <v>43252</v>
      </c>
      <c r="R7" s="447">
        <f>'Contents, list of sources'!N476</f>
        <v>2</v>
      </c>
      <c r="S7" s="447" t="str">
        <f>'Contents, list of sources'!O476</f>
        <v>https://www.ipart.nsw.gov.au/files/sharedassets/website/shared-files/investigation-compliance-monitoring-transport-publications-fare-for-Opal-services-201819/compliance-statement-2018-19-fares-for-Opal-services.pdf</v>
      </c>
      <c r="T7" s="74"/>
      <c r="U7" s="74"/>
      <c r="V7" s="74"/>
      <c r="W7" s="74"/>
      <c r="X7" s="448">
        <f>'Contents, list of sources'!T476</f>
        <v>43571</v>
      </c>
      <c r="Y7" s="447"/>
    </row>
    <row r="8" spans="1:25" s="679" customFormat="1" ht="18.600000000000001" customHeight="1" x14ac:dyDescent="0.2">
      <c r="K8" s="447" t="str">
        <f>'Contents, list of sources'!G479</f>
        <v>Transport for NSW</v>
      </c>
      <c r="L8" s="74"/>
      <c r="M8" s="447" t="str">
        <f>'Contents, list of sources'!I479</f>
        <v>Annual regulatory return</v>
      </c>
      <c r="N8" s="74"/>
      <c r="O8" s="74"/>
      <c r="P8" s="74"/>
      <c r="Q8" s="448" t="str">
        <f>'Contents, list of sources'!M479</f>
        <v>Received 4 April 2019</v>
      </c>
      <c r="R8" s="447"/>
      <c r="S8" s="447"/>
      <c r="T8" s="74"/>
      <c r="U8" s="74"/>
      <c r="V8" s="74"/>
      <c r="W8" s="74"/>
      <c r="X8" s="448">
        <f>'Contents, list of sources'!T479</f>
        <v>0</v>
      </c>
      <c r="Y8" s="447"/>
    </row>
    <row r="9" spans="1:25" s="28" customFormat="1" ht="18.600000000000001" customHeight="1" x14ac:dyDescent="0.2">
      <c r="A9" s="372"/>
      <c r="B9" s="32"/>
      <c r="D9" s="32"/>
      <c r="K9" s="447" t="str">
        <f>'Contents, list of sources'!G480</f>
        <v>Transport for NSW</v>
      </c>
      <c r="L9" s="74"/>
      <c r="M9" s="447" t="str">
        <f>'Contents, list of sources'!I480</f>
        <v>All modes historical patronage - Top Level Chart</v>
      </c>
      <c r="N9" s="74"/>
      <c r="O9" s="74"/>
      <c r="P9" s="74"/>
      <c r="Q9" s="448"/>
      <c r="R9" s="447"/>
      <c r="S9" s="447" t="str">
        <f>'Contents, list of sources'!O480</f>
        <v>https://www.transport.nsw.gov.au/data-and-research/passenger-travel/all-modes-patronage-historical/all-modes-historical-patronage</v>
      </c>
      <c r="T9" s="74"/>
      <c r="U9" s="74"/>
      <c r="V9" s="74"/>
      <c r="W9" s="74"/>
      <c r="X9" s="448">
        <f>'Contents, list of sources'!T480</f>
        <v>43556</v>
      </c>
      <c r="Y9" s="447"/>
    </row>
    <row r="10" spans="1:25" s="28" customFormat="1" ht="18.600000000000001" customHeight="1" x14ac:dyDescent="0.2">
      <c r="A10" s="372"/>
      <c r="Q10" s="369"/>
    </row>
    <row r="11" spans="1:25" s="270" customFormat="1" ht="18.600000000000001" customHeight="1" x14ac:dyDescent="0.3">
      <c r="B11" s="373" t="s">
        <v>821</v>
      </c>
    </row>
    <row r="12" spans="1:25" s="79" customFormat="1" ht="18.600000000000001" customHeight="1" x14ac:dyDescent="0.2">
      <c r="A12" s="374"/>
    </row>
    <row r="13" spans="1:25" s="667" customFormat="1" x14ac:dyDescent="0.2">
      <c r="A13" s="32"/>
      <c r="B13" s="32"/>
      <c r="C13" s="32"/>
      <c r="D13" s="32"/>
      <c r="E13" s="32"/>
      <c r="F13" s="32"/>
      <c r="G13" s="32"/>
      <c r="H13" s="32"/>
      <c r="I13" s="987"/>
      <c r="J13" s="987"/>
      <c r="K13" s="987"/>
      <c r="L13" s="987"/>
      <c r="M13" s="987"/>
      <c r="N13" s="987"/>
      <c r="O13" s="987"/>
      <c r="P13" s="677"/>
      <c r="Q13" s="677"/>
      <c r="R13" s="677"/>
      <c r="S13" s="677"/>
      <c r="T13" s="677"/>
      <c r="U13" s="677"/>
    </row>
    <row r="14" spans="1:25" s="667" customFormat="1" x14ac:dyDescent="0.2">
      <c r="A14" s="32"/>
      <c r="B14" s="32"/>
      <c r="C14" s="32"/>
      <c r="D14" s="32"/>
      <c r="E14" s="32"/>
      <c r="F14" s="32"/>
      <c r="G14" s="32"/>
      <c r="H14" s="32"/>
      <c r="I14" s="987"/>
      <c r="J14" s="987"/>
      <c r="K14" s="987"/>
      <c r="L14" s="987"/>
      <c r="M14" s="987"/>
      <c r="N14" s="987"/>
      <c r="O14" s="987"/>
      <c r="P14" s="677"/>
      <c r="Q14" s="677"/>
      <c r="R14" s="677"/>
      <c r="S14" s="677"/>
      <c r="T14" s="677"/>
      <c r="U14" s="677"/>
    </row>
    <row r="15" spans="1:25" s="667" customFormat="1" ht="14.25" x14ac:dyDescent="0.2">
      <c r="A15" s="32"/>
      <c r="B15" s="337" t="s">
        <v>894</v>
      </c>
      <c r="C15" s="32"/>
      <c r="D15" s="32"/>
      <c r="E15" s="32"/>
      <c r="F15" s="32"/>
      <c r="G15" s="32"/>
      <c r="H15" s="32"/>
      <c r="I15" s="987"/>
      <c r="J15" s="987"/>
      <c r="K15" s="987"/>
      <c r="L15" s="987"/>
      <c r="M15" s="987"/>
      <c r="N15" s="987"/>
      <c r="O15" s="987"/>
      <c r="P15" s="677"/>
      <c r="Q15" s="677"/>
      <c r="R15" s="677"/>
      <c r="S15" s="677"/>
      <c r="T15" s="677"/>
      <c r="U15" s="677"/>
    </row>
    <row r="16" spans="1:25" s="667" customFormat="1" x14ac:dyDescent="0.2">
      <c r="A16" s="32"/>
      <c r="B16" s="32"/>
      <c r="C16" s="32"/>
      <c r="D16" s="32"/>
      <c r="E16" s="32"/>
      <c r="F16" s="32"/>
      <c r="G16" s="32"/>
      <c r="H16" s="32"/>
      <c r="I16" s="987"/>
      <c r="J16" s="987"/>
      <c r="K16" s="987"/>
      <c r="L16" s="987"/>
      <c r="M16" s="987"/>
      <c r="N16" s="987"/>
      <c r="O16" s="987"/>
      <c r="P16" s="677"/>
      <c r="Q16" s="677"/>
      <c r="R16" s="677"/>
      <c r="S16" s="677"/>
      <c r="T16" s="677"/>
      <c r="U16" s="677"/>
    </row>
    <row r="17" spans="1:21" s="667" customFormat="1" x14ac:dyDescent="0.2">
      <c r="A17" s="32"/>
      <c r="B17" s="32"/>
      <c r="C17" s="32"/>
      <c r="D17" s="32"/>
      <c r="E17" s="32"/>
      <c r="F17" s="32"/>
      <c r="G17" s="32"/>
      <c r="H17" s="32"/>
      <c r="I17" s="987"/>
      <c r="J17" s="987"/>
      <c r="K17" s="987"/>
      <c r="L17" s="987"/>
      <c r="M17" s="987"/>
      <c r="N17" s="987"/>
      <c r="O17" s="987"/>
      <c r="P17" s="677"/>
      <c r="Q17" s="677"/>
      <c r="R17" s="677"/>
      <c r="S17" s="677"/>
      <c r="T17" s="677"/>
      <c r="U17" s="677"/>
    </row>
    <row r="18" spans="1:21" s="667" customFormat="1" x14ac:dyDescent="0.2">
      <c r="A18" s="32"/>
      <c r="B18" s="32"/>
      <c r="C18" s="32"/>
      <c r="D18" s="32"/>
      <c r="E18" s="32"/>
      <c r="F18" s="32"/>
      <c r="G18" s="32"/>
      <c r="H18" s="32"/>
      <c r="I18" s="987"/>
      <c r="J18" s="987"/>
      <c r="K18" s="987"/>
      <c r="L18" s="987"/>
      <c r="M18" s="987"/>
      <c r="N18" s="987"/>
      <c r="O18" s="987"/>
      <c r="P18" s="677"/>
      <c r="Q18" s="677"/>
      <c r="R18" s="677"/>
      <c r="S18" s="677"/>
      <c r="T18" s="677"/>
      <c r="U18" s="677"/>
    </row>
    <row r="19" spans="1:21" s="667" customFormat="1" x14ac:dyDescent="0.2">
      <c r="A19" s="32"/>
      <c r="B19" s="32"/>
      <c r="C19" s="32"/>
      <c r="D19" s="32"/>
      <c r="E19" s="32"/>
      <c r="F19" s="32"/>
      <c r="G19" s="32"/>
      <c r="H19" s="32"/>
      <c r="I19" s="987"/>
      <c r="J19" s="987"/>
      <c r="K19" s="987"/>
      <c r="L19" s="987"/>
      <c r="M19" s="987"/>
      <c r="N19" s="987"/>
      <c r="O19" s="987"/>
      <c r="P19" s="677"/>
      <c r="Q19" s="677"/>
      <c r="R19" s="677"/>
      <c r="S19" s="677"/>
      <c r="T19" s="677"/>
      <c r="U19" s="677"/>
    </row>
    <row r="20" spans="1:21" s="667" customFormat="1" x14ac:dyDescent="0.2">
      <c r="A20" s="32"/>
      <c r="B20" s="32"/>
      <c r="C20" s="32"/>
      <c r="D20" s="32"/>
      <c r="E20" s="32"/>
      <c r="F20" s="32"/>
      <c r="G20" s="32"/>
      <c r="H20" s="32"/>
      <c r="I20" s="987"/>
      <c r="J20" s="987"/>
      <c r="K20" s="987"/>
      <c r="L20" s="987"/>
      <c r="M20" s="987"/>
      <c r="N20" s="987"/>
      <c r="O20" s="987"/>
      <c r="P20" s="677"/>
      <c r="Q20" s="677"/>
      <c r="R20" s="677"/>
      <c r="S20" s="677"/>
      <c r="T20" s="677"/>
      <c r="U20" s="677"/>
    </row>
    <row r="21" spans="1:21" s="667" customFormat="1" x14ac:dyDescent="0.2">
      <c r="A21" s="32"/>
      <c r="B21" s="32"/>
      <c r="C21" s="32"/>
      <c r="D21" s="32"/>
      <c r="E21" s="32"/>
      <c r="F21" s="32"/>
      <c r="G21" s="32"/>
      <c r="H21" s="32"/>
      <c r="I21" s="987"/>
      <c r="J21" s="987"/>
      <c r="K21" s="987"/>
      <c r="L21" s="987"/>
      <c r="M21" s="987"/>
      <c r="N21" s="987"/>
      <c r="O21" s="987"/>
      <c r="P21" s="677"/>
      <c r="Q21" s="677"/>
      <c r="R21" s="677"/>
      <c r="S21" s="677"/>
      <c r="T21" s="677"/>
      <c r="U21" s="677"/>
    </row>
    <row r="22" spans="1:21" s="667" customFormat="1" x14ac:dyDescent="0.2">
      <c r="A22" s="32"/>
      <c r="B22" s="32"/>
      <c r="C22" s="32"/>
      <c r="D22" s="32"/>
      <c r="E22" s="32"/>
      <c r="F22" s="32"/>
      <c r="G22" s="32"/>
      <c r="H22" s="32"/>
      <c r="I22" s="987"/>
      <c r="J22" s="987"/>
      <c r="K22" s="987"/>
      <c r="L22" s="987"/>
      <c r="M22" s="987"/>
      <c r="N22" s="987"/>
      <c r="O22" s="987"/>
      <c r="P22" s="677"/>
      <c r="Q22" s="677"/>
      <c r="R22" s="677"/>
      <c r="S22" s="677"/>
      <c r="T22" s="677"/>
      <c r="U22" s="677"/>
    </row>
    <row r="23" spans="1:21" s="667" customFormat="1" x14ac:dyDescent="0.2">
      <c r="A23" s="32"/>
      <c r="B23" s="32"/>
      <c r="C23" s="32"/>
      <c r="D23" s="32"/>
      <c r="E23" s="32"/>
      <c r="F23" s="32"/>
      <c r="G23" s="32"/>
      <c r="H23" s="32"/>
      <c r="I23" s="987"/>
      <c r="J23" s="987"/>
      <c r="K23" s="987"/>
      <c r="L23" s="987"/>
      <c r="M23" s="987"/>
      <c r="N23" s="987"/>
      <c r="O23" s="987"/>
      <c r="P23" s="677"/>
      <c r="Q23" s="677"/>
      <c r="R23" s="677"/>
      <c r="S23" s="677"/>
      <c r="T23" s="677"/>
      <c r="U23" s="677"/>
    </row>
    <row r="24" spans="1:21" s="667" customFormat="1" x14ac:dyDescent="0.2">
      <c r="A24" s="32"/>
      <c r="B24" s="32"/>
      <c r="C24" s="32"/>
      <c r="D24" s="32"/>
      <c r="E24" s="32"/>
      <c r="F24" s="32"/>
      <c r="G24" s="32"/>
      <c r="H24" s="32"/>
      <c r="I24" s="987"/>
      <c r="J24" s="987"/>
      <c r="K24" s="987"/>
      <c r="L24" s="987"/>
      <c r="M24" s="987"/>
      <c r="N24" s="987"/>
      <c r="O24" s="987"/>
      <c r="P24" s="677"/>
      <c r="Q24" s="677"/>
      <c r="R24" s="677"/>
      <c r="S24" s="677"/>
      <c r="T24" s="677"/>
      <c r="U24" s="677"/>
    </row>
    <row r="25" spans="1:21" s="667" customFormat="1" x14ac:dyDescent="0.2">
      <c r="A25" s="32"/>
      <c r="B25" s="32"/>
      <c r="C25" s="32"/>
      <c r="D25" s="32"/>
      <c r="E25" s="32"/>
      <c r="F25" s="32"/>
      <c r="G25" s="32"/>
      <c r="H25" s="32"/>
      <c r="I25" s="987"/>
      <c r="J25" s="987"/>
      <c r="K25" s="987"/>
      <c r="L25" s="987"/>
      <c r="M25" s="987"/>
      <c r="N25" s="987"/>
      <c r="O25" s="987"/>
      <c r="P25" s="677"/>
      <c r="Q25" s="677"/>
      <c r="R25" s="677"/>
      <c r="S25" s="677"/>
      <c r="T25" s="677"/>
      <c r="U25" s="677"/>
    </row>
    <row r="26" spans="1:21" s="667" customFormat="1" x14ac:dyDescent="0.2">
      <c r="A26" s="32"/>
      <c r="B26" s="32"/>
      <c r="C26" s="32"/>
      <c r="D26" s="32"/>
      <c r="E26" s="32"/>
      <c r="F26" s="32"/>
      <c r="G26" s="32"/>
      <c r="H26" s="32"/>
      <c r="I26" s="987"/>
      <c r="J26" s="987"/>
      <c r="K26" s="987"/>
      <c r="L26" s="987"/>
      <c r="M26" s="987"/>
      <c r="N26" s="987"/>
      <c r="O26" s="987"/>
      <c r="P26" s="677"/>
      <c r="Q26" s="677"/>
      <c r="R26" s="677"/>
      <c r="S26" s="677"/>
      <c r="T26" s="677"/>
      <c r="U26" s="677"/>
    </row>
    <row r="27" spans="1:21" s="667" customFormat="1" x14ac:dyDescent="0.2">
      <c r="A27" s="32"/>
      <c r="B27" s="32"/>
      <c r="C27" s="32"/>
      <c r="D27" s="32"/>
      <c r="E27" s="32"/>
      <c r="F27" s="32"/>
      <c r="G27" s="32"/>
      <c r="H27" s="32"/>
      <c r="I27" s="987"/>
      <c r="J27" s="987"/>
      <c r="K27" s="987"/>
      <c r="L27" s="987"/>
      <c r="M27" s="987"/>
      <c r="N27" s="987"/>
      <c r="O27" s="987"/>
      <c r="P27" s="677"/>
      <c r="Q27" s="677"/>
      <c r="R27" s="677"/>
      <c r="S27" s="677"/>
      <c r="T27" s="677"/>
      <c r="U27" s="677"/>
    </row>
    <row r="28" spans="1:21" s="667" customFormat="1" x14ac:dyDescent="0.2">
      <c r="A28" s="32"/>
      <c r="B28" s="32"/>
      <c r="C28" s="32"/>
      <c r="D28" s="32"/>
      <c r="E28" s="32"/>
      <c r="F28" s="32"/>
      <c r="G28" s="32"/>
      <c r="H28" s="32"/>
      <c r="I28" s="987"/>
      <c r="J28" s="987"/>
      <c r="K28" s="987"/>
      <c r="L28" s="987"/>
      <c r="M28" s="987"/>
      <c r="N28" s="987"/>
      <c r="O28" s="987"/>
      <c r="P28" s="677"/>
      <c r="Q28" s="677"/>
      <c r="R28" s="677"/>
      <c r="S28" s="677"/>
      <c r="T28" s="677"/>
      <c r="U28" s="677"/>
    </row>
    <row r="29" spans="1:21" s="667" customFormat="1" x14ac:dyDescent="0.2">
      <c r="A29" s="32"/>
      <c r="B29" s="32"/>
      <c r="C29" s="32"/>
      <c r="D29" s="32"/>
      <c r="E29" s="32"/>
      <c r="F29" s="32"/>
      <c r="G29" s="32"/>
      <c r="H29" s="32"/>
      <c r="I29" s="987"/>
      <c r="J29" s="987"/>
      <c r="K29" s="987"/>
      <c r="L29" s="987"/>
      <c r="M29" s="987"/>
      <c r="N29" s="987"/>
      <c r="O29" s="987"/>
      <c r="P29" s="677"/>
      <c r="Q29" s="677"/>
      <c r="R29" s="677"/>
      <c r="S29" s="677"/>
      <c r="T29" s="677"/>
      <c r="U29" s="677"/>
    </row>
    <row r="30" spans="1:21" s="667" customFormat="1" x14ac:dyDescent="0.2">
      <c r="A30" s="32"/>
      <c r="B30" s="32"/>
      <c r="C30" s="32"/>
      <c r="D30" s="32"/>
      <c r="E30" s="32"/>
      <c r="F30" s="32"/>
      <c r="G30" s="32"/>
      <c r="H30" s="32"/>
      <c r="I30" s="987"/>
      <c r="J30" s="987"/>
      <c r="K30" s="987"/>
      <c r="L30" s="987"/>
      <c r="M30" s="987"/>
      <c r="N30" s="987"/>
      <c r="O30" s="987"/>
      <c r="P30" s="677"/>
      <c r="Q30" s="677"/>
      <c r="R30" s="677"/>
      <c r="S30" s="677"/>
      <c r="T30" s="677"/>
      <c r="U30" s="677"/>
    </row>
    <row r="31" spans="1:21" s="667" customFormat="1" x14ac:dyDescent="0.2">
      <c r="A31" s="32"/>
      <c r="B31" s="32"/>
      <c r="C31" s="32"/>
      <c r="D31" s="32"/>
      <c r="E31" s="32"/>
      <c r="F31" s="32"/>
      <c r="G31" s="32"/>
      <c r="H31" s="32"/>
      <c r="I31" s="987"/>
      <c r="J31" s="987"/>
      <c r="K31" s="987"/>
      <c r="L31" s="987"/>
      <c r="M31" s="987"/>
      <c r="N31" s="987"/>
      <c r="O31" s="987"/>
      <c r="P31" s="677"/>
      <c r="Q31" s="677"/>
      <c r="R31" s="677"/>
      <c r="S31" s="677"/>
      <c r="T31" s="677"/>
      <c r="U31" s="677"/>
    </row>
    <row r="32" spans="1:21" s="667" customFormat="1" x14ac:dyDescent="0.2">
      <c r="A32" s="32"/>
      <c r="B32" s="32"/>
      <c r="C32" s="32"/>
      <c r="D32" s="32"/>
      <c r="E32" s="32"/>
      <c r="F32" s="32"/>
      <c r="G32" s="32"/>
      <c r="H32" s="32"/>
      <c r="I32" s="987"/>
      <c r="J32" s="987"/>
      <c r="K32" s="987"/>
      <c r="L32" s="987"/>
      <c r="M32" s="987"/>
      <c r="N32" s="987"/>
      <c r="O32" s="987"/>
      <c r="P32" s="677"/>
      <c r="Q32" s="677"/>
      <c r="R32" s="677"/>
      <c r="S32" s="677"/>
      <c r="T32" s="677"/>
      <c r="U32" s="677"/>
    </row>
    <row r="33" spans="1:21" s="667" customFormat="1" x14ac:dyDescent="0.2">
      <c r="A33" s="32"/>
      <c r="B33" s="32"/>
      <c r="C33" s="32"/>
      <c r="D33" s="32"/>
      <c r="E33" s="32"/>
      <c r="F33" s="32"/>
      <c r="G33" s="32"/>
      <c r="H33" s="32"/>
      <c r="I33" s="987"/>
      <c r="J33" s="987"/>
      <c r="K33" s="987"/>
      <c r="L33" s="987"/>
      <c r="M33" s="987"/>
      <c r="N33" s="987"/>
      <c r="O33" s="987"/>
      <c r="P33" s="677"/>
      <c r="Q33" s="677"/>
      <c r="R33" s="677"/>
      <c r="S33" s="677"/>
      <c r="T33" s="677"/>
      <c r="U33" s="677"/>
    </row>
    <row r="34" spans="1:21" s="667" customFormat="1" x14ac:dyDescent="0.2">
      <c r="A34" s="32"/>
      <c r="B34" s="32"/>
      <c r="C34" s="32"/>
      <c r="D34" s="32"/>
      <c r="E34" s="32"/>
      <c r="F34" s="32"/>
      <c r="G34" s="32"/>
      <c r="H34" s="32"/>
      <c r="I34" s="987"/>
      <c r="J34" s="987"/>
      <c r="K34" s="987"/>
      <c r="L34" s="987"/>
      <c r="M34" s="987"/>
      <c r="N34" s="987"/>
      <c r="O34" s="987"/>
      <c r="P34" s="677"/>
      <c r="Q34" s="677"/>
      <c r="R34" s="677"/>
      <c r="S34" s="677"/>
      <c r="T34" s="677"/>
      <c r="U34" s="677"/>
    </row>
    <row r="35" spans="1:21" s="667" customFormat="1" x14ac:dyDescent="0.2">
      <c r="A35" s="32"/>
      <c r="B35" s="32"/>
      <c r="C35" s="32"/>
      <c r="D35" s="32"/>
      <c r="E35" s="32"/>
      <c r="F35" s="32"/>
      <c r="G35" s="32"/>
      <c r="H35" s="32"/>
      <c r="I35" s="987"/>
      <c r="J35" s="987"/>
      <c r="K35" s="987"/>
      <c r="L35" s="987"/>
      <c r="M35" s="987"/>
      <c r="N35" s="987"/>
      <c r="O35" s="987"/>
      <c r="P35" s="677"/>
      <c r="Q35" s="677"/>
      <c r="R35" s="677"/>
      <c r="S35" s="677"/>
      <c r="T35" s="677"/>
      <c r="U35" s="677"/>
    </row>
    <row r="36" spans="1:21" s="667" customFormat="1" x14ac:dyDescent="0.2">
      <c r="A36" s="32"/>
      <c r="B36" s="32"/>
      <c r="C36" s="32"/>
      <c r="D36" s="32"/>
      <c r="E36" s="32"/>
      <c r="F36" s="32"/>
      <c r="G36" s="32"/>
      <c r="H36" s="32"/>
      <c r="I36" s="987"/>
      <c r="J36" s="987"/>
      <c r="K36" s="987"/>
      <c r="L36" s="987"/>
      <c r="M36" s="987"/>
      <c r="N36" s="987"/>
      <c r="O36" s="987"/>
      <c r="P36" s="677"/>
      <c r="Q36" s="677"/>
      <c r="R36" s="677"/>
      <c r="S36" s="677"/>
      <c r="T36" s="677"/>
      <c r="U36" s="677"/>
    </row>
    <row r="37" spans="1:21" s="667" customFormat="1" x14ac:dyDescent="0.2">
      <c r="A37" s="32"/>
      <c r="B37" s="32"/>
      <c r="C37" s="32"/>
      <c r="D37" s="32"/>
      <c r="E37" s="32"/>
      <c r="F37" s="32"/>
      <c r="G37" s="32"/>
      <c r="H37" s="32"/>
      <c r="I37" s="987"/>
      <c r="J37" s="987"/>
      <c r="K37" s="987"/>
      <c r="L37" s="987"/>
      <c r="M37" s="987"/>
      <c r="N37" s="987"/>
      <c r="O37" s="987"/>
      <c r="P37" s="677"/>
      <c r="Q37" s="677"/>
      <c r="R37" s="677"/>
      <c r="S37" s="677"/>
      <c r="T37" s="677"/>
      <c r="U37" s="677"/>
    </row>
    <row r="38" spans="1:21" s="667" customFormat="1" x14ac:dyDescent="0.2">
      <c r="A38" s="32"/>
      <c r="B38" s="32"/>
      <c r="C38" s="32"/>
      <c r="D38" s="32"/>
      <c r="E38" s="32"/>
      <c r="F38" s="32"/>
      <c r="G38" s="32"/>
      <c r="H38" s="32"/>
      <c r="I38" s="987"/>
      <c r="J38" s="987"/>
      <c r="K38" s="987"/>
      <c r="L38" s="987"/>
      <c r="M38" s="987"/>
      <c r="N38" s="987"/>
      <c r="O38" s="987"/>
      <c r="P38" s="677"/>
      <c r="Q38" s="677"/>
      <c r="R38" s="677"/>
      <c r="S38" s="677"/>
      <c r="T38" s="677"/>
      <c r="U38" s="677"/>
    </row>
    <row r="39" spans="1:21" s="667" customFormat="1" x14ac:dyDescent="0.2">
      <c r="A39" s="32"/>
      <c r="B39" s="32"/>
      <c r="C39" s="32"/>
      <c r="D39" s="32"/>
      <c r="E39" s="32"/>
      <c r="F39" s="32"/>
      <c r="G39" s="32"/>
      <c r="H39" s="32"/>
      <c r="I39" s="987"/>
      <c r="J39" s="987"/>
      <c r="K39" s="987"/>
      <c r="L39" s="987"/>
      <c r="M39" s="987"/>
      <c r="N39" s="987"/>
      <c r="O39" s="987"/>
      <c r="P39" s="677"/>
      <c r="Q39" s="677"/>
      <c r="R39" s="677"/>
      <c r="S39" s="677"/>
      <c r="T39" s="677"/>
      <c r="U39" s="677"/>
    </row>
    <row r="40" spans="1:21" s="667" customFormat="1" x14ac:dyDescent="0.2">
      <c r="A40" s="32"/>
      <c r="B40" s="32"/>
      <c r="C40" s="32"/>
      <c r="D40" s="32"/>
      <c r="E40" s="32"/>
      <c r="F40" s="32"/>
      <c r="G40" s="32"/>
      <c r="H40" s="32"/>
      <c r="I40" s="987"/>
      <c r="J40" s="987"/>
      <c r="K40" s="987"/>
      <c r="L40" s="987"/>
      <c r="M40" s="987"/>
      <c r="N40" s="987"/>
      <c r="O40" s="987"/>
      <c r="P40" s="677"/>
      <c r="Q40" s="677"/>
      <c r="R40" s="677"/>
      <c r="S40" s="677"/>
      <c r="T40" s="677"/>
      <c r="U40" s="677"/>
    </row>
    <row r="41" spans="1:21" s="667" customFormat="1" x14ac:dyDescent="0.2">
      <c r="A41" s="32"/>
      <c r="B41" s="32"/>
      <c r="C41" s="32"/>
      <c r="D41" s="32"/>
      <c r="E41" s="32"/>
      <c r="F41" s="32"/>
      <c r="G41" s="32"/>
      <c r="H41" s="32"/>
      <c r="I41" s="987"/>
      <c r="J41" s="987"/>
      <c r="K41" s="987"/>
      <c r="L41" s="987"/>
      <c r="M41" s="987"/>
      <c r="N41" s="987"/>
      <c r="O41" s="987"/>
      <c r="P41" s="677"/>
      <c r="Q41" s="677"/>
      <c r="R41" s="677"/>
      <c r="S41" s="677"/>
      <c r="T41" s="677"/>
      <c r="U41" s="677"/>
    </row>
    <row r="42" spans="1:21" s="667" customFormat="1" x14ac:dyDescent="0.2">
      <c r="A42" s="32"/>
      <c r="B42" s="32"/>
      <c r="C42" s="32"/>
      <c r="D42" s="32"/>
      <c r="E42" s="32"/>
      <c r="F42" s="32"/>
      <c r="G42" s="32"/>
      <c r="H42" s="32"/>
      <c r="I42" s="987"/>
      <c r="J42" s="987"/>
      <c r="K42" s="987"/>
      <c r="L42" s="987"/>
      <c r="M42" s="987"/>
      <c r="N42" s="987"/>
      <c r="O42" s="987"/>
      <c r="P42" s="677"/>
      <c r="Q42" s="677"/>
      <c r="R42" s="677"/>
      <c r="S42" s="677"/>
      <c r="T42" s="677"/>
      <c r="U42" s="677"/>
    </row>
    <row r="43" spans="1:21" s="667" customFormat="1" x14ac:dyDescent="0.2">
      <c r="A43" s="32"/>
      <c r="B43" s="32"/>
      <c r="C43" s="32"/>
      <c r="D43" s="32"/>
      <c r="E43" s="32"/>
      <c r="F43" s="32"/>
      <c r="G43" s="32"/>
      <c r="H43" s="32"/>
      <c r="I43" s="987"/>
      <c r="J43" s="987"/>
      <c r="K43" s="987"/>
      <c r="L43" s="987"/>
      <c r="M43" s="987"/>
      <c r="N43" s="987"/>
      <c r="O43" s="987"/>
      <c r="P43" s="677"/>
      <c r="Q43" s="677"/>
      <c r="R43" s="677"/>
      <c r="S43" s="677"/>
      <c r="T43" s="677"/>
      <c r="U43" s="677"/>
    </row>
    <row r="44" spans="1:21" s="667" customFormat="1" x14ac:dyDescent="0.2">
      <c r="A44" s="32"/>
      <c r="B44" s="32"/>
      <c r="C44" s="32"/>
      <c r="D44" s="32"/>
      <c r="E44" s="32"/>
      <c r="F44" s="32"/>
      <c r="G44" s="32"/>
      <c r="H44" s="32"/>
      <c r="I44" s="987"/>
      <c r="J44" s="987"/>
      <c r="K44" s="987"/>
      <c r="L44" s="987"/>
      <c r="M44" s="987"/>
      <c r="N44" s="987"/>
      <c r="O44" s="987"/>
      <c r="P44" s="677"/>
      <c r="Q44" s="677"/>
      <c r="R44" s="677"/>
      <c r="S44" s="677"/>
      <c r="T44" s="677"/>
      <c r="U44" s="677"/>
    </row>
    <row r="45" spans="1:21" s="667" customFormat="1" x14ac:dyDescent="0.2">
      <c r="A45" s="32"/>
      <c r="B45" s="32"/>
      <c r="C45" s="32"/>
      <c r="D45" s="32"/>
      <c r="E45" s="32"/>
      <c r="F45" s="32"/>
      <c r="G45" s="32"/>
      <c r="H45" s="32"/>
      <c r="I45" s="987"/>
      <c r="J45" s="987"/>
      <c r="K45" s="987"/>
      <c r="L45" s="987"/>
      <c r="M45" s="987"/>
      <c r="N45" s="987"/>
      <c r="O45" s="987"/>
      <c r="P45" s="677"/>
      <c r="Q45" s="677"/>
      <c r="R45" s="677"/>
      <c r="S45" s="677"/>
      <c r="T45" s="677"/>
      <c r="U45" s="677"/>
    </row>
    <row r="46" spans="1:21" s="667" customFormat="1" x14ac:dyDescent="0.2">
      <c r="A46" s="32"/>
      <c r="B46" s="32"/>
      <c r="C46" s="32"/>
      <c r="D46" s="32"/>
      <c r="E46" s="32"/>
      <c r="F46" s="32"/>
      <c r="G46" s="32"/>
      <c r="H46" s="32"/>
      <c r="I46" s="987"/>
      <c r="J46" s="987"/>
      <c r="K46" s="987"/>
      <c r="L46" s="987"/>
      <c r="M46" s="987"/>
      <c r="N46" s="987"/>
      <c r="O46" s="987"/>
      <c r="P46" s="677"/>
      <c r="Q46" s="677"/>
      <c r="R46" s="677"/>
      <c r="S46" s="677"/>
      <c r="T46" s="677"/>
      <c r="U46" s="677"/>
    </row>
    <row r="47" spans="1:21" s="667" customFormat="1" x14ac:dyDescent="0.2">
      <c r="A47" s="32"/>
      <c r="B47" s="32"/>
      <c r="C47" s="32"/>
      <c r="D47" s="32"/>
      <c r="E47" s="32"/>
      <c r="F47" s="32"/>
      <c r="G47" s="32"/>
      <c r="H47" s="32"/>
      <c r="I47" s="987"/>
      <c r="J47" s="987"/>
      <c r="K47" s="987"/>
      <c r="L47" s="987"/>
      <c r="M47" s="987"/>
      <c r="N47" s="987"/>
      <c r="O47" s="987"/>
      <c r="P47" s="677"/>
      <c r="Q47" s="677"/>
      <c r="R47" s="677"/>
      <c r="S47" s="677"/>
      <c r="T47" s="677"/>
      <c r="U47" s="677"/>
    </row>
    <row r="48" spans="1:21" s="667" customFormat="1" ht="14.25" x14ac:dyDescent="0.2">
      <c r="A48" s="32"/>
      <c r="B48" s="337" t="s">
        <v>905</v>
      </c>
      <c r="C48" s="32"/>
      <c r="D48" s="32"/>
      <c r="E48" s="32"/>
      <c r="F48" s="32"/>
      <c r="G48" s="32"/>
      <c r="H48" s="32"/>
      <c r="I48" s="987"/>
      <c r="J48" s="987"/>
      <c r="K48" s="987"/>
      <c r="L48" s="987"/>
      <c r="M48" s="987"/>
      <c r="N48" s="987"/>
      <c r="O48" s="987"/>
      <c r="P48" s="677"/>
      <c r="Q48" s="677"/>
      <c r="R48" s="677"/>
      <c r="S48" s="677"/>
      <c r="T48" s="677"/>
      <c r="U48" s="677"/>
    </row>
    <row r="49" spans="1:21" s="667" customFormat="1" x14ac:dyDescent="0.2">
      <c r="A49" s="32"/>
      <c r="B49" s="14"/>
      <c r="C49" s="1070" t="s">
        <v>807</v>
      </c>
      <c r="D49" s="1071" t="s">
        <v>808</v>
      </c>
      <c r="E49" s="32"/>
      <c r="F49" s="32"/>
      <c r="G49" s="32"/>
      <c r="H49" s="32"/>
      <c r="I49" s="987"/>
      <c r="J49" s="987"/>
      <c r="K49" s="987"/>
      <c r="L49" s="987"/>
      <c r="M49" s="987"/>
      <c r="N49" s="987"/>
      <c r="O49" s="987"/>
      <c r="P49" s="677"/>
      <c r="Q49" s="677"/>
      <c r="R49" s="677"/>
      <c r="S49" s="677"/>
      <c r="T49" s="677"/>
      <c r="U49" s="677"/>
    </row>
    <row r="50" spans="1:21" s="667" customFormat="1" ht="36" x14ac:dyDescent="0.2">
      <c r="A50" s="32"/>
      <c r="B50" s="1072" t="s">
        <v>820</v>
      </c>
      <c r="C50" s="1066">
        <f>F63</f>
        <v>0.66076939168091564</v>
      </c>
      <c r="D50" s="1073">
        <f>D63</f>
        <v>13.262638986849007</v>
      </c>
      <c r="E50" s="32"/>
      <c r="F50" s="32"/>
      <c r="G50" s="32"/>
      <c r="H50" s="32"/>
      <c r="I50" s="987"/>
      <c r="J50" s="987"/>
      <c r="K50" s="987"/>
      <c r="L50" s="987"/>
      <c r="M50" s="987"/>
      <c r="N50" s="987"/>
      <c r="O50" s="987"/>
      <c r="P50" s="677"/>
      <c r="Q50" s="677"/>
      <c r="R50" s="677"/>
      <c r="S50" s="677"/>
      <c r="T50" s="677"/>
      <c r="U50" s="677"/>
    </row>
    <row r="51" spans="1:21" s="667" customFormat="1" x14ac:dyDescent="0.2">
      <c r="A51" s="32"/>
      <c r="B51" s="670" t="s">
        <v>3</v>
      </c>
      <c r="C51" s="1066">
        <f>F74</f>
        <v>1.1409446636803946</v>
      </c>
      <c r="D51" s="1073">
        <f>D74</f>
        <v>6.0781404207305521</v>
      </c>
      <c r="E51" s="32"/>
      <c r="F51" s="32"/>
      <c r="G51" s="32"/>
      <c r="H51" s="32"/>
      <c r="I51" s="987"/>
      <c r="J51" s="987"/>
      <c r="K51" s="987"/>
      <c r="L51" s="987"/>
      <c r="M51" s="987"/>
      <c r="N51" s="987"/>
      <c r="O51" s="987"/>
      <c r="P51" s="677"/>
      <c r="Q51" s="677"/>
      <c r="R51" s="677"/>
      <c r="S51" s="677"/>
      <c r="T51" s="677"/>
      <c r="U51" s="677"/>
    </row>
    <row r="52" spans="1:21" s="667" customFormat="1" x14ac:dyDescent="0.2">
      <c r="A52" s="32"/>
      <c r="B52" s="670" t="s">
        <v>7</v>
      </c>
      <c r="C52" s="1066">
        <f>F77</f>
        <v>1.6846502576165929</v>
      </c>
      <c r="D52" s="1073">
        <f>D77</f>
        <v>10.014256005876366</v>
      </c>
      <c r="E52" s="32"/>
      <c r="F52" s="32"/>
      <c r="G52" s="32"/>
      <c r="H52" s="32"/>
      <c r="I52" s="987"/>
      <c r="J52" s="987"/>
      <c r="K52" s="987"/>
      <c r="L52" s="987"/>
      <c r="M52" s="987"/>
      <c r="N52" s="987"/>
      <c r="O52" s="987"/>
      <c r="P52" s="677"/>
      <c r="Q52" s="677"/>
      <c r="R52" s="677"/>
      <c r="S52" s="677"/>
      <c r="T52" s="677"/>
      <c r="U52" s="677"/>
    </row>
    <row r="53" spans="1:21" s="667" customFormat="1" x14ac:dyDescent="0.2">
      <c r="A53" s="32"/>
      <c r="B53" s="674" t="s">
        <v>819</v>
      </c>
      <c r="C53" s="1074">
        <f>F71</f>
        <v>2.6502517115650246</v>
      </c>
      <c r="D53" s="1075">
        <f>D71</f>
        <v>5.7981567888282273</v>
      </c>
      <c r="E53" s="32"/>
      <c r="F53" s="32"/>
      <c r="G53" s="32"/>
      <c r="H53" s="32"/>
      <c r="I53" s="987"/>
      <c r="J53" s="987"/>
      <c r="K53" s="987"/>
      <c r="L53" s="987"/>
      <c r="M53" s="987"/>
      <c r="N53" s="987"/>
      <c r="O53" s="987"/>
      <c r="P53" s="677"/>
      <c r="Q53" s="677"/>
      <c r="R53" s="677"/>
      <c r="S53" s="677"/>
      <c r="T53" s="677"/>
      <c r="U53" s="677"/>
    </row>
    <row r="54" spans="1:21" s="667" customFormat="1" x14ac:dyDescent="0.2">
      <c r="A54" s="32"/>
      <c r="B54" s="32"/>
      <c r="C54" s="32"/>
      <c r="D54" s="32"/>
      <c r="E54" s="32"/>
      <c r="F54" s="32"/>
      <c r="G54" s="32"/>
      <c r="H54" s="32"/>
      <c r="I54" s="987"/>
      <c r="J54" s="987"/>
      <c r="K54" s="987"/>
      <c r="L54" s="987"/>
      <c r="M54" s="987"/>
      <c r="N54" s="987"/>
      <c r="O54" s="987"/>
      <c r="P54" s="677"/>
      <c r="Q54" s="677"/>
      <c r="R54" s="677"/>
      <c r="S54" s="677"/>
      <c r="T54" s="677"/>
      <c r="U54" s="677"/>
    </row>
    <row r="55" spans="1:21" s="667" customFormat="1" x14ac:dyDescent="0.2">
      <c r="A55" s="32"/>
      <c r="B55" s="32"/>
      <c r="C55" s="32"/>
      <c r="D55" s="32"/>
      <c r="E55" s="32"/>
      <c r="F55" s="32"/>
      <c r="G55" s="32"/>
      <c r="H55" s="32"/>
      <c r="I55" s="987"/>
      <c r="J55" s="987"/>
      <c r="K55" s="987"/>
      <c r="L55" s="987"/>
      <c r="M55" s="987"/>
      <c r="N55" s="987"/>
      <c r="O55" s="987"/>
      <c r="P55" s="677"/>
      <c r="Q55" s="677"/>
      <c r="R55" s="677"/>
      <c r="S55" s="677"/>
      <c r="T55" s="677"/>
      <c r="U55" s="677"/>
    </row>
    <row r="56" spans="1:21" s="667" customFormat="1" x14ac:dyDescent="0.2">
      <c r="A56" s="32"/>
      <c r="B56" s="32"/>
      <c r="C56" s="32"/>
      <c r="D56" s="32"/>
      <c r="E56" s="32"/>
      <c r="F56" s="32"/>
      <c r="G56" s="32"/>
      <c r="H56" s="32"/>
      <c r="I56" s="987"/>
      <c r="J56" s="987"/>
      <c r="K56" s="987"/>
      <c r="L56" s="987"/>
      <c r="M56" s="987"/>
      <c r="N56" s="987"/>
      <c r="O56" s="987"/>
      <c r="P56" s="677"/>
      <c r="Q56" s="677"/>
      <c r="R56" s="677"/>
      <c r="S56" s="677"/>
      <c r="T56" s="677"/>
      <c r="U56" s="677"/>
    </row>
    <row r="57" spans="1:21" x14ac:dyDescent="0.2">
      <c r="C57" s="452"/>
      <c r="D57" s="1068"/>
      <c r="F57" s="479"/>
      <c r="G57" s="479"/>
      <c r="H57" s="1069"/>
    </row>
    <row r="58" spans="1:21" ht="14.25" x14ac:dyDescent="0.2">
      <c r="B58" s="337" t="s">
        <v>826</v>
      </c>
      <c r="C58" s="452"/>
      <c r="D58" s="1068"/>
      <c r="F58" s="479"/>
      <c r="G58" s="479"/>
      <c r="H58" s="1069"/>
    </row>
    <row r="59" spans="1:21" ht="12.75" x14ac:dyDescent="0.2">
      <c r="B59" s="1076" t="s">
        <v>809</v>
      </c>
      <c r="C59" s="1077" t="s">
        <v>810</v>
      </c>
      <c r="D59" s="1077" t="s">
        <v>808</v>
      </c>
      <c r="E59" s="1077" t="s">
        <v>811</v>
      </c>
      <c r="F59" s="1077" t="s">
        <v>812</v>
      </c>
      <c r="G59" s="1078" t="s">
        <v>813</v>
      </c>
      <c r="H59" s="1069"/>
      <c r="O59" s="1067"/>
      <c r="P59" s="1065"/>
      <c r="Q59" s="1065"/>
      <c r="R59" s="1065"/>
      <c r="S59" s="1065"/>
      <c r="T59" s="1065"/>
      <c r="U59" s="1065"/>
    </row>
    <row r="60" spans="1:21" ht="12.75" x14ac:dyDescent="0.2">
      <c r="B60" s="1079"/>
      <c r="C60" s="1080" t="s">
        <v>814</v>
      </c>
      <c r="D60" s="1080" t="s">
        <v>815</v>
      </c>
      <c r="E60" s="1080" t="s">
        <v>815</v>
      </c>
      <c r="F60" s="1080" t="s">
        <v>816</v>
      </c>
      <c r="G60" s="1081" t="s">
        <v>816</v>
      </c>
      <c r="H60" s="1069"/>
      <c r="O60" s="1067"/>
      <c r="P60" s="1065"/>
      <c r="Q60" s="1065"/>
      <c r="R60" s="1065"/>
      <c r="S60" s="1065"/>
      <c r="T60" s="1065"/>
      <c r="U60" s="1065"/>
    </row>
    <row r="61" spans="1:21" ht="12.75" x14ac:dyDescent="0.2">
      <c r="B61" s="1079" t="s">
        <v>817</v>
      </c>
      <c r="C61" s="1080" t="s">
        <v>19</v>
      </c>
      <c r="D61" s="1084">
        <v>12.367132555606773</v>
      </c>
      <c r="E61" s="1084">
        <v>3.4786367862917165</v>
      </c>
      <c r="F61" s="1084">
        <v>0.61615359233622868</v>
      </c>
      <c r="G61" s="1085">
        <v>0.17331216776963168</v>
      </c>
      <c r="H61" s="1069"/>
    </row>
    <row r="62" spans="1:21" ht="12.75" x14ac:dyDescent="0.2">
      <c r="B62" s="1079" t="s">
        <v>817</v>
      </c>
      <c r="C62" s="1080" t="s">
        <v>20</v>
      </c>
      <c r="D62" s="1084">
        <v>13.070657032896985</v>
      </c>
      <c r="E62" s="1084">
        <v>3.470043822720609</v>
      </c>
      <c r="F62" s="1084">
        <v>0.65120449294150362</v>
      </c>
      <c r="G62" s="1085">
        <v>0.17288405030995815</v>
      </c>
      <c r="H62" s="1069"/>
    </row>
    <row r="63" spans="1:21" ht="12.75" x14ac:dyDescent="0.2">
      <c r="B63" s="1079" t="s">
        <v>817</v>
      </c>
      <c r="C63" s="1080" t="s">
        <v>6</v>
      </c>
      <c r="D63" s="1084">
        <v>13.262638986849007</v>
      </c>
      <c r="E63" s="1084">
        <v>3.5652273865097119</v>
      </c>
      <c r="F63" s="1084">
        <v>0.66076939168091564</v>
      </c>
      <c r="G63" s="1085">
        <v>0.17762627284993018</v>
      </c>
      <c r="H63" s="1069"/>
    </row>
    <row r="64" spans="1:21" ht="12.75" x14ac:dyDescent="0.2">
      <c r="B64" s="1079" t="s">
        <v>817</v>
      </c>
      <c r="C64" s="1080" t="s">
        <v>51</v>
      </c>
      <c r="D64" s="1084">
        <v>13.284559743703607</v>
      </c>
      <c r="E64" s="1084">
        <v>3.5950384314664947</v>
      </c>
      <c r="F64" s="1084">
        <v>0.66186152464075587</v>
      </c>
      <c r="G64" s="1085">
        <v>0.17911151466801767</v>
      </c>
      <c r="H64" s="1069"/>
    </row>
    <row r="65" spans="2:8" ht="12.75" x14ac:dyDescent="0.2">
      <c r="B65" s="1079" t="s">
        <v>818</v>
      </c>
      <c r="C65" s="1080" t="s">
        <v>19</v>
      </c>
      <c r="D65" s="1084">
        <v>22.973920603146517</v>
      </c>
      <c r="E65" s="1084">
        <v>2.1606318780495108</v>
      </c>
      <c r="F65" s="1084">
        <v>0.47945121931648765</v>
      </c>
      <c r="G65" s="1085">
        <v>4.5091023265877869E-2</v>
      </c>
      <c r="H65" s="1069"/>
    </row>
    <row r="66" spans="2:8" ht="12.75" x14ac:dyDescent="0.2">
      <c r="B66" s="1079" t="s">
        <v>818</v>
      </c>
      <c r="C66" s="1080" t="s">
        <v>20</v>
      </c>
      <c r="D66" s="1084">
        <v>23.881807934571491</v>
      </c>
      <c r="E66" s="1084">
        <v>2.3022165946197775</v>
      </c>
      <c r="F66" s="1084">
        <v>0.52321131939839161</v>
      </c>
      <c r="G66" s="1085">
        <v>5.0437797059249272E-2</v>
      </c>
      <c r="H66" s="1069"/>
    </row>
    <row r="67" spans="2:8" ht="12.75" x14ac:dyDescent="0.2">
      <c r="B67" s="1079" t="s">
        <v>818</v>
      </c>
      <c r="C67" s="1080" t="s">
        <v>6</v>
      </c>
      <c r="D67" s="1084">
        <v>23.627595419374998</v>
      </c>
      <c r="E67" s="1084">
        <v>2.4241834065939383</v>
      </c>
      <c r="F67" s="1084">
        <v>0.51971793774721797</v>
      </c>
      <c r="G67" s="1085">
        <v>5.3322887007067013E-2</v>
      </c>
      <c r="H67" s="1069"/>
    </row>
    <row r="68" spans="2:8" ht="12.75" x14ac:dyDescent="0.2">
      <c r="B68" s="1079" t="s">
        <v>818</v>
      </c>
      <c r="C68" s="1080" t="s">
        <v>51</v>
      </c>
      <c r="D68" s="1084">
        <v>22.679681019347164</v>
      </c>
      <c r="E68" s="1084">
        <v>2.4444534855209947</v>
      </c>
      <c r="F68" s="1084">
        <v>0.49886739801182972</v>
      </c>
      <c r="G68" s="1085">
        <v>5.3768752251962169E-2</v>
      </c>
      <c r="H68" s="1069"/>
    </row>
    <row r="69" spans="2:8" ht="12.75" customHeight="1" x14ac:dyDescent="0.2">
      <c r="B69" s="1079" t="s">
        <v>8</v>
      </c>
      <c r="C69" s="1080" t="s">
        <v>19</v>
      </c>
      <c r="D69" s="1084">
        <v>5.7672622815385299</v>
      </c>
      <c r="E69" s="1084">
        <v>1.3442099442833286</v>
      </c>
      <c r="F69" s="1084">
        <v>2.9630686109349309</v>
      </c>
      <c r="G69" s="1085">
        <v>0.6906199333368942</v>
      </c>
      <c r="H69" s="1069"/>
    </row>
    <row r="70" spans="2:8" ht="12.75" x14ac:dyDescent="0.2">
      <c r="B70" s="1079" t="s">
        <v>8</v>
      </c>
      <c r="C70" s="1080" t="s">
        <v>20</v>
      </c>
      <c r="D70" s="1084">
        <v>5.6887529929179239</v>
      </c>
      <c r="E70" s="1084">
        <v>1.4131725761705072</v>
      </c>
      <c r="F70" s="1084">
        <v>2.7801036327674997</v>
      </c>
      <c r="G70" s="1085">
        <v>0.69061993333689409</v>
      </c>
      <c r="H70" s="1069"/>
    </row>
    <row r="71" spans="2:8" ht="12.75" x14ac:dyDescent="0.2">
      <c r="B71" s="1079" t="s">
        <v>8</v>
      </c>
      <c r="C71" s="1080" t="s">
        <v>6</v>
      </c>
      <c r="D71" s="1084">
        <v>5.7981567888282273</v>
      </c>
      <c r="E71" s="1084">
        <v>1.5109216371801835</v>
      </c>
      <c r="F71" s="1084">
        <v>2.6502517115650246</v>
      </c>
      <c r="G71" s="1085">
        <v>0.69061993333689409</v>
      </c>
      <c r="H71" s="1069"/>
    </row>
    <row r="72" spans="2:8" ht="12.75" x14ac:dyDescent="0.2">
      <c r="B72" s="1079" t="s">
        <v>3</v>
      </c>
      <c r="C72" s="1080" t="s">
        <v>19</v>
      </c>
      <c r="D72" s="1084">
        <v>5.5246863324473363</v>
      </c>
      <c r="E72" s="1084">
        <v>1.8502804032346154</v>
      </c>
      <c r="F72" s="1084">
        <v>1.037054255610004</v>
      </c>
      <c r="G72" s="1085">
        <v>0.34732128681706348</v>
      </c>
      <c r="H72" s="1069"/>
    </row>
    <row r="73" spans="2:8" ht="12.75" x14ac:dyDescent="0.2">
      <c r="B73" s="1079" t="s">
        <v>3</v>
      </c>
      <c r="C73" s="1080" t="s">
        <v>20</v>
      </c>
      <c r="D73" s="1084">
        <v>5.5667172797042355</v>
      </c>
      <c r="E73" s="1084">
        <v>1.9792687266753342</v>
      </c>
      <c r="F73" s="1084">
        <v>1.0449440017597691</v>
      </c>
      <c r="G73" s="1085">
        <v>0.37153404419345198</v>
      </c>
      <c r="H73" s="1069"/>
    </row>
    <row r="74" spans="2:8" ht="12.75" x14ac:dyDescent="0.2">
      <c r="B74" s="1079" t="s">
        <v>3</v>
      </c>
      <c r="C74" s="1080" t="s">
        <v>6</v>
      </c>
      <c r="D74" s="1084">
        <v>6.0781404207305521</v>
      </c>
      <c r="E74" s="1084">
        <v>2.124972474234359</v>
      </c>
      <c r="F74" s="1084">
        <v>1.1409446636803946</v>
      </c>
      <c r="G74" s="1085">
        <v>0.39888450037717471</v>
      </c>
      <c r="H74" s="1069"/>
    </row>
    <row r="75" spans="2:8" ht="12.75" x14ac:dyDescent="0.2">
      <c r="B75" s="1079" t="s">
        <v>10</v>
      </c>
      <c r="C75" s="1080" t="s">
        <v>19</v>
      </c>
      <c r="D75" s="1084">
        <v>10.462122716313139</v>
      </c>
      <c r="E75" s="1084">
        <v>4.2892325326856007</v>
      </c>
      <c r="F75" s="1084">
        <v>1.7599927262605408</v>
      </c>
      <c r="G75" s="1085">
        <v>0.7215570170091653</v>
      </c>
      <c r="H75" s="1069"/>
    </row>
    <row r="76" spans="2:8" ht="12.75" x14ac:dyDescent="0.2">
      <c r="B76" s="1079" t="s">
        <v>10</v>
      </c>
      <c r="C76" s="1080" t="s">
        <v>20</v>
      </c>
      <c r="D76" s="1084">
        <v>9.2832395456453831</v>
      </c>
      <c r="E76" s="1084">
        <v>4.1287446641692247</v>
      </c>
      <c r="F76" s="1084">
        <v>1.5616748646041265</v>
      </c>
      <c r="G76" s="1085">
        <v>0.69455891261860436</v>
      </c>
      <c r="H76" s="1069"/>
    </row>
    <row r="77" spans="2:8" ht="12.75" x14ac:dyDescent="0.2">
      <c r="B77" s="1082" t="s">
        <v>10</v>
      </c>
      <c r="C77" s="1083" t="s">
        <v>6</v>
      </c>
      <c r="D77" s="1086">
        <v>10.014256005876366</v>
      </c>
      <c r="E77" s="1086">
        <v>4.1186354664327407</v>
      </c>
      <c r="F77" s="1086">
        <v>1.6846502576165929</v>
      </c>
      <c r="G77" s="1087">
        <v>0.69285829076900618</v>
      </c>
      <c r="H77" s="1069"/>
    </row>
    <row r="78" spans="2:8" x14ac:dyDescent="0.2">
      <c r="C78" s="452"/>
      <c r="D78" s="441"/>
      <c r="E78" s="441"/>
      <c r="F78" s="441"/>
      <c r="G78" s="441"/>
      <c r="H78" s="1069"/>
    </row>
    <row r="79" spans="2:8" x14ac:dyDescent="0.2">
      <c r="H79" s="1069"/>
    </row>
    <row r="80" spans="2:8" x14ac:dyDescent="0.2">
      <c r="H80" s="1069"/>
    </row>
    <row r="81" spans="2:11" x14ac:dyDescent="0.2">
      <c r="H81" s="1069"/>
    </row>
    <row r="82" spans="2:11" ht="14.25" x14ac:dyDescent="0.2">
      <c r="B82" s="624" t="s">
        <v>906</v>
      </c>
      <c r="C82" s="625"/>
      <c r="D82" s="295"/>
      <c r="E82" s="295"/>
      <c r="F82" s="295"/>
      <c r="I82" s="32"/>
      <c r="J82" s="32"/>
      <c r="K82" s="32"/>
    </row>
    <row r="83" spans="2:11" ht="24" x14ac:dyDescent="0.2">
      <c r="B83" s="626" t="s">
        <v>825</v>
      </c>
      <c r="C83" s="349"/>
      <c r="D83" s="1104">
        <v>2.5499999999999998</v>
      </c>
      <c r="E83" s="349"/>
      <c r="F83" s="473"/>
      <c r="G83" s="771"/>
      <c r="I83" s="74" t="s">
        <v>250</v>
      </c>
      <c r="J83" s="475" t="s">
        <v>118</v>
      </c>
      <c r="K83" s="475"/>
    </row>
    <row r="84" spans="2:11" ht="36" x14ac:dyDescent="0.2">
      <c r="B84" s="474"/>
      <c r="C84" s="295"/>
      <c r="D84" s="476"/>
      <c r="E84" s="295" t="s">
        <v>23</v>
      </c>
      <c r="F84" s="267" t="s">
        <v>907</v>
      </c>
      <c r="G84" s="1188" t="s">
        <v>908</v>
      </c>
      <c r="I84" s="32"/>
      <c r="J84" s="32"/>
      <c r="K84" s="32"/>
    </row>
    <row r="85" spans="2:11" ht="12.75" x14ac:dyDescent="0.2">
      <c r="B85" s="1367" t="s">
        <v>117</v>
      </c>
      <c r="C85" s="295" t="s">
        <v>3</v>
      </c>
      <c r="D85" s="345">
        <f>E85/F85</f>
        <v>3.8825267456990025</v>
      </c>
      <c r="E85" s="317">
        <f>'TfNSW cost revenue data'!P15*'IPART inputs'!$C$18</f>
        <v>1289061000</v>
      </c>
      <c r="F85" s="477">
        <f>'Patronage since 2011-12'!J27</f>
        <v>332016000</v>
      </c>
      <c r="G85" s="1189">
        <f>'Mode of travel'!F39</f>
        <v>0</v>
      </c>
      <c r="I85" s="32"/>
      <c r="J85" s="32"/>
      <c r="K85" s="32"/>
    </row>
    <row r="86" spans="2:11" ht="12.75" x14ac:dyDescent="0.2">
      <c r="B86" s="1367"/>
      <c r="C86" s="295" t="s">
        <v>8</v>
      </c>
      <c r="D86" s="345">
        <f>E86/F86</f>
        <v>4.8272904483430796</v>
      </c>
      <c r="E86" s="317">
        <f>'TfNSW cost revenue data'!P23*'IPART inputs'!$C$18</f>
        <v>49528000</v>
      </c>
      <c r="F86" s="477">
        <f>'Patronage since 2011-12'!J29</f>
        <v>10260000</v>
      </c>
      <c r="G86" s="1189">
        <f>'Mode of travel'!F41</f>
        <v>0</v>
      </c>
      <c r="I86" s="32"/>
      <c r="J86" s="32"/>
      <c r="K86" s="32"/>
    </row>
    <row r="87" spans="2:11" ht="12.75" x14ac:dyDescent="0.2">
      <c r="B87" s="1367"/>
      <c r="C87" s="295" t="s">
        <v>7</v>
      </c>
      <c r="D87" s="345">
        <f>E87/F87</f>
        <v>9.2818375418314574</v>
      </c>
      <c r="E87" s="317">
        <f>'TfNSW cost revenue data'!P19*'IPART inputs'!$C$18</f>
        <v>152547000</v>
      </c>
      <c r="F87" s="477">
        <f>'Patronage since 2011-12'!J28</f>
        <v>16435000</v>
      </c>
      <c r="G87" s="1189">
        <f>'Mode of travel'!F40</f>
        <v>0</v>
      </c>
      <c r="I87" s="32"/>
      <c r="J87" s="32"/>
      <c r="K87" s="32"/>
    </row>
    <row r="88" spans="2:11" ht="12.75" x14ac:dyDescent="0.2">
      <c r="B88" s="1368"/>
      <c r="C88" s="80" t="s">
        <v>4</v>
      </c>
      <c r="D88" s="346">
        <f>E88/F88</f>
        <v>11.166065159820164</v>
      </c>
      <c r="E88" s="318">
        <f>'TfNSW cost revenue data'!P11*'IPART inputs'!$C$18</f>
        <v>4532585000</v>
      </c>
      <c r="F88" s="478">
        <f>'Patronage since 2011-12'!J26</f>
        <v>405925000</v>
      </c>
      <c r="G88" s="1190">
        <f>'Mode of travel'!F38</f>
        <v>0</v>
      </c>
      <c r="I88" s="32"/>
      <c r="J88" s="32"/>
      <c r="K88" s="32"/>
    </row>
    <row r="89" spans="2:11" x14ac:dyDescent="0.2">
      <c r="I89" s="32"/>
      <c r="J89" s="32"/>
      <c r="K89" s="32"/>
    </row>
    <row r="90" spans="2:11" x14ac:dyDescent="0.2">
      <c r="I90" s="32"/>
      <c r="J90" s="32"/>
      <c r="K90" s="32"/>
    </row>
    <row r="91" spans="2:11" x14ac:dyDescent="0.2">
      <c r="I91" s="32"/>
      <c r="J91" s="32"/>
      <c r="K91" s="32"/>
    </row>
    <row r="92" spans="2:11" x14ac:dyDescent="0.2">
      <c r="B92" s="352"/>
      <c r="C92" s="352"/>
      <c r="D92" s="28"/>
      <c r="E92" s="28"/>
      <c r="F92" s="28"/>
      <c r="I92" s="32"/>
      <c r="J92" s="32"/>
      <c r="K92" s="32"/>
    </row>
    <row r="93" spans="2:11" x14ac:dyDescent="0.2">
      <c r="B93" s="352"/>
      <c r="C93" s="352"/>
      <c r="D93" s="28"/>
      <c r="E93" s="28"/>
      <c r="F93" s="28"/>
      <c r="G93" s="28"/>
      <c r="H93" s="28"/>
      <c r="I93" s="28"/>
      <c r="J93" s="28"/>
      <c r="K93" s="28"/>
    </row>
    <row r="94" spans="2:11" x14ac:dyDescent="0.2">
      <c r="B94" s="352"/>
      <c r="C94" s="352"/>
      <c r="D94" s="28"/>
      <c r="E94" s="28"/>
      <c r="F94" s="28"/>
      <c r="H94" s="28"/>
      <c r="I94" s="28"/>
      <c r="J94" s="28"/>
      <c r="K94" s="28"/>
    </row>
    <row r="95" spans="2:11" x14ac:dyDescent="0.2">
      <c r="C95" s="352"/>
      <c r="D95" s="28"/>
      <c r="E95" s="28"/>
      <c r="F95" s="28"/>
      <c r="H95" s="28"/>
      <c r="I95" s="28"/>
      <c r="J95" s="28"/>
      <c r="K95" s="28"/>
    </row>
    <row r="96" spans="2:11" x14ac:dyDescent="0.2">
      <c r="B96" s="352"/>
      <c r="C96" s="352"/>
      <c r="D96" s="28"/>
      <c r="E96" s="28"/>
      <c r="F96" s="28"/>
      <c r="H96" s="28"/>
      <c r="I96" s="28"/>
      <c r="J96" s="28"/>
      <c r="K96" s="28"/>
    </row>
    <row r="97" spans="2:11" x14ac:dyDescent="0.2">
      <c r="B97" s="352"/>
      <c r="C97" s="352"/>
      <c r="D97" s="28"/>
      <c r="E97" s="28"/>
      <c r="F97" s="28"/>
      <c r="H97" s="28"/>
      <c r="I97" s="28"/>
      <c r="J97" s="28"/>
      <c r="K97" s="28"/>
    </row>
    <row r="98" spans="2:11" x14ac:dyDescent="0.2">
      <c r="B98" s="352"/>
      <c r="C98" s="352"/>
      <c r="D98" s="28"/>
      <c r="E98" s="28"/>
      <c r="F98" s="28"/>
      <c r="G98" s="479"/>
      <c r="H98" s="28"/>
      <c r="I98" s="28"/>
      <c r="J98" s="28"/>
      <c r="K98" s="28"/>
    </row>
    <row r="99" spans="2:11" x14ac:dyDescent="0.2">
      <c r="B99" s="352"/>
      <c r="C99" s="352"/>
      <c r="D99" s="28"/>
      <c r="E99" s="28"/>
      <c r="F99" s="28"/>
      <c r="G99" s="479"/>
      <c r="H99" s="28"/>
      <c r="I99" s="28"/>
      <c r="J99" s="28"/>
      <c r="K99" s="28"/>
    </row>
    <row r="100" spans="2:11" x14ac:dyDescent="0.2">
      <c r="B100" s="352"/>
      <c r="C100" s="352"/>
      <c r="D100" s="28"/>
      <c r="E100" s="28"/>
      <c r="F100" s="480"/>
      <c r="G100" s="479"/>
      <c r="H100" s="28"/>
      <c r="I100" s="28"/>
      <c r="J100" s="28"/>
      <c r="K100" s="28"/>
    </row>
    <row r="101" spans="2:11" x14ac:dyDescent="0.2">
      <c r="B101" s="352"/>
      <c r="C101" s="352"/>
      <c r="D101" s="28"/>
      <c r="E101" s="28"/>
      <c r="F101" s="480"/>
      <c r="G101" s="28"/>
      <c r="H101" s="28"/>
      <c r="I101" s="28"/>
      <c r="J101" s="28"/>
      <c r="K101" s="28"/>
    </row>
    <row r="102" spans="2:11" x14ac:dyDescent="0.2">
      <c r="B102" s="352"/>
      <c r="C102" s="352"/>
      <c r="D102" s="28"/>
      <c r="E102" s="28"/>
      <c r="F102" s="28"/>
      <c r="G102" s="28"/>
      <c r="H102" s="28"/>
      <c r="I102" s="28"/>
      <c r="J102" s="28"/>
      <c r="K102" s="28"/>
    </row>
    <row r="103" spans="2:11" x14ac:dyDescent="0.2">
      <c r="B103" s="352"/>
      <c r="C103" s="352"/>
      <c r="D103" s="28"/>
      <c r="E103" s="28"/>
      <c r="F103" s="28"/>
      <c r="G103" s="28"/>
      <c r="H103" s="28"/>
      <c r="I103" s="28"/>
      <c r="J103" s="28"/>
      <c r="K103" s="28"/>
    </row>
    <row r="104" spans="2:11" x14ac:dyDescent="0.2">
      <c r="B104" s="352"/>
      <c r="C104" s="352"/>
      <c r="D104" s="28"/>
      <c r="E104" s="28"/>
      <c r="F104" s="28"/>
      <c r="G104" s="28"/>
      <c r="H104" s="28"/>
      <c r="I104" s="28"/>
      <c r="J104" s="28"/>
      <c r="K104" s="28"/>
    </row>
    <row r="105" spans="2:11" x14ac:dyDescent="0.2">
      <c r="B105" s="352"/>
      <c r="C105" s="352"/>
      <c r="D105" s="28"/>
      <c r="E105" s="28"/>
      <c r="F105" s="28"/>
      <c r="G105" s="28"/>
      <c r="H105" s="28"/>
      <c r="I105" s="28"/>
      <c r="J105" s="28"/>
      <c r="K105" s="28"/>
    </row>
    <row r="106" spans="2:11" ht="14.25" x14ac:dyDescent="0.2">
      <c r="B106" s="316" t="str">
        <f>B82</f>
        <v>Average price and cost per trip 2017-18 (Based on Transport for NSW cost data and patronage data)</v>
      </c>
      <c r="C106" s="28"/>
      <c r="D106" s="28"/>
      <c r="E106" s="28"/>
      <c r="F106" s="28"/>
      <c r="G106" s="28"/>
      <c r="H106" s="28"/>
      <c r="I106" s="28"/>
      <c r="J106" s="28"/>
      <c r="K106" s="28"/>
    </row>
    <row r="107" spans="2:11" x14ac:dyDescent="0.2">
      <c r="B107" s="352"/>
      <c r="C107" s="352"/>
      <c r="D107" s="352"/>
      <c r="E107" s="352"/>
      <c r="F107" s="352"/>
      <c r="G107" s="352"/>
      <c r="H107" s="352"/>
      <c r="I107" s="352"/>
      <c r="J107" s="352"/>
      <c r="K107" s="352"/>
    </row>
    <row r="108" spans="2:11" x14ac:dyDescent="0.2">
      <c r="B108" s="352"/>
      <c r="C108" s="352"/>
      <c r="D108" s="352"/>
      <c r="E108" s="352"/>
      <c r="F108" s="352"/>
      <c r="G108" s="352"/>
      <c r="H108" s="352"/>
      <c r="I108" s="352"/>
      <c r="J108" s="352"/>
      <c r="K108" s="352"/>
    </row>
    <row r="109" spans="2:11" x14ac:dyDescent="0.2">
      <c r="B109" s="352"/>
      <c r="C109" s="352"/>
      <c r="D109" s="352"/>
      <c r="E109" s="352"/>
      <c r="F109" s="352"/>
      <c r="G109" s="352"/>
      <c r="H109" s="352"/>
      <c r="I109" s="352"/>
      <c r="J109" s="352"/>
      <c r="K109" s="352"/>
    </row>
    <row r="110" spans="2:11" x14ac:dyDescent="0.2">
      <c r="B110" s="352"/>
      <c r="C110" s="352"/>
      <c r="D110" s="352"/>
      <c r="E110" s="352"/>
      <c r="F110" s="352"/>
      <c r="G110" s="352"/>
      <c r="H110" s="352"/>
      <c r="I110" s="352"/>
      <c r="J110" s="352"/>
      <c r="K110" s="352"/>
    </row>
    <row r="111" spans="2:11" x14ac:dyDescent="0.2">
      <c r="B111" s="352"/>
      <c r="C111" s="352"/>
      <c r="D111" s="352"/>
      <c r="E111" s="352"/>
      <c r="F111" s="352"/>
      <c r="G111" s="352"/>
      <c r="H111" s="352"/>
      <c r="I111" s="352"/>
      <c r="J111" s="352"/>
      <c r="K111" s="352"/>
    </row>
    <row r="112" spans="2:11" x14ac:dyDescent="0.2">
      <c r="B112" s="352"/>
      <c r="C112" s="352"/>
      <c r="D112" s="352"/>
      <c r="E112" s="352"/>
      <c r="F112" s="352"/>
      <c r="G112" s="352"/>
      <c r="H112" s="352"/>
      <c r="I112" s="352"/>
      <c r="J112" s="352"/>
      <c r="K112" s="352"/>
    </row>
    <row r="113" spans="2:11" x14ac:dyDescent="0.2">
      <c r="B113" s="352"/>
      <c r="C113" s="352"/>
      <c r="D113" s="352"/>
      <c r="E113" s="352"/>
      <c r="F113" s="352"/>
      <c r="G113" s="352"/>
      <c r="H113" s="352"/>
      <c r="I113" s="352"/>
      <c r="J113" s="352"/>
      <c r="K113" s="352"/>
    </row>
    <row r="114" spans="2:11" x14ac:dyDescent="0.2">
      <c r="B114" s="352"/>
      <c r="C114" s="352"/>
      <c r="D114" s="352"/>
      <c r="E114" s="352"/>
      <c r="F114" s="352"/>
      <c r="G114" s="352"/>
      <c r="H114" s="352"/>
      <c r="I114" s="352"/>
      <c r="J114" s="352"/>
      <c r="K114" s="352"/>
    </row>
  </sheetData>
  <mergeCells count="1">
    <mergeCell ref="B85:B88"/>
  </mergeCells>
  <hyperlinks>
    <hyperlink ref="I83" r:id="rId1" display="https://www.ipart.nsw.gov.au/files/sharedassets/website/shared-files/investigation-compliance-monitoring-transport-publications-fare-for-opal-services-201819/compliance-statement-2018-19-fares-for-opal-services.pdf"/>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6"/>
  <sheetViews>
    <sheetView showGridLines="0" zoomScale="75" zoomScaleNormal="75" workbookViewId="0"/>
  </sheetViews>
  <sheetFormatPr defaultColWidth="9" defaultRowHeight="12" x14ac:dyDescent="0.2"/>
  <cols>
    <col min="1" max="1" width="14.42578125" style="934" customWidth="1"/>
    <col min="2" max="2" width="39.42578125" style="934" customWidth="1"/>
    <col min="3" max="3" width="36.7109375" style="934" customWidth="1"/>
    <col min="4" max="4" width="11.28515625" style="934" bestFit="1" customWidth="1"/>
    <col min="5" max="5" width="31.5703125" style="934" bestFit="1" customWidth="1"/>
    <col min="6" max="6" width="13.28515625" style="934" bestFit="1" customWidth="1"/>
    <col min="7" max="7" width="11" style="934" bestFit="1" customWidth="1"/>
    <col min="8" max="9" width="9" style="934"/>
    <col min="10" max="10" width="17.7109375" style="934" customWidth="1"/>
    <col min="11" max="11" width="12.7109375" style="934" bestFit="1" customWidth="1"/>
    <col min="12" max="17" width="11.5703125" style="934" bestFit="1" customWidth="1"/>
    <col min="18" max="16384" width="9" style="934"/>
  </cols>
  <sheetData>
    <row r="1" spans="1:27" s="679" customFormat="1" ht="18.600000000000001" customHeight="1" x14ac:dyDescent="0.2"/>
    <row r="2" spans="1:27" s="679" customFormat="1" ht="18.600000000000001" customHeight="1" x14ac:dyDescent="0.2"/>
    <row r="3" spans="1:27" s="679" customFormat="1" ht="18.600000000000001" customHeight="1" x14ac:dyDescent="0.2">
      <c r="K3" s="82" t="s">
        <v>409</v>
      </c>
    </row>
    <row r="4" spans="1:27" s="679" customFormat="1" ht="18.600000000000001" customHeight="1" x14ac:dyDescent="0.2"/>
    <row r="5" spans="1:27" s="679" customFormat="1" ht="18.600000000000001" customHeight="1" x14ac:dyDescent="0.2">
      <c r="K5" s="679" t="str">
        <f>'Contents, list of sources'!G17</f>
        <v>Organisation</v>
      </c>
      <c r="M5" s="679" t="str">
        <f>'Contents, list of sources'!I17</f>
        <v>Title</v>
      </c>
      <c r="Q5" s="679" t="str">
        <f>'Contents, list of sources'!M17</f>
        <v>Date published</v>
      </c>
      <c r="R5" s="679" t="str">
        <f>'Contents, list of sources'!N17</f>
        <v>Pg</v>
      </c>
      <c r="S5" s="679" t="str">
        <f>'Contents, list of sources'!O17</f>
        <v>Link</v>
      </c>
    </row>
    <row r="6" spans="1:27" s="679" customFormat="1" ht="18.600000000000001" customHeight="1" x14ac:dyDescent="0.2">
      <c r="K6" s="74" t="str">
        <f>'Contents, list of sources'!G478</f>
        <v>Transport Performance and Analytics</v>
      </c>
      <c r="L6" s="74"/>
      <c r="M6" s="74" t="s">
        <v>889</v>
      </c>
      <c r="N6" s="74"/>
      <c r="O6" s="74"/>
      <c r="P6" s="74"/>
      <c r="Q6" s="191"/>
      <c r="R6" s="74"/>
      <c r="S6" s="74"/>
      <c r="T6" s="74"/>
      <c r="U6" s="74"/>
      <c r="V6" s="74"/>
      <c r="W6" s="74"/>
      <c r="X6" s="191"/>
      <c r="Y6" s="1144"/>
      <c r="Z6" s="367"/>
      <c r="AA6" s="74"/>
    </row>
    <row r="7" spans="1:27" s="679" customFormat="1" ht="18.600000000000001" customHeight="1" x14ac:dyDescent="0.2">
      <c r="D7" s="368"/>
      <c r="G7" s="28"/>
      <c r="H7" s="28"/>
      <c r="I7" s="28"/>
      <c r="J7" s="28"/>
      <c r="K7" s="28"/>
      <c r="L7" s="28"/>
      <c r="M7" s="369"/>
      <c r="N7" s="28"/>
      <c r="O7" s="28"/>
      <c r="P7" s="28"/>
      <c r="Q7" s="28"/>
      <c r="R7" s="28"/>
      <c r="S7" s="28"/>
      <c r="T7" s="28"/>
      <c r="U7" s="28"/>
    </row>
    <row r="8" spans="1:27" s="679" customFormat="1" ht="18.600000000000001" customHeight="1" x14ac:dyDescent="0.2">
      <c r="E8" s="370"/>
      <c r="F8" s="370"/>
      <c r="G8" s="370"/>
      <c r="H8" s="370"/>
      <c r="I8" s="370"/>
      <c r="J8" s="370"/>
      <c r="K8" s="371"/>
      <c r="L8" s="370"/>
      <c r="M8" s="370"/>
      <c r="N8" s="370"/>
      <c r="O8" s="370"/>
      <c r="P8" s="370"/>
      <c r="Q8" s="370"/>
      <c r="R8" s="370"/>
      <c r="S8" s="370"/>
    </row>
    <row r="9" spans="1:27" s="28" customFormat="1" ht="18.600000000000001" customHeight="1" x14ac:dyDescent="0.2">
      <c r="A9" s="372"/>
      <c r="B9" s="32"/>
      <c r="D9" s="32"/>
      <c r="K9" s="369"/>
    </row>
    <row r="10" spans="1:27" s="28" customFormat="1" ht="18.600000000000001" customHeight="1" x14ac:dyDescent="0.2">
      <c r="A10" s="372"/>
      <c r="K10" s="369"/>
    </row>
    <row r="11" spans="1:27" s="270" customFormat="1" ht="18.600000000000001" customHeight="1" x14ac:dyDescent="0.3">
      <c r="B11" s="373" t="s">
        <v>888</v>
      </c>
      <c r="E11" s="76"/>
      <c r="F11" s="76"/>
      <c r="G11" s="76"/>
      <c r="H11" s="76"/>
      <c r="I11" s="76"/>
      <c r="J11" s="76"/>
      <c r="K11" s="269"/>
      <c r="L11" s="76"/>
      <c r="M11" s="76"/>
      <c r="N11" s="76"/>
      <c r="O11" s="76"/>
      <c r="P11" s="76"/>
      <c r="Q11" s="76"/>
      <c r="R11" s="76"/>
      <c r="S11" s="76"/>
    </row>
    <row r="12" spans="1:27" s="79" customFormat="1" ht="18.600000000000001" customHeight="1" x14ac:dyDescent="0.2">
      <c r="A12" s="374"/>
    </row>
    <row r="13" spans="1:27" x14ac:dyDescent="0.2">
      <c r="B13" s="1130"/>
    </row>
    <row r="14" spans="1:27" x14ac:dyDescent="0.2">
      <c r="B14" s="1130"/>
    </row>
    <row r="15" spans="1:27" x14ac:dyDescent="0.2">
      <c r="B15" s="1130"/>
    </row>
    <row r="16" spans="1:27" x14ac:dyDescent="0.2">
      <c r="B16" s="1130"/>
    </row>
    <row r="17" spans="2:17" x14ac:dyDescent="0.2">
      <c r="B17" s="1130"/>
    </row>
    <row r="18" spans="2:17" ht="14.25" x14ac:dyDescent="0.2">
      <c r="B18" s="1135" t="s">
        <v>887</v>
      </c>
      <c r="J18" s="1135" t="s">
        <v>886</v>
      </c>
    </row>
    <row r="19" spans="2:17" x14ac:dyDescent="0.2">
      <c r="B19" s="1136" t="s">
        <v>836</v>
      </c>
      <c r="C19" s="1137" t="s">
        <v>882</v>
      </c>
      <c r="D19" s="1137" t="s">
        <v>883</v>
      </c>
      <c r="E19" s="1137" t="s">
        <v>884</v>
      </c>
      <c r="F19" s="1138" t="s">
        <v>750</v>
      </c>
      <c r="G19" s="1132"/>
      <c r="H19" s="1131"/>
      <c r="J19" s="935"/>
      <c r="K19" s="1137" t="s">
        <v>837</v>
      </c>
      <c r="L19" s="1139" t="s">
        <v>850</v>
      </c>
    </row>
    <row r="20" spans="2:17" x14ac:dyDescent="0.2">
      <c r="B20" s="1236" t="s">
        <v>838</v>
      </c>
      <c r="C20" s="1237" t="s">
        <v>839</v>
      </c>
      <c r="D20" s="1237" t="s">
        <v>840</v>
      </c>
      <c r="E20" s="1237" t="s">
        <v>841</v>
      </c>
      <c r="F20" s="1238">
        <v>763</v>
      </c>
      <c r="G20" s="1133"/>
      <c r="J20" s="938" t="s">
        <v>842</v>
      </c>
      <c r="K20" s="1140">
        <f>AVERAGE(F20:F22)</f>
        <v>646.33333333333337</v>
      </c>
      <c r="L20" s="1141">
        <f>AVERAGE(F36:F38)</f>
        <v>1146.3333333333333</v>
      </c>
    </row>
    <row r="21" spans="2:17" x14ac:dyDescent="0.2">
      <c r="B21" s="1236" t="s">
        <v>838</v>
      </c>
      <c r="C21" s="1237" t="s">
        <v>839</v>
      </c>
      <c r="D21" s="1237" t="s">
        <v>840</v>
      </c>
      <c r="E21" s="1237" t="s">
        <v>843</v>
      </c>
      <c r="F21" s="1238">
        <v>627</v>
      </c>
      <c r="G21" s="1133"/>
      <c r="J21" s="938" t="s">
        <v>844</v>
      </c>
      <c r="K21" s="1140">
        <f>AVERAGE(F28:F30)</f>
        <v>165</v>
      </c>
      <c r="L21" s="1141">
        <f>AVERAGE(F48:F50)</f>
        <v>274.33333333333331</v>
      </c>
    </row>
    <row r="22" spans="2:17" x14ac:dyDescent="0.2">
      <c r="B22" s="1236" t="s">
        <v>838</v>
      </c>
      <c r="C22" s="1237" t="s">
        <v>839</v>
      </c>
      <c r="D22" s="1237" t="s">
        <v>840</v>
      </c>
      <c r="E22" s="1237" t="s">
        <v>845</v>
      </c>
      <c r="F22" s="1238">
        <v>549</v>
      </c>
      <c r="G22" s="1133"/>
      <c r="J22" s="938" t="s">
        <v>846</v>
      </c>
      <c r="K22" s="1140">
        <f>AVERAGE(F24:F26)</f>
        <v>173.33333333333334</v>
      </c>
      <c r="L22" s="1141">
        <f>AVERAGE(F40:F42)</f>
        <v>375.33333333333331</v>
      </c>
    </row>
    <row r="23" spans="2:17" x14ac:dyDescent="0.2">
      <c r="B23" s="1236"/>
      <c r="C23" s="1237"/>
      <c r="D23" s="1237"/>
      <c r="E23" s="1237"/>
      <c r="F23" s="1238"/>
      <c r="G23" s="1133"/>
      <c r="J23" s="941" t="s">
        <v>847</v>
      </c>
      <c r="K23" s="1142">
        <f>AVERAGE(F32:F34)</f>
        <v>172.66666666666666</v>
      </c>
      <c r="L23" s="1143">
        <f>AVERAGE(F44:F46)</f>
        <v>257.33333333333331</v>
      </c>
    </row>
    <row r="24" spans="2:17" x14ac:dyDescent="0.2">
      <c r="B24" s="1236" t="s">
        <v>838</v>
      </c>
      <c r="C24" s="1237" t="s">
        <v>848</v>
      </c>
      <c r="D24" s="1237" t="s">
        <v>840</v>
      </c>
      <c r="E24" s="1237" t="s">
        <v>849</v>
      </c>
      <c r="F24" s="1238">
        <v>224</v>
      </c>
    </row>
    <row r="25" spans="2:17" x14ac:dyDescent="0.2">
      <c r="B25" s="1236" t="s">
        <v>838</v>
      </c>
      <c r="C25" s="1237" t="s">
        <v>848</v>
      </c>
      <c r="D25" s="1237" t="s">
        <v>840</v>
      </c>
      <c r="E25" s="1237" t="s">
        <v>851</v>
      </c>
      <c r="F25" s="1238">
        <v>152</v>
      </c>
      <c r="G25" s="1133"/>
    </row>
    <row r="26" spans="2:17" x14ac:dyDescent="0.2">
      <c r="B26" s="1236" t="s">
        <v>838</v>
      </c>
      <c r="C26" s="1237" t="s">
        <v>848</v>
      </c>
      <c r="D26" s="1237" t="s">
        <v>840</v>
      </c>
      <c r="E26" s="1237" t="s">
        <v>852</v>
      </c>
      <c r="F26" s="1238">
        <v>144</v>
      </c>
      <c r="G26" s="1133"/>
    </row>
    <row r="27" spans="2:17" x14ac:dyDescent="0.2">
      <c r="B27" s="1236"/>
      <c r="C27" s="1237"/>
      <c r="D27" s="1237"/>
      <c r="E27" s="1237"/>
      <c r="F27" s="1238"/>
      <c r="G27" s="1133"/>
      <c r="J27" s="934" t="s">
        <v>885</v>
      </c>
    </row>
    <row r="28" spans="2:17" x14ac:dyDescent="0.2">
      <c r="B28" s="1236" t="s">
        <v>838</v>
      </c>
      <c r="C28" s="1237" t="s">
        <v>854</v>
      </c>
      <c r="D28" s="1237" t="s">
        <v>840</v>
      </c>
      <c r="E28" s="1237" t="s">
        <v>855</v>
      </c>
      <c r="F28" s="1238">
        <v>186</v>
      </c>
      <c r="G28" s="1133"/>
      <c r="J28" s="934" t="s">
        <v>856</v>
      </c>
      <c r="K28" s="934" t="s">
        <v>881</v>
      </c>
      <c r="L28" s="934" t="s">
        <v>857</v>
      </c>
      <c r="M28" s="934" t="s">
        <v>858</v>
      </c>
      <c r="N28" s="934" t="s">
        <v>859</v>
      </c>
      <c r="O28" s="934" t="s">
        <v>860</v>
      </c>
      <c r="P28" s="934" t="s">
        <v>861</v>
      </c>
      <c r="Q28" s="934" t="s">
        <v>862</v>
      </c>
    </row>
    <row r="29" spans="2:17" x14ac:dyDescent="0.2">
      <c r="B29" s="1236" t="s">
        <v>838</v>
      </c>
      <c r="C29" s="1237" t="s">
        <v>854</v>
      </c>
      <c r="D29" s="1237" t="s">
        <v>840</v>
      </c>
      <c r="E29" s="1237" t="s">
        <v>863</v>
      </c>
      <c r="F29" s="1238">
        <v>156</v>
      </c>
      <c r="G29" s="1133"/>
      <c r="J29" s="1134">
        <v>646.33333333333337</v>
      </c>
      <c r="K29" s="1134">
        <v>1146.3333333333333</v>
      </c>
      <c r="L29" s="1134">
        <v>173.33333333333334</v>
      </c>
      <c r="M29" s="1134">
        <v>375.33333333333331</v>
      </c>
      <c r="N29" s="1134">
        <v>165</v>
      </c>
      <c r="O29" s="1134">
        <v>274.33333333333331</v>
      </c>
      <c r="P29" s="1134">
        <v>172.66666666666666</v>
      </c>
      <c r="Q29" s="1134">
        <v>257.33333333333331</v>
      </c>
    </row>
    <row r="30" spans="2:17" x14ac:dyDescent="0.2">
      <c r="B30" s="1236" t="s">
        <v>838</v>
      </c>
      <c r="C30" s="1237" t="s">
        <v>854</v>
      </c>
      <c r="D30" s="1237" t="s">
        <v>840</v>
      </c>
      <c r="E30" s="1237" t="s">
        <v>864</v>
      </c>
      <c r="F30" s="1238">
        <v>153</v>
      </c>
      <c r="G30" s="1133"/>
    </row>
    <row r="31" spans="2:17" x14ac:dyDescent="0.2">
      <c r="B31" s="1239"/>
      <c r="C31" s="1237"/>
      <c r="D31" s="1237"/>
      <c r="E31" s="1237"/>
      <c r="F31" s="1238"/>
      <c r="J31" s="1130"/>
    </row>
    <row r="32" spans="2:17" x14ac:dyDescent="0.2">
      <c r="B32" s="1236" t="s">
        <v>838</v>
      </c>
      <c r="C32" s="1237" t="s">
        <v>865</v>
      </c>
      <c r="D32" s="1237" t="s">
        <v>840</v>
      </c>
      <c r="E32" s="1237" t="s">
        <v>866</v>
      </c>
      <c r="F32" s="1238">
        <v>185</v>
      </c>
      <c r="G32" s="1133"/>
    </row>
    <row r="33" spans="2:17" x14ac:dyDescent="0.2">
      <c r="B33" s="1236" t="s">
        <v>838</v>
      </c>
      <c r="C33" s="1237" t="s">
        <v>865</v>
      </c>
      <c r="D33" s="1237" t="s">
        <v>840</v>
      </c>
      <c r="E33" s="1237" t="s">
        <v>867</v>
      </c>
      <c r="F33" s="1238">
        <v>179</v>
      </c>
      <c r="G33" s="1133"/>
    </row>
    <row r="34" spans="2:17" x14ac:dyDescent="0.2">
      <c r="B34" s="1236" t="s">
        <v>838</v>
      </c>
      <c r="C34" s="1237" t="s">
        <v>865</v>
      </c>
      <c r="D34" s="1237" t="s">
        <v>853</v>
      </c>
      <c r="E34" s="1237" t="s">
        <v>868</v>
      </c>
      <c r="F34" s="1238">
        <v>154</v>
      </c>
      <c r="G34" s="1133"/>
      <c r="K34" s="1134"/>
    </row>
    <row r="35" spans="2:17" x14ac:dyDescent="0.2">
      <c r="B35" s="1239"/>
      <c r="C35" s="1237"/>
      <c r="D35" s="1237"/>
      <c r="E35" s="1237"/>
      <c r="F35" s="1238"/>
      <c r="G35" s="1133"/>
      <c r="K35" s="1134"/>
    </row>
    <row r="36" spans="2:17" x14ac:dyDescent="0.2">
      <c r="B36" s="1236" t="s">
        <v>850</v>
      </c>
      <c r="C36" s="1237" t="s">
        <v>839</v>
      </c>
      <c r="D36" s="1237" t="s">
        <v>840</v>
      </c>
      <c r="E36" s="1237" t="s">
        <v>870</v>
      </c>
      <c r="F36" s="1238">
        <v>1181</v>
      </c>
    </row>
    <row r="37" spans="2:17" x14ac:dyDescent="0.2">
      <c r="B37" s="1236" t="s">
        <v>850</v>
      </c>
      <c r="C37" s="1237" t="s">
        <v>839</v>
      </c>
      <c r="D37" s="1237" t="s">
        <v>840</v>
      </c>
      <c r="E37" s="1237" t="s">
        <v>871</v>
      </c>
      <c r="F37" s="1238">
        <v>1147</v>
      </c>
      <c r="G37" s="1133"/>
      <c r="K37" s="1134"/>
    </row>
    <row r="38" spans="2:17" x14ac:dyDescent="0.2">
      <c r="B38" s="1236" t="s">
        <v>850</v>
      </c>
      <c r="C38" s="1237" t="s">
        <v>839</v>
      </c>
      <c r="D38" s="1237" t="s">
        <v>840</v>
      </c>
      <c r="E38" s="1237" t="s">
        <v>872</v>
      </c>
      <c r="F38" s="1238">
        <v>1111</v>
      </c>
      <c r="G38" s="1133"/>
      <c r="K38" s="1134"/>
    </row>
    <row r="39" spans="2:17" x14ac:dyDescent="0.2">
      <c r="B39" s="1239"/>
      <c r="C39" s="1237"/>
      <c r="D39" s="1237"/>
      <c r="E39" s="1237"/>
      <c r="F39" s="1238"/>
      <c r="G39" s="1133"/>
      <c r="K39" s="1134"/>
    </row>
    <row r="40" spans="2:17" x14ac:dyDescent="0.2">
      <c r="B40" s="1236" t="s">
        <v>850</v>
      </c>
      <c r="C40" s="1237" t="s">
        <v>848</v>
      </c>
      <c r="D40" s="1237" t="s">
        <v>853</v>
      </c>
      <c r="E40" s="1237" t="s">
        <v>873</v>
      </c>
      <c r="F40" s="1238">
        <v>378</v>
      </c>
    </row>
    <row r="41" spans="2:17" x14ac:dyDescent="0.2">
      <c r="B41" s="1236" t="s">
        <v>850</v>
      </c>
      <c r="C41" s="1237" t="s">
        <v>848</v>
      </c>
      <c r="D41" s="1237" t="s">
        <v>853</v>
      </c>
      <c r="E41" s="1237" t="s">
        <v>874</v>
      </c>
      <c r="F41" s="1238">
        <v>378</v>
      </c>
      <c r="L41" s="1134"/>
      <c r="M41" s="1134"/>
      <c r="P41" s="1134"/>
      <c r="Q41" s="1134"/>
    </row>
    <row r="42" spans="2:17" x14ac:dyDescent="0.2">
      <c r="B42" s="1236" t="s">
        <v>850</v>
      </c>
      <c r="C42" s="1237" t="s">
        <v>848</v>
      </c>
      <c r="D42" s="1237" t="s">
        <v>853</v>
      </c>
      <c r="E42" s="1237" t="s">
        <v>875</v>
      </c>
      <c r="F42" s="1238">
        <v>370</v>
      </c>
      <c r="G42" s="1133"/>
    </row>
    <row r="43" spans="2:17" x14ac:dyDescent="0.2">
      <c r="B43" s="1239"/>
      <c r="C43" s="1237"/>
      <c r="D43" s="1237"/>
      <c r="E43" s="1237"/>
      <c r="F43" s="1238"/>
      <c r="G43" s="1133"/>
    </row>
    <row r="44" spans="2:17" x14ac:dyDescent="0.2">
      <c r="B44" s="1236" t="s">
        <v>850</v>
      </c>
      <c r="C44" s="1237" t="s">
        <v>865</v>
      </c>
      <c r="D44" s="1237" t="s">
        <v>840</v>
      </c>
      <c r="E44" s="1237" t="s">
        <v>876</v>
      </c>
      <c r="F44" s="1238">
        <v>319</v>
      </c>
      <c r="G44" s="1133"/>
    </row>
    <row r="45" spans="2:17" x14ac:dyDescent="0.2">
      <c r="B45" s="1236" t="s">
        <v>850</v>
      </c>
      <c r="C45" s="1237" t="s">
        <v>865</v>
      </c>
      <c r="D45" s="1237" t="s">
        <v>840</v>
      </c>
      <c r="E45" s="1237" t="s">
        <v>877</v>
      </c>
      <c r="F45" s="1238">
        <v>242</v>
      </c>
    </row>
    <row r="46" spans="2:17" x14ac:dyDescent="0.2">
      <c r="B46" s="1236" t="s">
        <v>850</v>
      </c>
      <c r="C46" s="1237" t="s">
        <v>865</v>
      </c>
      <c r="D46" s="1237" t="s">
        <v>840</v>
      </c>
      <c r="E46" s="1237" t="s">
        <v>869</v>
      </c>
      <c r="F46" s="1238">
        <v>211</v>
      </c>
      <c r="G46" s="1133"/>
    </row>
    <row r="47" spans="2:17" x14ac:dyDescent="0.2">
      <c r="B47" s="1239"/>
      <c r="C47" s="1237"/>
      <c r="D47" s="1237"/>
      <c r="E47" s="1237"/>
      <c r="F47" s="1238"/>
      <c r="G47" s="1133"/>
    </row>
    <row r="48" spans="2:17" x14ac:dyDescent="0.2">
      <c r="B48" s="1236" t="s">
        <v>850</v>
      </c>
      <c r="C48" s="1237" t="s">
        <v>854</v>
      </c>
      <c r="D48" s="1237" t="s">
        <v>840</v>
      </c>
      <c r="E48" s="1237" t="s">
        <v>878</v>
      </c>
      <c r="F48" s="1238">
        <v>279</v>
      </c>
      <c r="G48" s="1133"/>
    </row>
    <row r="49" spans="2:7" x14ac:dyDescent="0.2">
      <c r="B49" s="1236" t="s">
        <v>850</v>
      </c>
      <c r="C49" s="1237" t="s">
        <v>854</v>
      </c>
      <c r="D49" s="1237" t="s">
        <v>853</v>
      </c>
      <c r="E49" s="1237" t="s">
        <v>879</v>
      </c>
      <c r="F49" s="1238">
        <v>273</v>
      </c>
    </row>
    <row r="50" spans="2:7" x14ac:dyDescent="0.2">
      <c r="B50" s="1240" t="s">
        <v>850</v>
      </c>
      <c r="C50" s="1241" t="s">
        <v>854</v>
      </c>
      <c r="D50" s="1241" t="s">
        <v>840</v>
      </c>
      <c r="E50" s="1241" t="s">
        <v>880</v>
      </c>
      <c r="F50" s="1242">
        <v>271</v>
      </c>
      <c r="G50" s="1133"/>
    </row>
    <row r="51" spans="2:7" x14ac:dyDescent="0.2">
      <c r="G51" s="1133"/>
    </row>
    <row r="52" spans="2:7" x14ac:dyDescent="0.2">
      <c r="G52" s="1133"/>
    </row>
    <row r="54" spans="2:7" x14ac:dyDescent="0.2">
      <c r="G54" s="1133"/>
    </row>
    <row r="55" spans="2:7" x14ac:dyDescent="0.2">
      <c r="G55" s="1133"/>
    </row>
    <row r="56" spans="2:7" x14ac:dyDescent="0.2">
      <c r="G56" s="1133"/>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showGridLines="0" zoomScale="75" zoomScaleNormal="75" workbookViewId="0"/>
  </sheetViews>
  <sheetFormatPr defaultColWidth="9" defaultRowHeight="12" x14ac:dyDescent="0.2"/>
  <cols>
    <col min="1" max="1" width="14.42578125" style="677" customWidth="1"/>
    <col min="2" max="2" width="39.42578125" style="677" customWidth="1"/>
    <col min="3" max="4" width="9" style="677"/>
    <col min="5" max="5" width="62.42578125" style="677" customWidth="1"/>
    <col min="6" max="16384" width="9" style="677"/>
  </cols>
  <sheetData>
    <row r="1" spans="1:25" s="679" customFormat="1" ht="18.600000000000001" customHeight="1" x14ac:dyDescent="0.2">
      <c r="C1" s="28"/>
    </row>
    <row r="2" spans="1:25" s="679" customFormat="1" ht="18.600000000000001" customHeight="1" x14ac:dyDescent="0.2">
      <c r="C2" s="28"/>
      <c r="F2" s="28"/>
      <c r="G2" s="28"/>
      <c r="H2" s="28"/>
      <c r="I2" s="28"/>
      <c r="J2" s="28"/>
      <c r="K2" s="28"/>
      <c r="L2" s="28"/>
      <c r="M2" s="28"/>
      <c r="N2" s="28"/>
      <c r="O2" s="28"/>
      <c r="P2" s="28"/>
      <c r="Q2" s="28"/>
      <c r="R2" s="28"/>
      <c r="S2" s="28"/>
      <c r="T2" s="28"/>
      <c r="U2" s="28"/>
      <c r="V2" s="28"/>
    </row>
    <row r="3" spans="1:25" s="679" customFormat="1" ht="18.600000000000001" customHeight="1" x14ac:dyDescent="0.2">
      <c r="C3" s="28"/>
      <c r="F3" s="83"/>
      <c r="G3" s="28"/>
      <c r="H3" s="28"/>
      <c r="I3" s="28"/>
      <c r="J3" s="28"/>
      <c r="K3" s="82" t="s">
        <v>409</v>
      </c>
    </row>
    <row r="4" spans="1:25" s="679" customFormat="1" ht="18.600000000000001" customHeight="1" x14ac:dyDescent="0.2">
      <c r="C4" s="28"/>
      <c r="F4" s="28"/>
      <c r="G4" s="28"/>
      <c r="H4" s="28"/>
      <c r="I4" s="28"/>
      <c r="J4" s="28"/>
    </row>
    <row r="5" spans="1:25" s="679" customFormat="1" ht="18.600000000000001" customHeight="1" x14ac:dyDescent="0.2">
      <c r="C5" s="28"/>
      <c r="F5" s="28"/>
      <c r="G5" s="28"/>
      <c r="H5" s="28"/>
      <c r="I5" s="28"/>
      <c r="J5" s="28"/>
      <c r="K5" s="679" t="str">
        <f>'Contents, list of sources'!G17</f>
        <v>Organisation</v>
      </c>
      <c r="M5" s="679" t="str">
        <f>'Contents, list of sources'!I17</f>
        <v>Title</v>
      </c>
      <c r="Q5" s="679" t="str">
        <f>'Contents, list of sources'!M17</f>
        <v>Date published</v>
      </c>
      <c r="R5" s="679" t="str">
        <f>'Contents, list of sources'!N17</f>
        <v>Pg</v>
      </c>
      <c r="S5" s="679" t="str">
        <f>'Contents, list of sources'!O17</f>
        <v>Link</v>
      </c>
    </row>
    <row r="6" spans="1:25" s="679" customFormat="1" ht="18.600000000000001" customHeight="1" x14ac:dyDescent="0.2">
      <c r="C6" s="28"/>
      <c r="F6" s="28"/>
      <c r="G6" s="28"/>
      <c r="H6" s="28"/>
      <c r="I6" s="28"/>
      <c r="J6" s="28"/>
      <c r="K6" s="74" t="str">
        <f>'Contents, list of sources'!G475</f>
        <v>NSW Government</v>
      </c>
      <c r="L6" s="74"/>
      <c r="M6" s="74" t="str">
        <f>'Contents, list of sources'!I475</f>
        <v>Adult fares</v>
      </c>
      <c r="N6" s="74"/>
      <c r="O6" s="74"/>
      <c r="P6" s="74"/>
      <c r="Q6" s="191">
        <f>'Contents, list of sources'!M475</f>
        <v>43586</v>
      </c>
      <c r="R6" s="74"/>
      <c r="S6" s="74" t="str">
        <f>'Contents, list of sources'!O475</f>
        <v>https://transportnsw.info/tickets-Opal/Opal/fares-payments/adult-fares</v>
      </c>
      <c r="T6" s="74"/>
      <c r="U6" s="74"/>
      <c r="V6" s="74"/>
      <c r="W6" s="74"/>
      <c r="X6" s="74"/>
      <c r="Y6" s="74"/>
    </row>
    <row r="7" spans="1:25" s="679" customFormat="1" ht="18.600000000000001" customHeight="1" x14ac:dyDescent="0.2">
      <c r="A7" s="28"/>
      <c r="B7" s="28"/>
      <c r="C7" s="28"/>
      <c r="F7" s="28"/>
      <c r="G7" s="28"/>
      <c r="H7" s="28"/>
      <c r="I7" s="28"/>
      <c r="J7" s="28"/>
      <c r="K7" s="28"/>
      <c r="L7" s="28"/>
      <c r="M7" s="28"/>
      <c r="N7" s="28"/>
      <c r="O7" s="28"/>
      <c r="P7" s="28"/>
      <c r="Q7" s="369"/>
      <c r="R7" s="28"/>
      <c r="S7" s="28"/>
      <c r="T7" s="28"/>
      <c r="U7" s="28"/>
      <c r="V7" s="28"/>
      <c r="W7" s="28"/>
      <c r="X7" s="369"/>
      <c r="Y7" s="28"/>
    </row>
    <row r="8" spans="1:25" s="679" customFormat="1" ht="18.600000000000001" customHeight="1" x14ac:dyDescent="0.2">
      <c r="F8" s="28"/>
      <c r="G8" s="28"/>
      <c r="H8" s="28"/>
      <c r="I8" s="28"/>
      <c r="J8" s="28"/>
      <c r="K8" s="28"/>
      <c r="L8" s="28"/>
      <c r="M8" s="28"/>
      <c r="N8" s="28"/>
      <c r="O8" s="28"/>
      <c r="P8" s="28"/>
      <c r="Q8" s="369"/>
      <c r="R8" s="28"/>
      <c r="S8" s="28"/>
      <c r="T8" s="28"/>
      <c r="U8" s="28"/>
      <c r="V8" s="28"/>
      <c r="W8" s="28"/>
      <c r="X8" s="369"/>
      <c r="Y8" s="28"/>
    </row>
    <row r="9" spans="1:25" s="679" customFormat="1" ht="18.600000000000001" customHeight="1" x14ac:dyDescent="0.3">
      <c r="F9" s="28"/>
      <c r="G9" s="578"/>
      <c r="H9" s="28"/>
      <c r="I9" s="28"/>
      <c r="J9" s="28"/>
      <c r="K9" s="28"/>
      <c r="L9" s="28"/>
      <c r="M9" s="28"/>
      <c r="N9" s="28"/>
      <c r="O9" s="28"/>
      <c r="P9" s="28"/>
      <c r="Q9" s="369"/>
      <c r="R9" s="28"/>
      <c r="S9" s="28"/>
      <c r="T9" s="28"/>
      <c r="U9" s="28"/>
      <c r="V9" s="28"/>
      <c r="W9" s="28"/>
      <c r="X9" s="369"/>
      <c r="Y9" s="28"/>
    </row>
    <row r="10" spans="1:25" s="679" customFormat="1" ht="18.600000000000001" customHeight="1" x14ac:dyDescent="0.2">
      <c r="F10" s="28"/>
      <c r="G10" s="28"/>
      <c r="H10" s="28"/>
      <c r="I10" s="28"/>
      <c r="J10" s="28"/>
      <c r="K10" s="28"/>
      <c r="L10" s="369"/>
      <c r="M10" s="28"/>
      <c r="N10" s="741"/>
      <c r="O10" s="28"/>
      <c r="P10" s="28"/>
      <c r="Q10" s="28"/>
      <c r="R10" s="28"/>
      <c r="S10" s="28"/>
      <c r="T10" s="28"/>
      <c r="U10" s="28"/>
      <c r="V10" s="28"/>
      <c r="W10" s="28"/>
      <c r="X10" s="28"/>
      <c r="Y10" s="28"/>
    </row>
    <row r="11" spans="1:25" s="270" customFormat="1" ht="18.600000000000001" customHeight="1" x14ac:dyDescent="0.3">
      <c r="B11" s="373" t="s">
        <v>781</v>
      </c>
      <c r="F11" s="28"/>
      <c r="G11" s="28"/>
      <c r="H11" s="28"/>
      <c r="I11" s="28"/>
      <c r="J11" s="28"/>
      <c r="K11" s="28"/>
      <c r="L11" s="1029"/>
      <c r="M11" s="28"/>
      <c r="N11" s="741"/>
      <c r="O11" s="28"/>
      <c r="P11" s="28"/>
      <c r="Q11" s="28"/>
      <c r="R11" s="28"/>
      <c r="S11" s="28"/>
      <c r="T11" s="369"/>
      <c r="U11" s="28"/>
      <c r="V11" s="28"/>
    </row>
    <row r="12" spans="1:25" s="79" customFormat="1" ht="18.600000000000001" customHeight="1" x14ac:dyDescent="0.2">
      <c r="A12" s="374"/>
    </row>
    <row r="17" spans="2:5" x14ac:dyDescent="0.2">
      <c r="D17" s="13"/>
      <c r="E17" s="13"/>
    </row>
    <row r="18" spans="2:5" ht="15" x14ac:dyDescent="0.2">
      <c r="B18" s="788" t="s">
        <v>778</v>
      </c>
    </row>
    <row r="19" spans="2:5" x14ac:dyDescent="0.2">
      <c r="B19" s="261" t="s">
        <v>477</v>
      </c>
      <c r="C19" s="985" t="s">
        <v>3</v>
      </c>
      <c r="D19" s="986" t="s">
        <v>780</v>
      </c>
    </row>
    <row r="20" spans="2:5" x14ac:dyDescent="0.2">
      <c r="B20" s="324" t="s">
        <v>777</v>
      </c>
      <c r="C20" s="987"/>
      <c r="D20" s="988"/>
    </row>
    <row r="21" spans="2:5" x14ac:dyDescent="0.2">
      <c r="B21" s="982">
        <v>0</v>
      </c>
      <c r="C21" s="983">
        <f>'Determined fares'!C37</f>
        <v>2.2400000000000002</v>
      </c>
      <c r="D21" s="984">
        <f>'Determined fares'!C21</f>
        <v>3.61</v>
      </c>
    </row>
    <row r="22" spans="2:5" x14ac:dyDescent="0.2">
      <c r="B22" s="982">
        <v>3</v>
      </c>
      <c r="C22" s="983">
        <f>C21</f>
        <v>2.2400000000000002</v>
      </c>
      <c r="D22" s="984">
        <f>D21</f>
        <v>3.61</v>
      </c>
    </row>
    <row r="23" spans="2:5" x14ac:dyDescent="0.2">
      <c r="B23" s="982">
        <v>3</v>
      </c>
      <c r="C23" s="983">
        <f>'Determined fares'!C38</f>
        <v>3.73</v>
      </c>
      <c r="D23" s="984">
        <f t="shared" ref="D23:D26" si="0">D22</f>
        <v>3.61</v>
      </c>
    </row>
    <row r="24" spans="2:5" x14ac:dyDescent="0.2">
      <c r="B24" s="982">
        <v>8</v>
      </c>
      <c r="C24" s="983">
        <f>C23</f>
        <v>3.73</v>
      </c>
      <c r="D24" s="984">
        <f t="shared" si="0"/>
        <v>3.61</v>
      </c>
    </row>
    <row r="25" spans="2:5" x14ac:dyDescent="0.2">
      <c r="B25" s="982">
        <v>8</v>
      </c>
      <c r="C25" s="983">
        <f>'Determined fares'!C39</f>
        <v>4.8</v>
      </c>
      <c r="D25" s="984">
        <f t="shared" si="0"/>
        <v>3.61</v>
      </c>
    </row>
    <row r="26" spans="2:5" x14ac:dyDescent="0.2">
      <c r="B26" s="982">
        <v>10</v>
      </c>
      <c r="C26" s="983">
        <f t="shared" ref="C26:C32" si="1">C25</f>
        <v>4.8</v>
      </c>
      <c r="D26" s="984">
        <f t="shared" si="0"/>
        <v>3.61</v>
      </c>
    </row>
    <row r="27" spans="2:5" x14ac:dyDescent="0.2">
      <c r="B27" s="982">
        <v>10</v>
      </c>
      <c r="C27" s="983">
        <f t="shared" si="1"/>
        <v>4.8</v>
      </c>
      <c r="D27" s="984">
        <f>'Determined fares'!C22</f>
        <v>4.4800000000000004</v>
      </c>
    </row>
    <row r="28" spans="2:5" x14ac:dyDescent="0.2">
      <c r="B28" s="982">
        <v>20</v>
      </c>
      <c r="C28" s="983">
        <f t="shared" si="1"/>
        <v>4.8</v>
      </c>
      <c r="D28" s="984">
        <f>D27</f>
        <v>4.4800000000000004</v>
      </c>
    </row>
    <row r="29" spans="2:5" x14ac:dyDescent="0.2">
      <c r="B29" s="982">
        <v>20</v>
      </c>
      <c r="C29" s="983">
        <f t="shared" si="1"/>
        <v>4.8</v>
      </c>
      <c r="D29" s="984">
        <f>'Determined fares'!C23</f>
        <v>5.15</v>
      </c>
    </row>
    <row r="30" spans="2:5" x14ac:dyDescent="0.2">
      <c r="B30" s="982">
        <v>35</v>
      </c>
      <c r="C30" s="983">
        <f t="shared" si="1"/>
        <v>4.8</v>
      </c>
      <c r="D30" s="984">
        <f>D29</f>
        <v>5.15</v>
      </c>
    </row>
    <row r="31" spans="2:5" x14ac:dyDescent="0.2">
      <c r="B31" s="982">
        <v>35</v>
      </c>
      <c r="C31" s="983">
        <f t="shared" si="1"/>
        <v>4.8</v>
      </c>
      <c r="D31" s="984">
        <f>'Determined fares'!C24</f>
        <v>6.89</v>
      </c>
    </row>
    <row r="32" spans="2:5" x14ac:dyDescent="0.2">
      <c r="B32" s="981">
        <v>40</v>
      </c>
      <c r="C32" s="989">
        <f t="shared" si="1"/>
        <v>4.8</v>
      </c>
      <c r="D32" s="990">
        <f>D31</f>
        <v>6.89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showGridLines="0" zoomScale="75" zoomScaleNormal="75" workbookViewId="0">
      <selection activeCell="L52" sqref="L52"/>
    </sheetView>
  </sheetViews>
  <sheetFormatPr defaultColWidth="8.85546875" defaultRowHeight="14.25" x14ac:dyDescent="0.2"/>
  <cols>
    <col min="1" max="1" width="14.42578125" style="1108" customWidth="1"/>
    <col min="2" max="2" width="39.42578125" style="1108" customWidth="1"/>
    <col min="3" max="3" width="11.7109375" style="1114" customWidth="1"/>
    <col min="4" max="4" width="11.7109375" style="1108" customWidth="1"/>
    <col min="5" max="5" width="13.140625" style="1108" bestFit="1" customWidth="1"/>
    <col min="6" max="6" width="12" style="1108" bestFit="1" customWidth="1"/>
    <col min="7" max="7" width="11" style="1108" bestFit="1" customWidth="1"/>
    <col min="8" max="8" width="12" style="1108" bestFit="1" customWidth="1"/>
    <col min="9" max="9" width="12.7109375" style="1108" bestFit="1" customWidth="1"/>
    <col min="10" max="10" width="20.28515625" style="1108" bestFit="1" customWidth="1"/>
    <col min="11" max="11" width="12.7109375" style="1108" bestFit="1" customWidth="1"/>
    <col min="12" max="12" width="10.42578125" style="1108" bestFit="1" customWidth="1"/>
    <col min="13" max="13" width="11.85546875" style="1114" bestFit="1" customWidth="1"/>
    <col min="14" max="14" width="8.85546875" style="1114"/>
    <col min="15" max="15" width="20.5703125" style="1114" bestFit="1" customWidth="1"/>
    <col min="16" max="16" width="12.7109375" style="1114" bestFit="1" customWidth="1"/>
    <col min="17" max="17" width="11.140625" style="1114" bestFit="1" customWidth="1"/>
    <col min="18" max="22" width="8.85546875" style="1114"/>
    <col min="23" max="16384" width="8.85546875" style="1108"/>
  </cols>
  <sheetData>
    <row r="1" spans="1:27" s="679" customFormat="1" ht="18.600000000000001" customHeight="1" x14ac:dyDescent="0.2"/>
    <row r="2" spans="1:27" s="679" customFormat="1" ht="18.600000000000001" customHeight="1" x14ac:dyDescent="0.2"/>
    <row r="3" spans="1:27" s="679" customFormat="1" ht="18.600000000000001" customHeight="1" x14ac:dyDescent="0.2">
      <c r="K3" s="82" t="s">
        <v>409</v>
      </c>
    </row>
    <row r="4" spans="1:27" s="679" customFormat="1" ht="18.600000000000001" customHeight="1" x14ac:dyDescent="0.2"/>
    <row r="5" spans="1:27" s="679" customFormat="1" ht="18.600000000000001" customHeight="1" x14ac:dyDescent="0.2">
      <c r="K5" s="28" t="str">
        <f>'Contents, list of sources'!G17</f>
        <v>Organisation</v>
      </c>
      <c r="L5" s="28"/>
      <c r="M5" s="28" t="str">
        <f>'Contents, list of sources'!I17</f>
        <v>Title</v>
      </c>
      <c r="N5" s="28"/>
      <c r="O5" s="28"/>
      <c r="P5" s="28"/>
      <c r="Q5" s="28" t="str">
        <f>'Contents, list of sources'!M17</f>
        <v>Date published</v>
      </c>
      <c r="R5" s="28"/>
      <c r="S5" s="28"/>
      <c r="T5" s="28"/>
      <c r="U5" s="28"/>
      <c r="V5" s="28"/>
      <c r="W5" s="28"/>
      <c r="X5" s="28"/>
      <c r="Y5" s="28"/>
      <c r="Z5" s="28"/>
      <c r="AA5" s="28"/>
    </row>
    <row r="6" spans="1:27" s="28" customFormat="1" ht="18.600000000000001" customHeight="1" x14ac:dyDescent="0.2">
      <c r="A6" s="679"/>
      <c r="B6" s="679"/>
      <c r="K6" s="74" t="str">
        <f>'Contents, list of sources'!G495</f>
        <v xml:space="preserve">Transport Performance and Analytics (TPA) </v>
      </c>
      <c r="L6" s="74"/>
      <c r="M6" s="74" t="str">
        <f>'Contents, list of sources'!I495</f>
        <v>Opal data - IPART data request  - weekly data for sample weeks between Jan and June 2019</v>
      </c>
      <c r="N6" s="74"/>
      <c r="O6" s="74"/>
      <c r="P6" s="74"/>
      <c r="Q6" s="191">
        <f>'Contents, list of sources'!M495</f>
        <v>43648</v>
      </c>
      <c r="R6" s="74"/>
      <c r="S6" s="74"/>
      <c r="T6" s="74"/>
      <c r="U6" s="74"/>
      <c r="V6" s="74"/>
      <c r="W6" s="74"/>
      <c r="X6" s="74"/>
      <c r="Y6" s="74"/>
      <c r="Z6" s="74"/>
      <c r="AA6" s="74"/>
    </row>
    <row r="7" spans="1:27" s="28" customFormat="1" ht="18.600000000000001" customHeight="1" x14ac:dyDescent="0.2">
      <c r="D7" s="370"/>
      <c r="K7" s="74" t="str">
        <f>'Contents, list of sources'!G496</f>
        <v xml:space="preserve">Transport Performance and Analytics (TPA) </v>
      </c>
      <c r="L7" s="74"/>
      <c r="M7" s="74" t="str">
        <f>'Contents, list of sources'!I496</f>
        <v>Opal data - IPART data request - weekly data for sample weeks between July and September 2019</v>
      </c>
      <c r="N7" s="74"/>
      <c r="O7" s="74"/>
      <c r="P7" s="74"/>
      <c r="Q7" s="191">
        <f>'Contents, list of sources'!M496</f>
        <v>43740</v>
      </c>
      <c r="R7" s="74"/>
      <c r="S7" s="74"/>
      <c r="T7" s="74"/>
      <c r="U7" s="74"/>
      <c r="V7" s="74"/>
      <c r="W7" s="74"/>
      <c r="X7" s="74"/>
      <c r="Y7" s="74"/>
      <c r="Z7" s="74"/>
      <c r="AA7" s="74"/>
    </row>
    <row r="8" spans="1:27" s="28" customFormat="1" ht="18.600000000000001" customHeight="1" x14ac:dyDescent="0.2">
      <c r="O8" s="369"/>
    </row>
    <row r="9" spans="1:27" s="28" customFormat="1" ht="18.600000000000001" customHeight="1" x14ac:dyDescent="0.2">
      <c r="A9" s="372"/>
      <c r="B9" s="32"/>
      <c r="D9" s="32"/>
      <c r="K9" s="1369" t="s">
        <v>979</v>
      </c>
      <c r="L9" s="1370"/>
      <c r="M9" s="1370"/>
      <c r="N9" s="1370"/>
      <c r="O9" s="1370"/>
      <c r="P9" s="1370"/>
      <c r="Q9" s="1370"/>
      <c r="R9" s="1370"/>
      <c r="S9" s="1370"/>
      <c r="T9" s="1370"/>
      <c r="U9" s="1370"/>
      <c r="V9" s="1370"/>
      <c r="W9" s="1370"/>
      <c r="X9" s="1370"/>
      <c r="Y9" s="1370"/>
      <c r="Z9" s="1370"/>
      <c r="AA9" s="1370"/>
    </row>
    <row r="10" spans="1:27" s="28" customFormat="1" ht="18.600000000000001" customHeight="1" x14ac:dyDescent="0.2">
      <c r="A10" s="372"/>
      <c r="K10" s="1369"/>
      <c r="L10" s="1370"/>
      <c r="M10" s="1370"/>
      <c r="N10" s="1370"/>
      <c r="O10" s="1370"/>
      <c r="P10" s="1370"/>
      <c r="Q10" s="1370"/>
      <c r="R10" s="1370"/>
      <c r="S10" s="1370"/>
      <c r="T10" s="1370"/>
      <c r="U10" s="1370"/>
      <c r="V10" s="1370"/>
      <c r="W10" s="1370"/>
      <c r="X10" s="1370"/>
      <c r="Y10" s="1370"/>
      <c r="Z10" s="1370"/>
      <c r="AA10" s="1370"/>
    </row>
    <row r="11" spans="1:27" s="270" customFormat="1" ht="18.600000000000001" customHeight="1" x14ac:dyDescent="0.3">
      <c r="B11" s="373" t="s">
        <v>833</v>
      </c>
      <c r="E11" s="76"/>
      <c r="F11" s="76"/>
      <c r="G11" s="76"/>
      <c r="H11" s="76"/>
      <c r="K11" s="1369"/>
      <c r="L11" s="1370"/>
      <c r="M11" s="1370"/>
      <c r="N11" s="1370"/>
      <c r="O11" s="1370"/>
      <c r="P11" s="1370"/>
      <c r="Q11" s="1370"/>
      <c r="R11" s="1370"/>
      <c r="S11" s="1370"/>
      <c r="T11" s="1370"/>
      <c r="U11" s="1370"/>
      <c r="V11" s="1370"/>
      <c r="W11" s="1370"/>
      <c r="X11" s="1370"/>
      <c r="Y11" s="1370"/>
      <c r="Z11" s="1370"/>
      <c r="AA11" s="1370"/>
    </row>
    <row r="12" spans="1:27" s="79" customFormat="1" ht="18.600000000000001" customHeight="1" x14ac:dyDescent="0.2">
      <c r="A12" s="374"/>
      <c r="K12" s="1369"/>
      <c r="L12" s="1370"/>
      <c r="M12" s="1370"/>
      <c r="N12" s="1370"/>
      <c r="O12" s="1370"/>
      <c r="P12" s="1370"/>
      <c r="Q12" s="1370"/>
      <c r="R12" s="1370"/>
      <c r="S12" s="1370"/>
      <c r="T12" s="1370"/>
      <c r="U12" s="1370"/>
      <c r="V12" s="1370"/>
      <c r="W12" s="1370"/>
      <c r="X12" s="1370"/>
      <c r="Y12" s="1370"/>
      <c r="Z12" s="1370"/>
      <c r="AA12" s="1370"/>
    </row>
    <row r="13" spans="1:27" s="1114" customFormat="1" x14ac:dyDescent="0.2">
      <c r="P13" s="1116"/>
      <c r="Q13" s="1116"/>
      <c r="R13" s="1116"/>
      <c r="S13" s="1116"/>
    </row>
    <row r="14" spans="1:27" s="1114" customFormat="1" x14ac:dyDescent="0.2">
      <c r="P14" s="1116"/>
      <c r="Q14" s="1116"/>
      <c r="R14" s="1116"/>
      <c r="S14" s="1116"/>
    </row>
    <row r="15" spans="1:27" ht="15" x14ac:dyDescent="0.25">
      <c r="L15" s="1107"/>
      <c r="P15" s="1117"/>
      <c r="Q15" s="1116"/>
      <c r="R15" s="1116"/>
      <c r="S15" s="1116"/>
      <c r="V15" s="1115"/>
    </row>
    <row r="16" spans="1:27" x14ac:dyDescent="0.2">
      <c r="B16" s="1127" t="s">
        <v>1007</v>
      </c>
      <c r="L16" s="1107"/>
      <c r="V16" s="1116"/>
    </row>
    <row r="17" spans="2:24" s="1120" customFormat="1" ht="12" x14ac:dyDescent="0.2">
      <c r="B17" s="1245" t="s">
        <v>458</v>
      </c>
      <c r="C17" s="1223" t="s">
        <v>477</v>
      </c>
      <c r="D17" s="1223" t="s">
        <v>8</v>
      </c>
      <c r="E17" s="1223" t="s">
        <v>937</v>
      </c>
      <c r="F17" s="1223" t="s">
        <v>3</v>
      </c>
      <c r="G17" s="1224" t="s">
        <v>4</v>
      </c>
      <c r="H17" s="1122"/>
      <c r="I17" s="1243" t="s">
        <v>7</v>
      </c>
      <c r="J17" s="1224" t="s">
        <v>626</v>
      </c>
      <c r="K17" s="1230"/>
      <c r="L17" s="1121"/>
      <c r="M17" s="1122"/>
      <c r="N17" s="1122"/>
      <c r="O17" s="1122"/>
      <c r="P17" s="1122"/>
      <c r="Q17" s="1122"/>
      <c r="R17" s="1122"/>
      <c r="S17" s="1122"/>
      <c r="T17" s="1122"/>
      <c r="U17" s="1122"/>
      <c r="V17" s="1116"/>
    </row>
    <row r="18" spans="2:24" s="1120" customFormat="1" ht="12" x14ac:dyDescent="0.2">
      <c r="B18" s="1225">
        <v>0</v>
      </c>
      <c r="C18" s="1246" t="s">
        <v>931</v>
      </c>
      <c r="D18" s="1219">
        <f>SUMIFS('Journey distribution (all)'!D$4:D$154,'Journey distribution (all)'!$A$4:$A$154,"&gt;="&amp;$B18,'Journey distribution (all)'!$A$4:$A$154,"&lt;"&amp;$B19)</f>
        <v>1.1709216194602712E-2</v>
      </c>
      <c r="E18" s="1247">
        <f t="shared" ref="E18:E24" si="0">SUM(I18, J18)</f>
        <v>5.8991457717488763E-3</v>
      </c>
      <c r="F18" s="1219">
        <f>SUMIFS('Journey distribution (all)'!B$4:B$154,'Journey distribution (all)'!$A$4:$A$154,"&gt;="&amp;$B18,'Journey distribution (all)'!$A$4:$A$154,"&lt;"&amp;$B19)</f>
        <v>0.16886962079332493</v>
      </c>
      <c r="G18" s="1226">
        <f>SUMIFS('Journey distribution (all)'!F$4:F$154,'Journey distribution (all)'!$A$4:$A$154,"&gt;="&amp;$B18,'Journey distribution (all)'!$A$4:$A$154,"&lt;"&amp;$B19)</f>
        <v>2.5685473097770264E-2</v>
      </c>
      <c r="H18" s="1248"/>
      <c r="I18" s="1249">
        <f>SUMIFS('Journey distribution (all)'!C$4:C$154,'Journey distribution (all)'!$A$4:$A$154,"&gt;="&amp;$B18,'Journey distribution (all)'!$A$4:$A$154,"&lt;"&amp;$B19)</f>
        <v>5.2666764505145559E-3</v>
      </c>
      <c r="J18" s="1226">
        <f>SUMIFS('Journey distribution (all)'!E$4:E$154,'Journey distribution (all)'!$A$4:$A$154,"&gt;="&amp;$B18,'Journey distribution (all)'!$A$4:$A$154,"&lt;"&amp;$B19)</f>
        <v>6.324693212343207E-4</v>
      </c>
      <c r="L18" s="1121"/>
      <c r="M18" s="1123"/>
      <c r="N18" s="1123"/>
      <c r="O18" s="1123"/>
      <c r="P18" s="1123"/>
      <c r="Q18" s="1123"/>
      <c r="R18" s="1123"/>
      <c r="S18" s="1123"/>
      <c r="T18" s="1123"/>
      <c r="U18" s="1123"/>
      <c r="V18" s="1123"/>
      <c r="W18" s="1124"/>
      <c r="X18" s="1124"/>
    </row>
    <row r="19" spans="2:24" s="1120" customFormat="1" ht="12" x14ac:dyDescent="0.2">
      <c r="B19" s="1225">
        <v>3</v>
      </c>
      <c r="C19" s="1222" t="s">
        <v>827</v>
      </c>
      <c r="D19" s="1219">
        <f>SUMIFS('Journey distribution (all)'!D$4:D$154,'Journey distribution (all)'!$A$4:$A$154,"&gt;="&amp;$B19,'Journey distribution (all)'!$A$4:$A$154,"&lt;"&amp;$B20)</f>
        <v>1.2704207909034382E-3</v>
      </c>
      <c r="E19" s="1247">
        <f t="shared" si="0"/>
        <v>3.9340329402443508E-3</v>
      </c>
      <c r="F19" s="1219">
        <f>SUMIFS('Journey distribution (all)'!B$4:B$154,'Journey distribution (all)'!$A$4:$A$154,"&gt;="&amp;$B19,'Journey distribution (all)'!$A$4:$A$154,"&lt;"&amp;$B20)</f>
        <v>8.2332945640955946E-2</v>
      </c>
      <c r="G19" s="1226">
        <f>SUMIFS('Journey distribution (all)'!F$4:F$154,'Journey distribution (all)'!$A$4:$A$154,"&gt;="&amp;$B19,'Journey distribution (all)'!$A$4:$A$154,"&lt;"&amp;$B20)</f>
        <v>6.3332874230424011E-2</v>
      </c>
      <c r="H19" s="1248"/>
      <c r="I19" s="1249">
        <f>SUMIFS('Journey distribution (all)'!C$4:C$154,'Journey distribution (all)'!$A$4:$A$154,"&gt;="&amp;$B19,'Journey distribution (all)'!$A$4:$A$154,"&lt;"&amp;$B20)</f>
        <v>3.9340329402443508E-3</v>
      </c>
      <c r="J19" s="1226">
        <f>SUMIFS('Journey distribution (all)'!E$4:E$154,'Journey distribution (all)'!$A$4:$A$154,"&gt;="&amp;$B19,'Journey distribution (all)'!$A$4:$A$154,"&lt;"&amp;$B20)</f>
        <v>0</v>
      </c>
      <c r="L19" s="1121"/>
      <c r="M19" s="1123"/>
      <c r="N19" s="1123"/>
      <c r="O19" s="1123"/>
      <c r="P19" s="1123"/>
      <c r="Q19" s="1123"/>
      <c r="R19" s="1123"/>
      <c r="S19" s="1123"/>
      <c r="T19" s="1123"/>
      <c r="U19" s="1122"/>
      <c r="V19" s="1116"/>
    </row>
    <row r="20" spans="2:24" s="1120" customFormat="1" ht="12" x14ac:dyDescent="0.2">
      <c r="B20" s="1225">
        <v>5</v>
      </c>
      <c r="C20" s="1222" t="s">
        <v>828</v>
      </c>
      <c r="D20" s="1219">
        <f>SUMIFS('Journey distribution (all)'!D$4:D$154,'Journey distribution (all)'!$A$4:$A$154,"&gt;="&amp;$B20,'Journey distribution (all)'!$A$4:$A$154,"&lt;"&amp;$B21)</f>
        <v>1.75519428014832E-3</v>
      </c>
      <c r="E20" s="1247">
        <f t="shared" si="0"/>
        <v>8.029859524586588E-3</v>
      </c>
      <c r="F20" s="1219">
        <f>SUMIFS('Journey distribution (all)'!B$4:B$154,'Journey distribution (all)'!$A$4:$A$154,"&gt;="&amp;$B20,'Journey distribution (all)'!$A$4:$A$154,"&lt;"&amp;$B21)</f>
        <v>8.1903528570351936E-2</v>
      </c>
      <c r="G20" s="1226">
        <f>SUMIFS('Journey distribution (all)'!F$4:F$154,'Journey distribution (all)'!$A$4:$A$154,"&gt;="&amp;$B20,'Journey distribution (all)'!$A$4:$A$154,"&lt;"&amp;$B21)</f>
        <v>0.11054192717159925</v>
      </c>
      <c r="H20" s="1248"/>
      <c r="I20" s="1249">
        <f>SUMIFS('Journey distribution (all)'!C$4:C$154,'Journey distribution (all)'!$A$4:$A$154,"&gt;="&amp;$B20,'Journey distribution (all)'!$A$4:$A$154,"&lt;"&amp;$B21)</f>
        <v>8.029859524586588E-3</v>
      </c>
      <c r="J20" s="1226">
        <f>SUMIFS('Journey distribution (all)'!E$4:E$154,'Journey distribution (all)'!$A$4:$A$154,"&gt;="&amp;$B20,'Journey distribution (all)'!$A$4:$A$154,"&lt;"&amp;$B21)</f>
        <v>0</v>
      </c>
      <c r="P20" s="1123"/>
      <c r="Q20" s="1123"/>
      <c r="R20" s="1123"/>
      <c r="S20" s="1123"/>
      <c r="T20" s="1123"/>
      <c r="U20" s="1125"/>
      <c r="V20" s="1126"/>
    </row>
    <row r="21" spans="2:24" s="1120" customFormat="1" ht="14.25" customHeight="1" x14ac:dyDescent="0.2">
      <c r="B21" s="1225">
        <v>10</v>
      </c>
      <c r="C21" s="1222" t="s">
        <v>829</v>
      </c>
      <c r="D21" s="1219">
        <f>SUMIFS('Journey distribution (all)'!D$4:D$154,'Journey distribution (all)'!$A$4:$A$154,"&gt;="&amp;$B21,'Journey distribution (all)'!$A$4:$A$154,"&lt;"&amp;$B22)</f>
        <v>0</v>
      </c>
      <c r="E21" s="1247">
        <f t="shared" si="0"/>
        <v>1.1364277435758473E-3</v>
      </c>
      <c r="F21" s="1219">
        <f>SUMIFS('Journey distribution (all)'!B$4:B$154,'Journey distribution (all)'!$A$4:$A$154,"&gt;="&amp;$B21,'Journey distribution (all)'!$A$4:$A$154,"&lt;"&amp;$B22)</f>
        <v>3.2333006059109201E-2</v>
      </c>
      <c r="G21" s="1226">
        <f>SUMIFS('Journey distribution (all)'!F$4:F$154,'Journey distribution (all)'!$A$4:$A$154,"&gt;="&amp;$B21,'Journey distribution (all)'!$A$4:$A$154,"&lt;"&amp;$B22)</f>
        <v>0.17186809810593123</v>
      </c>
      <c r="H21" s="1248"/>
      <c r="I21" s="1249">
        <f>SUMIFS('Journey distribution (all)'!C$4:C$154,'Journey distribution (all)'!$A$4:$A$154,"&gt;="&amp;$B21,'Journey distribution (all)'!$A$4:$A$154,"&lt;"&amp;$B22)</f>
        <v>1.1364277435758473E-3</v>
      </c>
      <c r="J21" s="1226">
        <f>SUMIFS('Journey distribution (all)'!E$4:E$154,'Journey distribution (all)'!$A$4:$A$154,"&gt;="&amp;$B21,'Journey distribution (all)'!$A$4:$A$154,"&lt;"&amp;$B22)</f>
        <v>0</v>
      </c>
      <c r="P21" s="1123"/>
      <c r="Q21" s="1123"/>
      <c r="R21" s="1123"/>
      <c r="S21" s="1123"/>
      <c r="T21" s="1123"/>
      <c r="U21" s="1122"/>
      <c r="V21" s="1122"/>
    </row>
    <row r="22" spans="2:24" x14ac:dyDescent="0.2">
      <c r="B22" s="1225">
        <v>20</v>
      </c>
      <c r="C22" s="1222" t="s">
        <v>830</v>
      </c>
      <c r="D22" s="1219">
        <f>SUMIFS('Journey distribution (all)'!D$4:D$154,'Journey distribution (all)'!$A$4:$A$154,"&gt;="&amp;$B22,'Journey distribution (all)'!$A$4:$A$154,"&lt;"&amp;$B23)</f>
        <v>0</v>
      </c>
      <c r="E22" s="1247">
        <f t="shared" si="0"/>
        <v>1.6923898051088061E-5</v>
      </c>
      <c r="F22" s="1219">
        <f>SUMIFS('Journey distribution (all)'!B$4:B$154,'Journey distribution (all)'!$A$4:$A$154,"&gt;="&amp;$B22,'Journey distribution (all)'!$A$4:$A$154,"&lt;"&amp;$B23)</f>
        <v>1.3072118377733746E-2</v>
      </c>
      <c r="G22" s="1226">
        <f>SUMIFS('Journey distribution (all)'!F$4:F$154,'Journey distribution (all)'!$A$4:$A$154,"&gt;="&amp;$B22,'Journey distribution (all)'!$A$4:$A$154,"&lt;"&amp;$B23)</f>
        <v>0.14086198927155827</v>
      </c>
      <c r="H22" s="1248"/>
      <c r="I22" s="1249">
        <f>SUMIFS('Journey distribution (all)'!C$4:C$154,'Journey distribution (all)'!$A$4:$A$154,"&gt;="&amp;$B22,'Journey distribution (all)'!$A$4:$A$154,"&lt;"&amp;$B23)</f>
        <v>1.6923898051088061E-5</v>
      </c>
      <c r="J22" s="1226">
        <f>SUMIFS('Journey distribution (all)'!E$4:E$154,'Journey distribution (all)'!$A$4:$A$154,"&gt;="&amp;$B22,'Journey distribution (all)'!$A$4:$A$154,"&lt;"&amp;$B23)</f>
        <v>0</v>
      </c>
      <c r="K22" s="1107"/>
      <c r="L22" s="1107"/>
    </row>
    <row r="23" spans="2:24" x14ac:dyDescent="0.2">
      <c r="B23" s="1225">
        <v>35</v>
      </c>
      <c r="C23" s="1222" t="s">
        <v>831</v>
      </c>
      <c r="D23" s="1219">
        <f>SUMIFS('Journey distribution (all)'!D$4:D$154,'Journey distribution (all)'!$A$4:$A$154,"&gt;="&amp;$B23,'Journey distribution (all)'!$A$4:$A$154,"&lt;"&amp;$B24)</f>
        <v>0</v>
      </c>
      <c r="E23" s="1247">
        <f t="shared" si="0"/>
        <v>0</v>
      </c>
      <c r="F23" s="1219">
        <f>SUMIFS('Journey distribution (all)'!B$4:B$154,'Journey distribution (all)'!$A$4:$A$154,"&gt;="&amp;$B23,'Journey distribution (all)'!$A$4:$A$154,"&lt;"&amp;$B24)</f>
        <v>3.228422130846685E-4</v>
      </c>
      <c r="G23" s="1226">
        <f>SUMIFS('Journey distribution (all)'!F$4:F$154,'Journey distribution (all)'!$A$4:$A$154,"&gt;="&amp;$B23,'Journey distribution (all)'!$A$4:$A$154,"&lt;"&amp;$B24)</f>
        <v>5.654676122549903E-2</v>
      </c>
      <c r="H23" s="1248"/>
      <c r="I23" s="1249">
        <f>SUMIFS('Journey distribution (all)'!C$4:C$154,'Journey distribution (all)'!$A$4:$A$154,"&gt;="&amp;$B23,'Journey distribution (all)'!$A$4:$A$154,"&lt;"&amp;$B24)</f>
        <v>0</v>
      </c>
      <c r="J23" s="1226">
        <f>SUMIFS('Journey distribution (all)'!E$4:E$154,'Journey distribution (all)'!$A$4:$A$154,"&gt;="&amp;$B23,'Journey distribution (all)'!$A$4:$A$154,"&lt;"&amp;$B24)</f>
        <v>0</v>
      </c>
      <c r="K23" s="1107"/>
      <c r="L23" s="1107"/>
    </row>
    <row r="24" spans="2:24" x14ac:dyDescent="0.2">
      <c r="B24" s="1225">
        <v>65</v>
      </c>
      <c r="C24" s="1222" t="s">
        <v>832</v>
      </c>
      <c r="D24" s="1219">
        <f>SUMIFS('Journey distribution (all)'!D$4:D$154,'Journey distribution (all)'!$A$4:$A$154,"&gt;="&amp;$B24,'Journey distribution (all)'!$A$4:$A$154,"&lt;"&amp;$B25)</f>
        <v>0</v>
      </c>
      <c r="E24" s="1247">
        <f t="shared" si="0"/>
        <v>0</v>
      </c>
      <c r="F24" s="1219">
        <f>SUMIFS('Journey distribution (all)'!B$4:B$154,'Journey distribution (all)'!$A$4:$A$154,"&gt;="&amp;$B24,'Journey distribution (all)'!$A$4:$A$154,"&lt;"&amp;$B25)</f>
        <v>2.6289953679795995E-7</v>
      </c>
      <c r="G24" s="1226">
        <f>SUMIFS('Journey distribution (all)'!F$4:F$154,'Journey distribution (all)'!$A$4:$A$154,"&gt;="&amp;$B24,'Journey distribution (all)'!$A$4:$A$154,"&lt;"&amp;$B25)</f>
        <v>1.8577331199259441E-2</v>
      </c>
      <c r="H24" s="1248"/>
      <c r="I24" s="1249">
        <f>SUMIFS('Journey distribution (all)'!C$4:C$154,'Journey distribution (all)'!$A$4:$A$154,"&gt;="&amp;$B24,'Journey distribution (all)'!$A$4:$A$154,"&lt;"&amp;$B25)</f>
        <v>0</v>
      </c>
      <c r="J24" s="1226">
        <f>SUMIFS('Journey distribution (all)'!E$4:E$154,'Journey distribution (all)'!$A$4:$A$154,"&gt;="&amp;$B24,'Journey distribution (all)'!$A$4:$A$154,"&lt;"&amp;$B25)</f>
        <v>0</v>
      </c>
      <c r="K24" s="1107"/>
      <c r="L24" s="1107"/>
    </row>
    <row r="25" spans="2:24" x14ac:dyDescent="0.2">
      <c r="B25" s="1229">
        <v>200</v>
      </c>
      <c r="C25" s="1250" t="s">
        <v>932</v>
      </c>
      <c r="D25" s="1227">
        <f>SUM(D18:D24)</f>
        <v>1.4734831265654469E-2</v>
      </c>
      <c r="E25" s="1227">
        <f t="shared" ref="E25:F25" si="1">SUM(E18:E24)</f>
        <v>1.9016389878206752E-2</v>
      </c>
      <c r="F25" s="1227">
        <f t="shared" si="1"/>
        <v>0.37883432455409721</v>
      </c>
      <c r="G25" s="1228">
        <f>SUM(G18:G24)</f>
        <v>0.58741445430204153</v>
      </c>
      <c r="H25" s="1248"/>
      <c r="I25" s="1251">
        <f>SUM(I18:I24)</f>
        <v>1.8383920556972431E-2</v>
      </c>
      <c r="J25" s="1228">
        <f>SUM(J18:J24)</f>
        <v>6.324693212343207E-4</v>
      </c>
      <c r="K25" s="1107"/>
      <c r="L25" s="1107"/>
    </row>
    <row r="26" spans="2:24" x14ac:dyDescent="0.2">
      <c r="B26" s="1221"/>
      <c r="C26" s="1220"/>
      <c r="D26" s="1221"/>
      <c r="E26" s="1221"/>
      <c r="F26" s="1221"/>
      <c r="G26" s="1220"/>
      <c r="H26" s="1114"/>
      <c r="I26" s="1114"/>
      <c r="J26" s="1114"/>
      <c r="K26" s="1107"/>
      <c r="L26" s="1107"/>
    </row>
    <row r="27" spans="2:24" x14ac:dyDescent="0.2">
      <c r="B27" s="1221"/>
      <c r="C27" s="1220"/>
      <c r="D27" s="1221"/>
      <c r="E27" s="1221"/>
      <c r="F27" s="1221"/>
      <c r="G27" s="1220"/>
      <c r="H27" s="1114"/>
      <c r="I27" s="1114"/>
      <c r="J27" s="1114"/>
      <c r="K27" s="1107"/>
      <c r="L27" s="1107"/>
    </row>
    <row r="28" spans="2:24" x14ac:dyDescent="0.2">
      <c r="B28" s="1127" t="s">
        <v>1008</v>
      </c>
      <c r="C28" s="1220"/>
      <c r="D28" s="1221"/>
      <c r="E28" s="1221"/>
      <c r="F28" s="1221"/>
      <c r="G28" s="1220"/>
      <c r="H28" s="1114"/>
      <c r="I28" s="1114"/>
      <c r="J28" s="1114"/>
      <c r="K28" s="1107"/>
      <c r="L28" s="1107"/>
    </row>
    <row r="29" spans="2:24" x14ac:dyDescent="0.2">
      <c r="B29" s="1245" t="s">
        <v>458</v>
      </c>
      <c r="C29" s="1223" t="s">
        <v>477</v>
      </c>
      <c r="D29" s="1223" t="s">
        <v>8</v>
      </c>
      <c r="E29" s="1244" t="s">
        <v>7</v>
      </c>
      <c r="F29" s="1223" t="s">
        <v>3</v>
      </c>
      <c r="G29" s="1224" t="s">
        <v>4</v>
      </c>
      <c r="H29" s="1114"/>
      <c r="I29" s="1114"/>
      <c r="J29" s="1114"/>
      <c r="K29" s="1107"/>
      <c r="L29" s="1107"/>
    </row>
    <row r="30" spans="2:24" x14ac:dyDescent="0.2">
      <c r="B30" s="1225">
        <v>0</v>
      </c>
      <c r="C30" s="1246" t="s">
        <v>931</v>
      </c>
      <c r="D30" s="1219">
        <f t="shared" ref="D30:G36" si="2">D18/D$25</f>
        <v>0.79466238761049224</v>
      </c>
      <c r="E30" s="1247">
        <f t="shared" si="2"/>
        <v>0.31021375821230096</v>
      </c>
      <c r="F30" s="1219">
        <f t="shared" si="2"/>
        <v>0.44576114107952353</v>
      </c>
      <c r="G30" s="1226">
        <f t="shared" si="2"/>
        <v>4.3726321185421663E-2</v>
      </c>
      <c r="H30" s="1114"/>
      <c r="I30" s="1114"/>
      <c r="J30" s="1114"/>
      <c r="K30" s="1107"/>
      <c r="L30" s="1107"/>
    </row>
    <row r="31" spans="2:24" x14ac:dyDescent="0.2">
      <c r="B31" s="1225">
        <v>3</v>
      </c>
      <c r="C31" s="1222" t="s">
        <v>827</v>
      </c>
      <c r="D31" s="1219">
        <f t="shared" si="2"/>
        <v>8.6218889649905373E-2</v>
      </c>
      <c r="E31" s="1247">
        <f t="shared" si="2"/>
        <v>0.20687590891017904</v>
      </c>
      <c r="F31" s="1219">
        <f t="shared" si="2"/>
        <v>0.21733232789258217</v>
      </c>
      <c r="G31" s="1226">
        <f t="shared" si="2"/>
        <v>0.10781633609216398</v>
      </c>
      <c r="H31" s="1218"/>
      <c r="I31" s="1218"/>
      <c r="J31" s="1218"/>
    </row>
    <row r="32" spans="2:24" ht="14.25" customHeight="1" x14ac:dyDescent="0.2">
      <c r="B32" s="1225">
        <v>5</v>
      </c>
      <c r="C32" s="1222" t="s">
        <v>828</v>
      </c>
      <c r="D32" s="1219">
        <f t="shared" si="2"/>
        <v>0.11911872273960243</v>
      </c>
      <c r="E32" s="1247">
        <f t="shared" si="2"/>
        <v>0.42225993345819035</v>
      </c>
      <c r="F32" s="1219">
        <f t="shared" si="2"/>
        <v>0.21619880581506332</v>
      </c>
      <c r="G32" s="1226">
        <f t="shared" si="2"/>
        <v>0.18818387317851035</v>
      </c>
      <c r="H32" s="1218"/>
      <c r="I32" s="1120" t="s">
        <v>834</v>
      </c>
      <c r="J32" s="1121"/>
      <c r="K32" s="1123"/>
      <c r="L32" s="1123"/>
      <c r="M32" s="1123"/>
    </row>
    <row r="33" spans="2:20" x14ac:dyDescent="0.2">
      <c r="B33" s="1225">
        <v>10</v>
      </c>
      <c r="C33" s="1222" t="s">
        <v>829</v>
      </c>
      <c r="D33" s="1219">
        <f t="shared" si="2"/>
        <v>0</v>
      </c>
      <c r="E33" s="1247">
        <f t="shared" si="2"/>
        <v>5.9760435648104869E-2</v>
      </c>
      <c r="F33" s="1219">
        <f t="shared" si="2"/>
        <v>8.5348670813201549E-2</v>
      </c>
      <c r="G33" s="1226">
        <f t="shared" si="2"/>
        <v>0.29258404665942844</v>
      </c>
      <c r="H33" s="1218"/>
      <c r="I33" s="1128">
        <f>SUM(G31:G33)</f>
        <v>0.58858425593010277</v>
      </c>
      <c r="J33" s="1121"/>
      <c r="K33" s="1123"/>
      <c r="L33" s="1123"/>
      <c r="M33" s="1123"/>
    </row>
    <row r="34" spans="2:20" x14ac:dyDescent="0.2">
      <c r="B34" s="1225">
        <v>20</v>
      </c>
      <c r="C34" s="1222" t="s">
        <v>830</v>
      </c>
      <c r="D34" s="1219">
        <f t="shared" si="2"/>
        <v>0</v>
      </c>
      <c r="E34" s="1247">
        <f t="shared" si="2"/>
        <v>8.8996377122469827E-4</v>
      </c>
      <c r="F34" s="1219">
        <f t="shared" si="2"/>
        <v>3.4506161481328651E-2</v>
      </c>
      <c r="G34" s="1226">
        <f t="shared" si="2"/>
        <v>0.23980000532831408</v>
      </c>
      <c r="H34" s="1218"/>
      <c r="I34" s="1218"/>
      <c r="J34" s="1218"/>
    </row>
    <row r="35" spans="2:20" x14ac:dyDescent="0.2">
      <c r="B35" s="1225">
        <v>35</v>
      </c>
      <c r="C35" s="1222" t="s">
        <v>831</v>
      </c>
      <c r="D35" s="1219">
        <f t="shared" si="2"/>
        <v>0</v>
      </c>
      <c r="E35" s="1247">
        <f t="shared" si="2"/>
        <v>0</v>
      </c>
      <c r="F35" s="1219">
        <f t="shared" si="2"/>
        <v>8.5219894861603791E-4</v>
      </c>
      <c r="G35" s="1226">
        <f t="shared" si="2"/>
        <v>9.6263823287575004E-2</v>
      </c>
      <c r="H35" s="1218"/>
      <c r="I35" s="1218"/>
      <c r="J35" s="1218"/>
    </row>
    <row r="36" spans="2:20" x14ac:dyDescent="0.2">
      <c r="B36" s="1225">
        <v>65</v>
      </c>
      <c r="C36" s="1222" t="s">
        <v>832</v>
      </c>
      <c r="D36" s="1219">
        <f t="shared" si="2"/>
        <v>0</v>
      </c>
      <c r="E36" s="1247">
        <f t="shared" si="2"/>
        <v>0</v>
      </c>
      <c r="F36" s="1219">
        <f t="shared" si="2"/>
        <v>6.939696847887344E-7</v>
      </c>
      <c r="G36" s="1226">
        <f t="shared" si="2"/>
        <v>3.1625594268586382E-2</v>
      </c>
      <c r="H36" s="1218"/>
      <c r="I36" s="1218"/>
      <c r="J36" s="1218"/>
    </row>
    <row r="37" spans="2:20" x14ac:dyDescent="0.2">
      <c r="B37" s="1229">
        <v>200</v>
      </c>
      <c r="C37" s="1250" t="s">
        <v>932</v>
      </c>
      <c r="D37" s="1227">
        <f>SUM(D30:D36)</f>
        <v>1</v>
      </c>
      <c r="E37" s="1227">
        <f t="shared" ref="E37" si="3">SUM(E30:E36)</f>
        <v>1</v>
      </c>
      <c r="F37" s="1227">
        <f t="shared" ref="F37" si="4">SUM(F30:F36)</f>
        <v>1</v>
      </c>
      <c r="G37" s="1228">
        <f>SUM(G30:G36)</f>
        <v>0.99999999999999978</v>
      </c>
      <c r="H37" s="1218"/>
      <c r="I37" s="1218"/>
      <c r="J37" s="1218"/>
    </row>
    <row r="38" spans="2:20" x14ac:dyDescent="0.2">
      <c r="B38" s="1218"/>
      <c r="D38" s="1218"/>
      <c r="E38" s="1218"/>
      <c r="F38" s="1218"/>
      <c r="G38" s="1114"/>
      <c r="H38" s="1218"/>
      <c r="I38" s="1218"/>
      <c r="J38" s="1218"/>
    </row>
    <row r="39" spans="2:20" x14ac:dyDescent="0.2">
      <c r="G39" s="1107"/>
    </row>
    <row r="40" spans="2:20" x14ac:dyDescent="0.2">
      <c r="G40" s="1107"/>
      <c r="H40" s="1107"/>
      <c r="I40" s="1107"/>
      <c r="J40" s="1107"/>
      <c r="K40" s="1107"/>
      <c r="L40" s="1107"/>
    </row>
    <row r="41" spans="2:20" x14ac:dyDescent="0.2">
      <c r="B41" s="1127" t="s">
        <v>1009</v>
      </c>
      <c r="C41" s="1117"/>
      <c r="D41" s="1107"/>
      <c r="E41" s="1107"/>
      <c r="F41" s="1107"/>
      <c r="G41" s="1107"/>
      <c r="H41" s="1107"/>
      <c r="I41" s="1107"/>
      <c r="J41" s="1107"/>
      <c r="K41" s="1107"/>
      <c r="L41" s="1107"/>
    </row>
    <row r="42" spans="2:20" x14ac:dyDescent="0.2">
      <c r="D42" s="1107"/>
      <c r="E42" s="1107"/>
      <c r="F42" s="1107"/>
      <c r="G42" s="1107"/>
    </row>
    <row r="43" spans="2:20" x14ac:dyDescent="0.2">
      <c r="D43" s="1107"/>
    </row>
    <row r="45" spans="2:20" ht="15" x14ac:dyDescent="0.25">
      <c r="D45" s="1109"/>
      <c r="E45" s="1111"/>
      <c r="F45" s="1111"/>
      <c r="G45" s="1111"/>
      <c r="N45" s="1118"/>
      <c r="O45" s="1118"/>
      <c r="P45" s="1118"/>
      <c r="Q45" s="1118"/>
      <c r="R45" s="1115"/>
      <c r="S45" s="1115"/>
      <c r="T45" s="1115"/>
    </row>
    <row r="46" spans="2:20" x14ac:dyDescent="0.2">
      <c r="D46" s="1107"/>
      <c r="E46" s="1112"/>
      <c r="F46" s="1112"/>
      <c r="G46" s="1112"/>
      <c r="N46" s="1117"/>
      <c r="O46" s="1117"/>
      <c r="P46" s="1117"/>
      <c r="Q46" s="1117"/>
      <c r="R46" s="1116"/>
      <c r="S46" s="1116"/>
      <c r="T46" s="1116"/>
    </row>
    <row r="47" spans="2:20" x14ac:dyDescent="0.2">
      <c r="E47" s="1112"/>
      <c r="F47" s="1112"/>
      <c r="G47" s="1112"/>
      <c r="N47" s="1117"/>
      <c r="O47" s="1117"/>
      <c r="P47" s="1117"/>
      <c r="Q47" s="1117"/>
      <c r="R47" s="1116"/>
      <c r="S47" s="1116"/>
      <c r="T47" s="1116"/>
    </row>
    <row r="48" spans="2:20" x14ac:dyDescent="0.2">
      <c r="E48" s="1112"/>
      <c r="F48" s="1112"/>
      <c r="G48" s="1112"/>
      <c r="N48" s="1116"/>
      <c r="O48" s="1116"/>
      <c r="P48" s="1116"/>
      <c r="Q48" s="1116"/>
      <c r="R48" s="1116"/>
      <c r="S48" s="1116"/>
      <c r="T48" s="1116"/>
    </row>
    <row r="49" spans="3:20" ht="15" x14ac:dyDescent="0.25">
      <c r="D49" s="1110"/>
      <c r="E49" s="1113"/>
      <c r="F49" s="1113"/>
      <c r="G49" s="1113"/>
      <c r="N49" s="1119"/>
      <c r="O49" s="1119"/>
      <c r="P49" s="1119"/>
      <c r="Q49" s="1119"/>
      <c r="R49" s="1119"/>
      <c r="S49" s="1119"/>
      <c r="T49" s="1119"/>
    </row>
    <row r="50" spans="3:20" x14ac:dyDescent="0.2">
      <c r="C50" s="1117"/>
      <c r="F50" s="1107"/>
    </row>
    <row r="51" spans="3:20" x14ac:dyDescent="0.2">
      <c r="C51" s="1117"/>
      <c r="D51" s="1107"/>
      <c r="E51" s="1107"/>
      <c r="F51" s="1107"/>
    </row>
    <row r="52" spans="3:20" ht="15" x14ac:dyDescent="0.25">
      <c r="C52" s="1117"/>
      <c r="D52" s="1107"/>
      <c r="E52" s="1107"/>
      <c r="F52" s="1107"/>
      <c r="N52" s="1115"/>
    </row>
    <row r="53" spans="3:20" ht="15" x14ac:dyDescent="0.25">
      <c r="C53" s="1117"/>
      <c r="D53" s="1107"/>
      <c r="E53" s="1107"/>
      <c r="F53" s="1107"/>
      <c r="G53" s="1110"/>
      <c r="H53" s="1110"/>
      <c r="I53" s="1110"/>
      <c r="J53" s="1110"/>
      <c r="M53" s="1115"/>
      <c r="N53" s="1115"/>
      <c r="O53" s="1115"/>
      <c r="P53" s="1115"/>
      <c r="Q53" s="1115"/>
      <c r="R53" s="1115"/>
    </row>
    <row r="54" spans="3:20" ht="15" x14ac:dyDescent="0.25">
      <c r="C54" s="1117"/>
      <c r="D54" s="1107"/>
      <c r="E54" s="1107"/>
      <c r="F54" s="1107"/>
      <c r="G54" s="1112"/>
      <c r="H54" s="1112"/>
      <c r="I54" s="1112"/>
      <c r="J54" s="1113"/>
      <c r="K54" s="1110"/>
      <c r="N54" s="1117"/>
      <c r="O54" s="1117"/>
      <c r="P54" s="1117"/>
      <c r="Q54" s="1116"/>
      <c r="R54" s="1116"/>
      <c r="S54" s="1116"/>
      <c r="T54" s="1116"/>
    </row>
    <row r="55" spans="3:20" ht="15" x14ac:dyDescent="0.25">
      <c r="C55" s="1117"/>
      <c r="D55" s="1107"/>
      <c r="E55" s="1107"/>
      <c r="F55" s="1107"/>
      <c r="G55" s="1112"/>
      <c r="H55" s="1112"/>
      <c r="I55" s="1112"/>
      <c r="J55" s="1113"/>
      <c r="K55" s="1110"/>
      <c r="N55" s="1117"/>
      <c r="O55" s="1117"/>
      <c r="P55" s="1117"/>
      <c r="Q55" s="1116"/>
      <c r="R55" s="1116"/>
      <c r="S55" s="1116"/>
      <c r="T55" s="1116"/>
    </row>
    <row r="56" spans="3:20" ht="15" x14ac:dyDescent="0.25">
      <c r="C56" s="1117"/>
      <c r="D56" s="1107"/>
      <c r="E56" s="1107"/>
      <c r="F56" s="1107"/>
      <c r="G56" s="1112"/>
      <c r="H56" s="1112"/>
      <c r="I56" s="1112"/>
      <c r="J56" s="1113"/>
      <c r="K56" s="1110"/>
      <c r="N56" s="1117"/>
      <c r="O56" s="1116"/>
      <c r="P56" s="1116"/>
      <c r="Q56" s="1116"/>
      <c r="R56" s="1116"/>
      <c r="S56" s="1116"/>
      <c r="T56" s="1116"/>
    </row>
    <row r="57" spans="3:20" ht="15" x14ac:dyDescent="0.25">
      <c r="C57" s="1117"/>
      <c r="D57" s="1107"/>
      <c r="E57" s="1107"/>
      <c r="F57" s="1107"/>
      <c r="G57" s="1113"/>
      <c r="H57" s="1113"/>
      <c r="I57" s="1113"/>
      <c r="J57" s="1113"/>
      <c r="K57" s="1110"/>
      <c r="L57" s="1110"/>
      <c r="M57" s="1115"/>
      <c r="N57" s="1119"/>
      <c r="O57" s="1119"/>
      <c r="P57" s="1119"/>
      <c r="Q57" s="1119"/>
      <c r="R57" s="1119"/>
      <c r="S57" s="1119"/>
      <c r="T57" s="1119"/>
    </row>
    <row r="58" spans="3:20" ht="15" x14ac:dyDescent="0.25">
      <c r="C58" s="1117"/>
      <c r="D58" s="1107"/>
      <c r="E58" s="1107"/>
      <c r="F58" s="1107"/>
      <c r="K58" s="1110"/>
    </row>
    <row r="59" spans="3:20" ht="15" x14ac:dyDescent="0.25">
      <c r="C59" s="1117"/>
      <c r="D59" s="1107"/>
      <c r="E59" s="1107"/>
      <c r="F59" s="1107"/>
      <c r="K59" s="1110"/>
    </row>
    <row r="60" spans="3:20" ht="15" x14ac:dyDescent="0.25">
      <c r="C60" s="1117"/>
      <c r="D60" s="1107"/>
      <c r="E60" s="1107"/>
      <c r="F60" s="1107"/>
      <c r="K60" s="1110"/>
    </row>
    <row r="61" spans="3:20" ht="15" x14ac:dyDescent="0.25">
      <c r="C61" s="1117"/>
      <c r="D61" s="1107"/>
      <c r="E61" s="1107"/>
      <c r="F61" s="1107"/>
      <c r="K61" s="1110"/>
    </row>
    <row r="62" spans="3:20" x14ac:dyDescent="0.2">
      <c r="C62" s="1117"/>
      <c r="D62" s="1107"/>
      <c r="E62" s="1107"/>
      <c r="F62" s="1107"/>
    </row>
    <row r="63" spans="3:20" x14ac:dyDescent="0.2">
      <c r="C63" s="1117"/>
      <c r="D63" s="1107"/>
      <c r="E63" s="1107"/>
      <c r="F63" s="1107"/>
    </row>
    <row r="64" spans="3:20" x14ac:dyDescent="0.2">
      <c r="C64" s="1117"/>
      <c r="D64" s="1107"/>
      <c r="E64" s="1107"/>
      <c r="F64" s="1107"/>
    </row>
    <row r="65" spans="3:6" x14ac:dyDescent="0.2">
      <c r="C65" s="1117"/>
      <c r="D65" s="1107"/>
      <c r="E65" s="1107"/>
      <c r="F65" s="1107"/>
    </row>
  </sheetData>
  <mergeCells count="1">
    <mergeCell ref="K9:AA12"/>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U171"/>
  <sheetViews>
    <sheetView showGridLines="0" zoomScale="75" zoomScaleNormal="75" workbookViewId="0"/>
  </sheetViews>
  <sheetFormatPr defaultColWidth="10.28515625" defaultRowHeight="12" x14ac:dyDescent="0.2"/>
  <cols>
    <col min="1" max="1" width="14.42578125" style="381" customWidth="1"/>
    <col min="2" max="2" width="39.42578125" style="2" customWidth="1"/>
    <col min="3" max="3" width="18.7109375" style="2" customWidth="1"/>
    <col min="4" max="4" width="15.42578125" style="2" customWidth="1"/>
    <col min="5" max="7" width="24.140625" style="2" customWidth="1"/>
    <col min="8" max="8" width="13.42578125" style="2" customWidth="1"/>
    <col min="9" max="10" width="24.140625" style="2" customWidth="1"/>
    <col min="11" max="11" width="30" style="2" customWidth="1"/>
    <col min="12" max="12" width="24.140625" style="2" customWidth="1"/>
    <col min="13" max="13" width="29.42578125" style="2" customWidth="1"/>
    <col min="14" max="16" width="24.140625" style="2" customWidth="1"/>
    <col min="17" max="17" width="10.28515625" style="2"/>
    <col min="18" max="18" width="18.28515625" style="2" customWidth="1"/>
    <col min="19" max="16384" width="10.28515625" style="2"/>
  </cols>
  <sheetData>
    <row r="1" spans="1:21" s="352" customFormat="1" ht="18.600000000000001" customHeight="1" x14ac:dyDescent="0.2"/>
    <row r="2" spans="1:21" s="352" customFormat="1" ht="18.600000000000001" customHeight="1" x14ac:dyDescent="0.2"/>
    <row r="3" spans="1:21" s="352" customFormat="1" ht="18.600000000000001" customHeight="1" x14ac:dyDescent="0.2">
      <c r="G3" s="2"/>
      <c r="R3" s="528"/>
    </row>
    <row r="4" spans="1:21" s="352" customFormat="1" ht="18.600000000000001" customHeight="1" x14ac:dyDescent="0.2">
      <c r="E4" s="2"/>
      <c r="F4" s="2"/>
      <c r="G4" s="2"/>
      <c r="H4" s="2"/>
      <c r="I4" s="2"/>
      <c r="J4" s="2"/>
      <c r="K4" s="2"/>
      <c r="L4" s="2"/>
      <c r="M4" s="2"/>
      <c r="N4" s="2"/>
      <c r="O4" s="2"/>
      <c r="P4" s="2"/>
      <c r="Q4" s="2"/>
      <c r="R4" s="2"/>
      <c r="S4" s="2"/>
      <c r="T4" s="2"/>
      <c r="U4" s="2"/>
    </row>
    <row r="5" spans="1:21" s="679" customFormat="1" ht="18.600000000000001" customHeight="1" x14ac:dyDescent="0.2">
      <c r="E5" s="2"/>
      <c r="F5" s="2"/>
      <c r="G5" s="2"/>
      <c r="H5" s="2"/>
      <c r="I5" s="2"/>
      <c r="J5" s="2"/>
      <c r="K5" s="2"/>
      <c r="L5" s="2"/>
      <c r="M5" s="2"/>
      <c r="N5" s="2"/>
      <c r="O5" s="2"/>
      <c r="P5" s="2"/>
      <c r="Q5" s="2"/>
      <c r="R5" s="2"/>
      <c r="S5" s="2"/>
      <c r="T5" s="2"/>
      <c r="U5" s="2"/>
    </row>
    <row r="6" spans="1:21" s="352" customFormat="1" ht="18.600000000000001" customHeight="1" x14ac:dyDescent="0.2">
      <c r="E6" s="2"/>
      <c r="F6" s="2"/>
      <c r="G6" s="2"/>
      <c r="H6" s="2"/>
      <c r="I6" s="2"/>
      <c r="J6" s="2"/>
      <c r="K6" s="2"/>
      <c r="L6" s="2"/>
      <c r="M6" s="2"/>
      <c r="N6" s="2"/>
      <c r="O6" s="2"/>
      <c r="P6" s="2"/>
      <c r="Q6" s="2"/>
      <c r="R6" s="2"/>
      <c r="S6" s="2"/>
      <c r="T6" s="2"/>
      <c r="U6" s="2"/>
    </row>
    <row r="7" spans="1:21" s="352" customFormat="1" ht="18.600000000000001" customHeight="1" x14ac:dyDescent="0.2">
      <c r="E7" s="2"/>
      <c r="F7" s="2"/>
      <c r="G7" s="2"/>
      <c r="H7" s="2"/>
      <c r="I7" s="2"/>
      <c r="J7" s="2"/>
      <c r="K7" s="2"/>
      <c r="L7" s="2"/>
      <c r="M7" s="2"/>
      <c r="N7" s="2"/>
      <c r="O7" s="2"/>
      <c r="P7" s="2"/>
      <c r="Q7" s="2"/>
      <c r="R7" s="2"/>
      <c r="S7" s="2"/>
      <c r="T7" s="2"/>
      <c r="U7" s="2"/>
    </row>
    <row r="8" spans="1:21" ht="18.600000000000001" customHeight="1" x14ac:dyDescent="0.2">
      <c r="D8" s="86"/>
    </row>
    <row r="9" spans="1:21" ht="18.600000000000001" customHeight="1" x14ac:dyDescent="0.2">
      <c r="D9" s="86"/>
    </row>
    <row r="10" spans="1:21" s="10" customFormat="1" ht="18.600000000000001" customHeight="1" x14ac:dyDescent="0.2"/>
    <row r="11" spans="1:21" s="268" customFormat="1" ht="18.600000000000001" customHeight="1" x14ac:dyDescent="0.3">
      <c r="B11" s="382" t="s">
        <v>568</v>
      </c>
    </row>
    <row r="12" spans="1:21" s="79" customFormat="1" ht="18.600000000000001" customHeight="1" x14ac:dyDescent="0.2">
      <c r="A12" s="374"/>
      <c r="C12" s="498"/>
    </row>
    <row r="13" spans="1:21" s="384" customFormat="1" ht="15.75" customHeight="1" x14ac:dyDescent="0.2">
      <c r="D13" s="90"/>
    </row>
    <row r="14" spans="1:21" s="384" customFormat="1" ht="15.75" customHeight="1" x14ac:dyDescent="0.2">
      <c r="B14" s="20" t="s">
        <v>607</v>
      </c>
      <c r="C14" s="32"/>
      <c r="D14" s="32"/>
    </row>
    <row r="15" spans="1:21" s="384" customFormat="1" ht="15.75" customHeight="1" x14ac:dyDescent="0.2">
      <c r="B15" s="257"/>
      <c r="C15" s="32"/>
      <c r="D15" s="32"/>
    </row>
    <row r="16" spans="1:21" s="384" customFormat="1" ht="15.75" customHeight="1" x14ac:dyDescent="0.2">
      <c r="B16" s="257"/>
      <c r="C16" s="32"/>
      <c r="D16" s="32"/>
    </row>
    <row r="17" spans="2:16" s="384" customFormat="1" ht="15.75" customHeight="1" x14ac:dyDescent="0.2">
      <c r="B17" s="257"/>
      <c r="C17" s="32"/>
      <c r="D17" s="32"/>
    </row>
    <row r="18" spans="2:16" s="384" customFormat="1" ht="15.75" customHeight="1" x14ac:dyDescent="0.2">
      <c r="B18" s="257"/>
      <c r="C18" s="32"/>
      <c r="D18" s="32"/>
    </row>
    <row r="19" spans="2:16" s="384" customFormat="1" ht="15.75" customHeight="1" x14ac:dyDescent="0.2">
      <c r="B19" s="257"/>
      <c r="C19" s="32"/>
      <c r="D19" s="32"/>
    </row>
    <row r="20" spans="2:16" s="384" customFormat="1" ht="15.75" customHeight="1" x14ac:dyDescent="0.2">
      <c r="B20" s="257"/>
      <c r="C20" s="32"/>
      <c r="D20" s="32"/>
    </row>
    <row r="21" spans="2:16" s="384" customFormat="1" ht="15.75" customHeight="1" x14ac:dyDescent="0.2">
      <c r="B21" s="257"/>
      <c r="C21" s="32"/>
      <c r="D21" s="32"/>
    </row>
    <row r="22" spans="2:16" s="384" customFormat="1" ht="15.75" customHeight="1" x14ac:dyDescent="0.2">
      <c r="B22" s="257"/>
      <c r="C22" s="32"/>
      <c r="D22" s="32"/>
    </row>
    <row r="23" spans="2:16" s="384" customFormat="1" ht="15.75" customHeight="1" x14ac:dyDescent="0.2">
      <c r="B23" s="257"/>
      <c r="C23" s="32"/>
      <c r="D23" s="32"/>
    </row>
    <row r="24" spans="2:16" s="384" customFormat="1" ht="15.75" customHeight="1" x14ac:dyDescent="0.2">
      <c r="B24" s="257"/>
      <c r="C24" s="32"/>
      <c r="D24" s="32"/>
    </row>
    <row r="25" spans="2:16" s="384" customFormat="1" ht="15.75" customHeight="1" x14ac:dyDescent="0.2">
      <c r="B25" s="2"/>
      <c r="C25" s="32"/>
      <c r="D25" s="32"/>
    </row>
    <row r="26" spans="2:16" s="384" customFormat="1" ht="15.75" customHeight="1" x14ac:dyDescent="0.2">
      <c r="B26" s="2"/>
      <c r="C26" s="32"/>
      <c r="D26" s="32"/>
    </row>
    <row r="27" spans="2:16" s="384" customFormat="1" ht="15.75" customHeight="1" x14ac:dyDescent="0.2">
      <c r="B27" s="2"/>
      <c r="C27" s="32"/>
      <c r="D27" s="32"/>
    </row>
    <row r="28" spans="2:16" s="384" customFormat="1" ht="15.75" customHeight="1" x14ac:dyDescent="0.2">
      <c r="B28" s="2"/>
      <c r="C28" s="32"/>
      <c r="D28" s="32"/>
    </row>
    <row r="29" spans="2:16" s="384" customFormat="1" ht="15.75" customHeight="1" x14ac:dyDescent="0.2">
      <c r="B29" s="2"/>
      <c r="C29" s="32"/>
      <c r="D29" s="32"/>
    </row>
    <row r="30" spans="2:16" ht="24.6" customHeight="1" x14ac:dyDescent="0.2">
      <c r="B30" s="21" t="s">
        <v>565</v>
      </c>
      <c r="C30" s="211"/>
      <c r="D30" s="211"/>
      <c r="E30" s="247"/>
      <c r="F30" s="179"/>
      <c r="G30" s="212" t="s">
        <v>528</v>
      </c>
      <c r="H30" s="529"/>
      <c r="I30" s="179"/>
      <c r="J30" s="213" t="s">
        <v>526</v>
      </c>
      <c r="K30" s="529"/>
      <c r="L30" s="179"/>
      <c r="M30" s="179"/>
      <c r="N30" s="179"/>
      <c r="O30" s="179"/>
      <c r="P30" s="213"/>
    </row>
    <row r="31" spans="2:16" ht="24.6" customHeight="1" x14ac:dyDescent="0.2">
      <c r="B31" s="258" t="s">
        <v>525</v>
      </c>
      <c r="C31" s="530"/>
      <c r="D31" s="530"/>
      <c r="E31" s="242" t="s">
        <v>13</v>
      </c>
      <c r="F31" s="184" t="s">
        <v>14</v>
      </c>
      <c r="G31" s="185" t="s">
        <v>14</v>
      </c>
      <c r="H31" s="242" t="s">
        <v>16</v>
      </c>
      <c r="I31" s="184" t="s">
        <v>17</v>
      </c>
      <c r="J31" s="185" t="s">
        <v>9</v>
      </c>
      <c r="K31" s="242" t="s">
        <v>18</v>
      </c>
      <c r="L31" s="184" t="s">
        <v>19</v>
      </c>
      <c r="M31" s="184" t="s">
        <v>20</v>
      </c>
      <c r="N31" s="184" t="s">
        <v>6</v>
      </c>
      <c r="O31" s="184" t="s">
        <v>51</v>
      </c>
      <c r="P31" s="185" t="s">
        <v>618</v>
      </c>
    </row>
    <row r="32" spans="2:16" ht="24.6" customHeight="1" x14ac:dyDescent="0.2">
      <c r="B32" s="12" t="s">
        <v>566</v>
      </c>
      <c r="C32" s="32"/>
      <c r="D32" s="32"/>
      <c r="E32" s="203"/>
      <c r="F32" s="252">
        <f>F113</f>
        <v>40181</v>
      </c>
      <c r="G32" s="253">
        <f>G101</f>
        <v>40286</v>
      </c>
      <c r="H32" s="254">
        <f t="shared" ref="H32:O32" si="0">H101</f>
        <v>40910</v>
      </c>
      <c r="I32" s="252">
        <f t="shared" si="0"/>
        <v>41280</v>
      </c>
      <c r="J32" s="253">
        <f t="shared" si="0"/>
        <v>41644</v>
      </c>
      <c r="K32" s="254">
        <f t="shared" si="0"/>
        <v>41883</v>
      </c>
      <c r="L32" s="252" t="str">
        <f t="shared" si="0"/>
        <v>1/01/20106</v>
      </c>
      <c r="M32" s="252">
        <f t="shared" si="0"/>
        <v>42618</v>
      </c>
      <c r="N32" s="252">
        <f t="shared" si="0"/>
        <v>42919</v>
      </c>
      <c r="O32" s="252">
        <f t="shared" si="0"/>
        <v>43283</v>
      </c>
      <c r="P32" s="253">
        <f t="shared" ref="P32" si="1">P101</f>
        <v>43640</v>
      </c>
    </row>
    <row r="33" spans="1:16" ht="24.6" customHeight="1" x14ac:dyDescent="0.2">
      <c r="B33" s="255" t="s">
        <v>4</v>
      </c>
      <c r="C33" s="32"/>
      <c r="D33" s="32"/>
      <c r="E33" s="203"/>
      <c r="F33" s="245">
        <f t="shared" ref="F33:N33" si="2">F109</f>
        <v>4.7E-2</v>
      </c>
      <c r="G33" s="248">
        <f t="shared" si="2"/>
        <v>-6.9309578419120443E-2</v>
      </c>
      <c r="H33" s="250">
        <f t="shared" si="2"/>
        <v>5.3999999999999999E-2</v>
      </c>
      <c r="I33" s="245">
        <f t="shared" si="2"/>
        <v>3.4000000000000002E-2</v>
      </c>
      <c r="J33" s="248">
        <f t="shared" si="2"/>
        <v>3.5000000000000003E-2</v>
      </c>
      <c r="K33" s="250">
        <f t="shared" si="2"/>
        <v>3.3000000000000002E-2</v>
      </c>
      <c r="L33" s="245">
        <f t="shared" si="2"/>
        <v>-2.3200000000000002E-2</v>
      </c>
      <c r="M33" s="245">
        <f t="shared" si="2"/>
        <v>0</v>
      </c>
      <c r="N33" s="245">
        <f t="shared" si="2"/>
        <v>2.409638554216853E-2</v>
      </c>
      <c r="O33" s="245">
        <f>O87</f>
        <v>1.1764705882353121E-2</v>
      </c>
      <c r="P33" s="248">
        <f>P87</f>
        <v>1.1627906976744207E-2</v>
      </c>
    </row>
    <row r="34" spans="1:16" ht="24.6" customHeight="1" x14ac:dyDescent="0.2">
      <c r="B34" s="255" t="s">
        <v>3</v>
      </c>
      <c r="C34" s="32"/>
      <c r="D34" s="32"/>
      <c r="E34" s="203"/>
      <c r="F34" s="245">
        <f t="shared" ref="F34:N34" si="3">F122</f>
        <v>3.4000000000000002E-2</v>
      </c>
      <c r="G34" s="248">
        <f t="shared" si="3"/>
        <v>-1.7131567724012364E-2</v>
      </c>
      <c r="H34" s="250">
        <f t="shared" si="3"/>
        <v>5.3999999999999999E-2</v>
      </c>
      <c r="I34" s="245">
        <f t="shared" si="3"/>
        <v>3.3000000000000002E-2</v>
      </c>
      <c r="J34" s="248">
        <f t="shared" si="3"/>
        <v>2.4E-2</v>
      </c>
      <c r="K34" s="250">
        <f t="shared" si="3"/>
        <v>2.4E-2</v>
      </c>
      <c r="L34" s="245">
        <f t="shared" si="3"/>
        <v>4.1000000000000003E-3</v>
      </c>
      <c r="M34" s="245">
        <f t="shared" si="3"/>
        <v>0</v>
      </c>
      <c r="N34" s="245">
        <f t="shared" si="3"/>
        <v>2.409638554216853E-2</v>
      </c>
      <c r="O34" s="245">
        <f>O87</f>
        <v>1.1764705882353121E-2</v>
      </c>
      <c r="P34" s="248">
        <f>P87</f>
        <v>1.1627906976744207E-2</v>
      </c>
    </row>
    <row r="35" spans="1:16" ht="24.6" customHeight="1" x14ac:dyDescent="0.2">
      <c r="B35" s="256" t="s">
        <v>7</v>
      </c>
      <c r="C35" s="79"/>
      <c r="D35" s="79"/>
      <c r="E35" s="244"/>
      <c r="F35" s="246">
        <f t="shared" ref="F35:N35" si="4">F131</f>
        <v>0</v>
      </c>
      <c r="G35" s="249">
        <f t="shared" si="4"/>
        <v>6.4657200042340435E-2</v>
      </c>
      <c r="H35" s="251">
        <f t="shared" si="4"/>
        <v>5.5662831598122242E-2</v>
      </c>
      <c r="I35" s="246">
        <f t="shared" si="4"/>
        <v>3.3000000000000002E-2</v>
      </c>
      <c r="J35" s="249">
        <f t="shared" si="4"/>
        <v>3.3000000000000002E-2</v>
      </c>
      <c r="K35" s="251">
        <f t="shared" si="4"/>
        <v>2.9000000000000001E-2</v>
      </c>
      <c r="L35" s="246">
        <f t="shared" si="4"/>
        <v>-6.4899999999999999E-2</v>
      </c>
      <c r="M35" s="246">
        <f t="shared" si="4"/>
        <v>0</v>
      </c>
      <c r="N35" s="246">
        <f t="shared" si="4"/>
        <v>2.409638554216853E-2</v>
      </c>
      <c r="O35" s="246">
        <f>O87</f>
        <v>1.1764705882353121E-2</v>
      </c>
      <c r="P35" s="249">
        <f>P87</f>
        <v>1.1627906976744207E-2</v>
      </c>
    </row>
    <row r="36" spans="1:16" ht="24.6" customHeight="1" x14ac:dyDescent="0.2">
      <c r="B36" s="257"/>
      <c r="C36" s="32"/>
      <c r="D36" s="32"/>
      <c r="E36" s="180"/>
      <c r="F36" s="245"/>
      <c r="G36" s="245"/>
      <c r="H36" s="245"/>
      <c r="I36" s="245"/>
      <c r="J36" s="245"/>
      <c r="K36" s="245"/>
      <c r="L36" s="245"/>
      <c r="M36" s="245"/>
      <c r="N36" s="245"/>
      <c r="O36" s="245"/>
      <c r="P36" s="245"/>
    </row>
    <row r="37" spans="1:16" ht="24.6" customHeight="1" x14ac:dyDescent="0.2">
      <c r="B37" s="257"/>
      <c r="C37" s="32"/>
      <c r="D37" s="32"/>
      <c r="E37" s="180"/>
      <c r="F37" s="245"/>
      <c r="G37" s="245"/>
      <c r="H37" s="245"/>
      <c r="I37" s="245"/>
      <c r="J37" s="245"/>
      <c r="K37" s="245"/>
      <c r="L37" s="245"/>
      <c r="M37" s="245"/>
      <c r="N37" s="245"/>
      <c r="O37" s="245"/>
      <c r="P37" s="245"/>
    </row>
    <row r="38" spans="1:16" ht="24.6" customHeight="1" x14ac:dyDescent="0.2">
      <c r="B38" s="21" t="s">
        <v>579</v>
      </c>
      <c r="C38" s="211"/>
      <c r="D38" s="211"/>
      <c r="E38" s="247"/>
      <c r="F38" s="179"/>
      <c r="G38" s="212" t="s">
        <v>528</v>
      </c>
      <c r="H38" s="529"/>
      <c r="I38" s="179"/>
      <c r="J38" s="213" t="s">
        <v>526</v>
      </c>
      <c r="K38" s="529"/>
      <c r="L38" s="179"/>
      <c r="M38" s="179"/>
      <c r="N38" s="179"/>
      <c r="O38" s="179"/>
      <c r="P38" s="213"/>
    </row>
    <row r="39" spans="1:16" ht="24.6" customHeight="1" x14ac:dyDescent="0.2">
      <c r="B39" s="258" t="s">
        <v>567</v>
      </c>
      <c r="C39" s="530"/>
      <c r="D39" s="530"/>
      <c r="E39" s="242">
        <v>2009</v>
      </c>
      <c r="F39" s="184">
        <v>2010</v>
      </c>
      <c r="G39" s="185">
        <v>2011</v>
      </c>
      <c r="H39" s="242">
        <v>2012</v>
      </c>
      <c r="I39" s="184">
        <v>2013</v>
      </c>
      <c r="J39" s="185">
        <v>2014</v>
      </c>
      <c r="K39" s="242">
        <v>2015</v>
      </c>
      <c r="L39" s="184">
        <v>2016</v>
      </c>
      <c r="M39" s="184">
        <v>2017</v>
      </c>
      <c r="N39" s="184">
        <v>2018</v>
      </c>
      <c r="O39" s="184">
        <v>2019</v>
      </c>
      <c r="P39" s="185">
        <v>2020</v>
      </c>
    </row>
    <row r="40" spans="1:16" ht="24.6" customHeight="1" x14ac:dyDescent="0.2">
      <c r="B40" s="255" t="s">
        <v>4</v>
      </c>
      <c r="C40" s="32"/>
      <c r="D40" s="32"/>
      <c r="E40" s="299">
        <v>1</v>
      </c>
      <c r="F40" s="245">
        <f>E40*(1+F33)*(1+G33)</f>
        <v>0.97443287139518087</v>
      </c>
      <c r="G40" s="248">
        <f>F40</f>
        <v>0.97443287139518087</v>
      </c>
      <c r="H40" s="250">
        <f t="shared" ref="H40:P40" si="5">G40*(1+H33)</f>
        <v>1.0270522464505207</v>
      </c>
      <c r="I40" s="245">
        <f t="shared" si="5"/>
        <v>1.0619720228298384</v>
      </c>
      <c r="J40" s="248">
        <f t="shared" si="5"/>
        <v>1.0991410436288827</v>
      </c>
      <c r="K40" s="250">
        <f t="shared" si="5"/>
        <v>1.1354126980686357</v>
      </c>
      <c r="L40" s="245">
        <f t="shared" si="5"/>
        <v>1.1090711234734434</v>
      </c>
      <c r="M40" s="245">
        <f t="shared" si="5"/>
        <v>1.1090711234734434</v>
      </c>
      <c r="N40" s="245">
        <f t="shared" si="5"/>
        <v>1.1357957288583456</v>
      </c>
      <c r="O40" s="245">
        <f t="shared" si="5"/>
        <v>1.149158031550797</v>
      </c>
      <c r="P40" s="248">
        <f t="shared" si="5"/>
        <v>1.1625203342432482</v>
      </c>
    </row>
    <row r="41" spans="1:16" ht="24.6" customHeight="1" x14ac:dyDescent="0.2">
      <c r="B41" s="255" t="s">
        <v>3</v>
      </c>
      <c r="C41" s="32"/>
      <c r="D41" s="32"/>
      <c r="E41" s="299">
        <v>1</v>
      </c>
      <c r="F41" s="245">
        <f>E41*(1+F34)*(1+G34)</f>
        <v>1.0162859589733713</v>
      </c>
      <c r="G41" s="248">
        <f t="shared" ref="G41:G42" si="6">F41</f>
        <v>1.0162859589733713</v>
      </c>
      <c r="H41" s="250">
        <f t="shared" ref="H41:P41" si="7">G41*(1+H34)</f>
        <v>1.0711654007579334</v>
      </c>
      <c r="I41" s="245">
        <f t="shared" si="7"/>
        <v>1.1065138589829451</v>
      </c>
      <c r="J41" s="248">
        <f t="shared" si="7"/>
        <v>1.1330701915985357</v>
      </c>
      <c r="K41" s="250">
        <f t="shared" si="7"/>
        <v>1.1602638761969006</v>
      </c>
      <c r="L41" s="245">
        <f t="shared" si="7"/>
        <v>1.1650209580893078</v>
      </c>
      <c r="M41" s="245">
        <f t="shared" si="7"/>
        <v>1.1650209580893078</v>
      </c>
      <c r="N41" s="245">
        <f t="shared" si="7"/>
        <v>1.1930937522601344</v>
      </c>
      <c r="O41" s="245">
        <f t="shared" si="7"/>
        <v>1.207130149345548</v>
      </c>
      <c r="P41" s="248">
        <f t="shared" si="7"/>
        <v>1.2211665464309613</v>
      </c>
    </row>
    <row r="42" spans="1:16" ht="24.6" customHeight="1" x14ac:dyDescent="0.2">
      <c r="B42" s="256" t="s">
        <v>7</v>
      </c>
      <c r="C42" s="79"/>
      <c r="D42" s="79"/>
      <c r="E42" s="300">
        <v>1</v>
      </c>
      <c r="F42" s="246">
        <f>E42*(1+F35)*(1+G35)</f>
        <v>1.0646572000423404</v>
      </c>
      <c r="G42" s="249">
        <f t="shared" si="6"/>
        <v>1.0646572000423404</v>
      </c>
      <c r="H42" s="251">
        <f t="shared" ref="H42:P42" si="8">G42*(1+H35)</f>
        <v>1.1239190344780257</v>
      </c>
      <c r="I42" s="246">
        <f t="shared" si="8"/>
        <v>1.1610083626158003</v>
      </c>
      <c r="J42" s="249">
        <f t="shared" si="8"/>
        <v>1.1993216385821217</v>
      </c>
      <c r="K42" s="251">
        <f t="shared" si="8"/>
        <v>1.2341019661010031</v>
      </c>
      <c r="L42" s="246">
        <f t="shared" si="8"/>
        <v>1.154008748501048</v>
      </c>
      <c r="M42" s="246">
        <f t="shared" si="8"/>
        <v>1.154008748501048</v>
      </c>
      <c r="N42" s="246">
        <f t="shared" si="8"/>
        <v>1.1818161882239646</v>
      </c>
      <c r="O42" s="246">
        <f t="shared" si="8"/>
        <v>1.1957199080854233</v>
      </c>
      <c r="P42" s="249">
        <f t="shared" si="8"/>
        <v>1.2096236279468817</v>
      </c>
    </row>
    <row r="43" spans="1:16" s="28" customFormat="1" ht="24.6" customHeight="1" x14ac:dyDescent="0.2">
      <c r="A43" s="547"/>
      <c r="B43" s="420"/>
      <c r="C43" s="32"/>
      <c r="D43" s="32"/>
      <c r="E43" s="1032"/>
      <c r="F43" s="245"/>
      <c r="G43" s="245"/>
      <c r="H43" s="245"/>
      <c r="I43" s="245"/>
      <c r="J43" s="245"/>
      <c r="K43" s="245"/>
      <c r="L43" s="245"/>
      <c r="M43" s="245"/>
      <c r="N43" s="245"/>
      <c r="O43" s="245"/>
      <c r="P43" s="245"/>
    </row>
    <row r="44" spans="1:16" s="28" customFormat="1" ht="24.6" customHeight="1" x14ac:dyDescent="0.2">
      <c r="A44" s="547"/>
      <c r="B44" s="420"/>
      <c r="C44" s="32"/>
      <c r="D44" s="32"/>
      <c r="E44" s="1032"/>
      <c r="F44" s="245"/>
      <c r="G44" s="245"/>
      <c r="H44" s="245"/>
      <c r="I44" s="245"/>
      <c r="J44" s="245"/>
      <c r="K44" s="245"/>
      <c r="L44" s="245"/>
      <c r="M44" s="245"/>
      <c r="N44" s="245"/>
      <c r="O44" s="245"/>
      <c r="P44" s="245"/>
    </row>
    <row r="45" spans="1:16" s="28" customFormat="1" ht="24.6" customHeight="1" x14ac:dyDescent="0.2">
      <c r="A45" s="547"/>
      <c r="B45" s="420"/>
      <c r="C45" s="32"/>
      <c r="D45" s="32"/>
      <c r="E45" s="1032"/>
      <c r="F45" s="245"/>
      <c r="G45" s="245"/>
      <c r="H45" s="245"/>
      <c r="I45" s="245"/>
      <c r="J45" s="245"/>
      <c r="K45" s="245"/>
      <c r="L45" s="245"/>
      <c r="M45" s="245"/>
      <c r="N45" s="245"/>
      <c r="O45" s="245"/>
      <c r="P45" s="245"/>
    </row>
    <row r="46" spans="1:16" s="28" customFormat="1" ht="24.6" customHeight="1" x14ac:dyDescent="0.2">
      <c r="A46" s="547"/>
      <c r="B46" s="1036" t="s">
        <v>579</v>
      </c>
      <c r="C46" s="211"/>
      <c r="D46" s="211"/>
      <c r="E46" s="247"/>
      <c r="F46" s="179"/>
      <c r="G46" s="212" t="s">
        <v>528</v>
      </c>
      <c r="H46" s="1037"/>
      <c r="I46" s="179"/>
      <c r="J46" s="213" t="s">
        <v>526</v>
      </c>
      <c r="K46" s="529"/>
      <c r="L46" s="179"/>
      <c r="M46" s="179"/>
      <c r="N46" s="179"/>
      <c r="O46" s="179"/>
      <c r="P46" s="213"/>
    </row>
    <row r="47" spans="1:16" s="28" customFormat="1" ht="24.6" customHeight="1" x14ac:dyDescent="0.2">
      <c r="A47" s="547"/>
      <c r="B47" s="258" t="s">
        <v>567</v>
      </c>
      <c r="C47" s="1033"/>
      <c r="D47" s="1033"/>
      <c r="E47" s="242">
        <v>2009</v>
      </c>
      <c r="F47" s="184">
        <v>2010</v>
      </c>
      <c r="G47" s="185">
        <v>2011</v>
      </c>
      <c r="H47" s="242">
        <v>2012</v>
      </c>
      <c r="I47" s="184">
        <v>2013</v>
      </c>
      <c r="J47" s="185">
        <v>2014</v>
      </c>
      <c r="K47" s="242">
        <v>2015</v>
      </c>
      <c r="L47" s="184">
        <v>2016</v>
      </c>
      <c r="M47" s="184">
        <v>2017</v>
      </c>
      <c r="N47" s="184">
        <v>2018</v>
      </c>
      <c r="O47" s="184">
        <v>2019</v>
      </c>
      <c r="P47" s="185">
        <v>2020</v>
      </c>
    </row>
    <row r="48" spans="1:16" s="28" customFormat="1" ht="24.6" customHeight="1" x14ac:dyDescent="0.2">
      <c r="A48" s="547"/>
      <c r="B48" s="255" t="s">
        <v>4</v>
      </c>
      <c r="C48" s="1034"/>
      <c r="D48" s="1034"/>
      <c r="E48" s="262"/>
      <c r="F48" s="245"/>
      <c r="G48" s="248"/>
      <c r="H48" s="250"/>
      <c r="I48" s="245"/>
      <c r="J48" s="1042">
        <v>1</v>
      </c>
      <c r="K48" s="250">
        <f>J48*(1+K33)</f>
        <v>1.0329999999999999</v>
      </c>
      <c r="L48" s="245">
        <f t="shared" ref="L48:P48" si="9">K48*(1+L33)</f>
        <v>1.0090344</v>
      </c>
      <c r="M48" s="245">
        <f t="shared" si="9"/>
        <v>1.0090344</v>
      </c>
      <c r="N48" s="245">
        <f t="shared" si="9"/>
        <v>1.0333484819277108</v>
      </c>
      <c r="O48" s="245">
        <f t="shared" si="9"/>
        <v>1.0455055228915664</v>
      </c>
      <c r="P48" s="248">
        <f t="shared" si="9"/>
        <v>1.0576625638554218</v>
      </c>
    </row>
    <row r="49" spans="1:16" s="28" customFormat="1" ht="24.6" customHeight="1" x14ac:dyDescent="0.2">
      <c r="A49" s="547"/>
      <c r="B49" s="255" t="s">
        <v>3</v>
      </c>
      <c r="C49" s="1034"/>
      <c r="D49" s="1034"/>
      <c r="E49" s="262"/>
      <c r="F49" s="245"/>
      <c r="G49" s="248"/>
      <c r="H49" s="250"/>
      <c r="I49" s="245"/>
      <c r="J49" s="1042">
        <v>1</v>
      </c>
      <c r="K49" s="250">
        <f>J49*(1+K34)</f>
        <v>1.024</v>
      </c>
      <c r="L49" s="245">
        <f t="shared" ref="L49:P50" si="10">K49*(1+L34)</f>
        <v>1.0281984</v>
      </c>
      <c r="M49" s="245">
        <f t="shared" si="10"/>
        <v>1.0281984</v>
      </c>
      <c r="N49" s="245">
        <f t="shared" si="10"/>
        <v>1.0529742650602407</v>
      </c>
      <c r="O49" s="245">
        <f t="shared" si="10"/>
        <v>1.0653621975903613</v>
      </c>
      <c r="P49" s="248">
        <f t="shared" si="10"/>
        <v>1.0777501301204819</v>
      </c>
    </row>
    <row r="50" spans="1:16" s="28" customFormat="1" ht="24.6" customHeight="1" x14ac:dyDescent="0.2">
      <c r="A50" s="547"/>
      <c r="B50" s="1038" t="s">
        <v>7</v>
      </c>
      <c r="C50" s="1035"/>
      <c r="D50" s="1035"/>
      <c r="E50" s="263"/>
      <c r="F50" s="246"/>
      <c r="G50" s="249"/>
      <c r="H50" s="251"/>
      <c r="I50" s="246"/>
      <c r="J50" s="1043">
        <v>1</v>
      </c>
      <c r="K50" s="251">
        <f>J50*(1+K35)</f>
        <v>1.0289999999999999</v>
      </c>
      <c r="L50" s="246">
        <f t="shared" si="10"/>
        <v>0.96221789999999996</v>
      </c>
      <c r="M50" s="246">
        <f t="shared" si="10"/>
        <v>0.96221789999999996</v>
      </c>
      <c r="N50" s="246">
        <f t="shared" si="10"/>
        <v>0.98540387349397573</v>
      </c>
      <c r="O50" s="246">
        <f t="shared" si="10"/>
        <v>0.9969968602409639</v>
      </c>
      <c r="P50" s="249">
        <f t="shared" si="10"/>
        <v>1.008589846987952</v>
      </c>
    </row>
    <row r="51" spans="1:16" s="28" customFormat="1" ht="24.6" customHeight="1" x14ac:dyDescent="0.2">
      <c r="A51" s="547"/>
      <c r="B51" s="420"/>
      <c r="C51" s="1034"/>
      <c r="D51" s="1034"/>
      <c r="E51" s="1032"/>
      <c r="F51" s="245"/>
      <c r="G51" s="245"/>
      <c r="H51" s="245"/>
      <c r="I51" s="245"/>
      <c r="J51" s="1057"/>
      <c r="K51" s="245"/>
      <c r="L51" s="245"/>
      <c r="M51" s="245"/>
      <c r="N51" s="245"/>
      <c r="O51" s="245"/>
      <c r="P51" s="245"/>
    </row>
    <row r="52" spans="1:16" s="28" customFormat="1" ht="24.6" customHeight="1" x14ac:dyDescent="0.2">
      <c r="A52" s="547"/>
      <c r="B52" s="420"/>
      <c r="C52" s="1034"/>
      <c r="D52" s="1034"/>
      <c r="E52" s="1032"/>
      <c r="F52" s="245"/>
      <c r="G52" s="245"/>
      <c r="H52" s="245"/>
      <c r="I52" s="245"/>
      <c r="J52" s="1057"/>
      <c r="K52" s="245"/>
      <c r="L52" s="245"/>
      <c r="M52" s="245"/>
      <c r="N52" s="245"/>
      <c r="O52" s="245"/>
      <c r="P52" s="245"/>
    </row>
    <row r="53" spans="1:16" s="28" customFormat="1" ht="24.6" customHeight="1" x14ac:dyDescent="0.2">
      <c r="A53" s="547"/>
      <c r="B53" s="420"/>
      <c r="C53" s="1034"/>
      <c r="D53" s="1034"/>
      <c r="E53" s="180"/>
      <c r="F53" s="245"/>
      <c r="G53" s="245"/>
      <c r="H53" s="245"/>
      <c r="I53" s="245"/>
      <c r="J53" s="245"/>
      <c r="K53" s="245"/>
      <c r="L53" s="245"/>
      <c r="M53" s="245"/>
      <c r="N53" s="245"/>
      <c r="O53" s="245"/>
      <c r="P53" s="245"/>
    </row>
    <row r="54" spans="1:16" s="28" customFormat="1" ht="24.6" customHeight="1" x14ac:dyDescent="0.2">
      <c r="A54" s="547"/>
      <c r="B54" s="1036" t="s">
        <v>579</v>
      </c>
      <c r="C54" s="211"/>
      <c r="D54" s="211"/>
      <c r="E54" s="247"/>
      <c r="F54" s="179"/>
      <c r="G54" s="212" t="s">
        <v>528</v>
      </c>
      <c r="H54" s="1037"/>
      <c r="I54" s="179"/>
      <c r="J54" s="213" t="s">
        <v>526</v>
      </c>
      <c r="K54" s="1037"/>
      <c r="L54" s="179"/>
      <c r="M54" s="179"/>
      <c r="N54" s="179"/>
      <c r="O54" s="179"/>
      <c r="P54" s="213"/>
    </row>
    <row r="55" spans="1:16" s="28" customFormat="1" ht="24.6" customHeight="1" x14ac:dyDescent="0.2">
      <c r="A55" s="547"/>
      <c r="B55" s="258" t="s">
        <v>567</v>
      </c>
      <c r="C55" s="1033"/>
      <c r="D55" s="1033"/>
      <c r="E55" s="242">
        <v>2009</v>
      </c>
      <c r="F55" s="184">
        <v>2010</v>
      </c>
      <c r="G55" s="185">
        <v>2011</v>
      </c>
      <c r="H55" s="242">
        <v>2012</v>
      </c>
      <c r="I55" s="184">
        <v>2013</v>
      </c>
      <c r="J55" s="185">
        <v>2014</v>
      </c>
      <c r="K55" s="242">
        <v>2015</v>
      </c>
      <c r="L55" s="184">
        <v>2016</v>
      </c>
      <c r="M55" s="184">
        <v>2017</v>
      </c>
      <c r="N55" s="184">
        <v>2018</v>
      </c>
      <c r="O55" s="184">
        <v>2019</v>
      </c>
      <c r="P55" s="185">
        <v>2020</v>
      </c>
    </row>
    <row r="56" spans="1:16" s="28" customFormat="1" ht="24.6" customHeight="1" x14ac:dyDescent="0.2">
      <c r="A56" s="547"/>
      <c r="B56" s="255" t="s">
        <v>4</v>
      </c>
      <c r="C56" s="1034"/>
      <c r="D56" s="1034"/>
      <c r="E56" s="262"/>
      <c r="F56" s="245"/>
      <c r="G56" s="248"/>
      <c r="H56" s="250"/>
      <c r="I56" s="245"/>
      <c r="J56" s="1039">
        <f>J48-1</f>
        <v>0</v>
      </c>
      <c r="K56" s="1039">
        <f t="shared" ref="K56:P56" si="11">K48-1</f>
        <v>3.2999999999999918E-2</v>
      </c>
      <c r="L56" s="1040">
        <f t="shared" si="11"/>
        <v>9.034399999999998E-3</v>
      </c>
      <c r="M56" s="1040">
        <f t="shared" si="11"/>
        <v>9.034399999999998E-3</v>
      </c>
      <c r="N56" s="1040">
        <f t="shared" si="11"/>
        <v>3.3348481927710782E-2</v>
      </c>
      <c r="O56" s="1040">
        <f t="shared" si="11"/>
        <v>4.5505522891566397E-2</v>
      </c>
      <c r="P56" s="1041">
        <f t="shared" si="11"/>
        <v>5.7662563855421789E-2</v>
      </c>
    </row>
    <row r="57" spans="1:16" s="28" customFormat="1" ht="24.6" customHeight="1" x14ac:dyDescent="0.2">
      <c r="A57" s="547"/>
      <c r="B57" s="255" t="s">
        <v>3</v>
      </c>
      <c r="C57" s="1034"/>
      <c r="D57" s="1034"/>
      <c r="E57" s="262"/>
      <c r="F57" s="245"/>
      <c r="G57" s="248"/>
      <c r="H57" s="250"/>
      <c r="I57" s="245"/>
      <c r="J57" s="250">
        <f t="shared" ref="J57:P58" si="12">J49-1</f>
        <v>0</v>
      </c>
      <c r="K57" s="250">
        <f t="shared" si="12"/>
        <v>2.4000000000000021E-2</v>
      </c>
      <c r="L57" s="245">
        <f t="shared" si="12"/>
        <v>2.8198399999999957E-2</v>
      </c>
      <c r="M57" s="245">
        <f t="shared" si="12"/>
        <v>2.8198399999999957E-2</v>
      </c>
      <c r="N57" s="245">
        <f t="shared" si="12"/>
        <v>5.2974265060240722E-2</v>
      </c>
      <c r="O57" s="245">
        <f t="shared" si="12"/>
        <v>6.5362197590361326E-2</v>
      </c>
      <c r="P57" s="248">
        <f t="shared" si="12"/>
        <v>7.7750130120481931E-2</v>
      </c>
    </row>
    <row r="58" spans="1:16" s="28" customFormat="1" ht="24.6" customHeight="1" x14ac:dyDescent="0.2">
      <c r="A58" s="547"/>
      <c r="B58" s="1038" t="s">
        <v>7</v>
      </c>
      <c r="C58" s="1035"/>
      <c r="D58" s="1035"/>
      <c r="E58" s="263"/>
      <c r="F58" s="246"/>
      <c r="G58" s="249"/>
      <c r="H58" s="251"/>
      <c r="I58" s="246"/>
      <c r="J58" s="251">
        <f t="shared" si="12"/>
        <v>0</v>
      </c>
      <c r="K58" s="251">
        <f t="shared" si="12"/>
        <v>2.8999999999999915E-2</v>
      </c>
      <c r="L58" s="246">
        <f t="shared" si="12"/>
        <v>-3.7782100000000041E-2</v>
      </c>
      <c r="M58" s="246">
        <f t="shared" si="12"/>
        <v>-3.7782100000000041E-2</v>
      </c>
      <c r="N58" s="246">
        <f t="shared" si="12"/>
        <v>-1.4596126506024265E-2</v>
      </c>
      <c r="O58" s="246">
        <f t="shared" si="12"/>
        <v>-3.0031397590360998E-3</v>
      </c>
      <c r="P58" s="249">
        <f t="shared" si="12"/>
        <v>8.5898469879519546E-3</v>
      </c>
    </row>
    <row r="59" spans="1:16" ht="24.6" customHeight="1" x14ac:dyDescent="0.2">
      <c r="B59" s="257"/>
      <c r="C59" s="32"/>
      <c r="D59" s="32"/>
      <c r="E59" s="1032"/>
      <c r="F59" s="245"/>
      <c r="G59" s="245"/>
      <c r="H59" s="245"/>
      <c r="I59" s="245"/>
    </row>
    <row r="60" spans="1:16" ht="24.6" customHeight="1" x14ac:dyDescent="0.2">
      <c r="B60" s="257"/>
      <c r="C60" s="32"/>
      <c r="D60" s="32"/>
      <c r="E60" s="1032"/>
      <c r="F60" s="245"/>
      <c r="G60" s="245"/>
      <c r="H60" s="245"/>
      <c r="I60" s="245"/>
      <c r="J60" s="245"/>
      <c r="K60" s="245"/>
      <c r="L60" s="245"/>
      <c r="M60" s="245"/>
      <c r="N60" s="245"/>
      <c r="O60" s="245"/>
      <c r="P60" s="245"/>
    </row>
    <row r="61" spans="1:16" ht="24.6" customHeight="1" x14ac:dyDescent="0.2">
      <c r="B61" s="257"/>
      <c r="C61" s="32"/>
      <c r="D61" s="32"/>
      <c r="E61" s="1032"/>
      <c r="F61" s="245"/>
      <c r="G61" s="245"/>
      <c r="H61" s="245"/>
      <c r="I61" s="245"/>
      <c r="J61" s="245"/>
      <c r="K61" s="245"/>
      <c r="L61" s="245"/>
      <c r="M61" s="245"/>
      <c r="N61" s="245"/>
      <c r="O61" s="245"/>
      <c r="P61" s="245"/>
    </row>
    <row r="62" spans="1:16" ht="24.6" customHeight="1" x14ac:dyDescent="0.2">
      <c r="B62" s="259" t="s">
        <v>570</v>
      </c>
      <c r="C62" s="30"/>
      <c r="D62" s="30"/>
      <c r="E62" s="238">
        <f t="shared" ref="E62:P62" si="13">E39</f>
        <v>2009</v>
      </c>
      <c r="F62" s="182">
        <f t="shared" si="13"/>
        <v>2010</v>
      </c>
      <c r="G62" s="239">
        <f t="shared" si="13"/>
        <v>2011</v>
      </c>
      <c r="H62" s="238">
        <f t="shared" si="13"/>
        <v>2012</v>
      </c>
      <c r="I62" s="182">
        <f t="shared" si="13"/>
        <v>2013</v>
      </c>
      <c r="J62" s="239">
        <f t="shared" si="13"/>
        <v>2014</v>
      </c>
      <c r="K62" s="182">
        <f t="shared" si="13"/>
        <v>2015</v>
      </c>
      <c r="L62" s="182">
        <f t="shared" si="13"/>
        <v>2016</v>
      </c>
      <c r="M62" s="182">
        <f t="shared" si="13"/>
        <v>2017</v>
      </c>
      <c r="N62" s="182">
        <f t="shared" si="13"/>
        <v>2018</v>
      </c>
      <c r="O62" s="182">
        <f t="shared" si="13"/>
        <v>2019</v>
      </c>
      <c r="P62" s="239">
        <f t="shared" si="13"/>
        <v>2020</v>
      </c>
    </row>
    <row r="63" spans="1:16" ht="24.6" customHeight="1" x14ac:dyDescent="0.2">
      <c r="B63" s="256" t="s">
        <v>569</v>
      </c>
      <c r="C63" s="79"/>
      <c r="D63" s="79"/>
      <c r="E63" s="531">
        <f t="array" ref="E63:P63">TRANSPOSE('IPART inputs'!C63:C74)</f>
        <v>1</v>
      </c>
      <c r="F63" s="532">
        <v>1.0312163616792249</v>
      </c>
      <c r="G63" s="533">
        <v>1.0678148546824544</v>
      </c>
      <c r="H63" s="531">
        <v>1.0807319698600648</v>
      </c>
      <c r="I63" s="532">
        <v>1.1065662002152854</v>
      </c>
      <c r="J63" s="533">
        <v>1.1399354144241123</v>
      </c>
      <c r="K63" s="532">
        <v>1.1571582346609259</v>
      </c>
      <c r="L63" s="532">
        <v>1.1689989235737352</v>
      </c>
      <c r="M63" s="532">
        <v>1.1916038751345532</v>
      </c>
      <c r="N63" s="532">
        <v>1.2163616792249732</v>
      </c>
      <c r="O63" s="532">
        <v>1.2357373519913888</v>
      </c>
      <c r="P63" s="533">
        <v>1.2592163616792251</v>
      </c>
    </row>
    <row r="64" spans="1:16" ht="24.6" customHeight="1" x14ac:dyDescent="0.2">
      <c r="B64" s="257"/>
      <c r="C64" s="32"/>
      <c r="D64" s="32"/>
      <c r="E64" s="215"/>
      <c r="F64" s="215"/>
      <c r="G64" s="215"/>
      <c r="H64" s="215"/>
      <c r="I64" s="215"/>
      <c r="J64" s="215"/>
      <c r="K64" s="215"/>
      <c r="L64" s="215"/>
      <c r="M64" s="215"/>
      <c r="N64" s="215"/>
      <c r="O64" s="215"/>
      <c r="P64" s="215"/>
    </row>
    <row r="65" spans="2:16" ht="24.6" customHeight="1" x14ac:dyDescent="0.2">
      <c r="B65" s="257"/>
      <c r="C65" s="32"/>
      <c r="D65" s="32"/>
      <c r="E65" s="215"/>
      <c r="F65" s="215"/>
      <c r="G65" s="215"/>
      <c r="H65" s="215"/>
      <c r="I65" s="215"/>
      <c r="J65" s="215"/>
      <c r="K65" s="215"/>
      <c r="L65" s="215"/>
      <c r="M65" s="215"/>
      <c r="N65" s="215"/>
      <c r="O65" s="215"/>
      <c r="P65" s="215"/>
    </row>
    <row r="66" spans="2:16" ht="24.6" customHeight="1" x14ac:dyDescent="0.2">
      <c r="B66" s="257"/>
      <c r="C66" s="32"/>
      <c r="D66" s="32"/>
      <c r="E66" s="180"/>
      <c r="F66" s="245"/>
      <c r="G66" s="245"/>
      <c r="H66" s="245"/>
      <c r="I66" s="245"/>
      <c r="J66" s="245"/>
      <c r="K66" s="245"/>
      <c r="L66" s="245"/>
      <c r="M66" s="245"/>
      <c r="N66" s="245"/>
      <c r="O66" s="245"/>
      <c r="P66" s="245"/>
    </row>
    <row r="67" spans="2:16" ht="24.6" customHeight="1" x14ac:dyDescent="0.2">
      <c r="B67" s="21" t="s">
        <v>580</v>
      </c>
      <c r="C67" s="211"/>
      <c r="D67" s="211"/>
      <c r="E67" s="247"/>
      <c r="F67" s="179"/>
      <c r="G67" s="212" t="s">
        <v>528</v>
      </c>
      <c r="H67" s="529"/>
      <c r="I67" s="179"/>
      <c r="J67" s="213" t="s">
        <v>526</v>
      </c>
      <c r="K67" s="529"/>
      <c r="L67" s="179"/>
      <c r="M67" s="179"/>
      <c r="N67" s="179"/>
      <c r="O67" s="179"/>
      <c r="P67" s="213"/>
    </row>
    <row r="68" spans="2:16" ht="24.6" customHeight="1" x14ac:dyDescent="0.2">
      <c r="B68" s="258" t="s">
        <v>567</v>
      </c>
      <c r="C68" s="530"/>
      <c r="D68" s="530"/>
      <c r="E68" s="242">
        <v>2009</v>
      </c>
      <c r="F68" s="184">
        <v>2010</v>
      </c>
      <c r="G68" s="185">
        <v>2011</v>
      </c>
      <c r="H68" s="242">
        <v>2012</v>
      </c>
      <c r="I68" s="184">
        <v>2013</v>
      </c>
      <c r="J68" s="185">
        <v>2014</v>
      </c>
      <c r="K68" s="242">
        <v>2015</v>
      </c>
      <c r="L68" s="184">
        <v>2016</v>
      </c>
      <c r="M68" s="184">
        <v>2017</v>
      </c>
      <c r="N68" s="184">
        <v>2018</v>
      </c>
      <c r="O68" s="184">
        <v>2019</v>
      </c>
      <c r="P68" s="185">
        <f>P39</f>
        <v>2020</v>
      </c>
    </row>
    <row r="69" spans="2:16" ht="24.6" customHeight="1" x14ac:dyDescent="0.2">
      <c r="B69" s="260" t="s">
        <v>4</v>
      </c>
      <c r="C69" s="30"/>
      <c r="D69" s="488"/>
      <c r="E69" s="262">
        <f t="shared" ref="E69:P69" si="14">E40/E$63</f>
        <v>1</v>
      </c>
      <c r="F69" s="245">
        <f t="shared" si="14"/>
        <v>0.94493542539261277</v>
      </c>
      <c r="G69" s="248">
        <f t="shared" si="14"/>
        <v>0.91254852573197875</v>
      </c>
      <c r="H69" s="250">
        <f t="shared" si="14"/>
        <v>0.9503302160881808</v>
      </c>
      <c r="I69" s="245">
        <f t="shared" si="14"/>
        <v>0.95970039806315144</v>
      </c>
      <c r="J69" s="248">
        <f t="shared" si="14"/>
        <v>0.96421343676225846</v>
      </c>
      <c r="K69" s="250">
        <f t="shared" si="14"/>
        <v>0.98120781070303476</v>
      </c>
      <c r="L69" s="245">
        <f t="shared" si="14"/>
        <v>0.94873579531015551</v>
      </c>
      <c r="M69" s="245">
        <f t="shared" si="14"/>
        <v>0.93073809729614176</v>
      </c>
      <c r="N69" s="245">
        <f t="shared" si="14"/>
        <v>0.93376480717646282</v>
      </c>
      <c r="O69" s="245">
        <f t="shared" si="14"/>
        <v>0.92993711786645494</v>
      </c>
      <c r="P69" s="248">
        <f t="shared" si="14"/>
        <v>0.92320936228383488</v>
      </c>
    </row>
    <row r="70" spans="2:16" ht="24.6" customHeight="1" x14ac:dyDescent="0.2">
      <c r="B70" s="255" t="s">
        <v>3</v>
      </c>
      <c r="C70" s="32"/>
      <c r="D70" s="33"/>
      <c r="E70" s="262">
        <f t="shared" ref="E70:P70" si="15">E41/E$63</f>
        <v>1</v>
      </c>
      <c r="F70" s="245">
        <f t="shared" si="15"/>
        <v>0.98552156146791436</v>
      </c>
      <c r="G70" s="248">
        <f t="shared" si="15"/>
        <v>0.95174360472405417</v>
      </c>
      <c r="H70" s="250">
        <f t="shared" si="15"/>
        <v>0.99114806504394415</v>
      </c>
      <c r="I70" s="245">
        <f t="shared" si="15"/>
        <v>0.99995269941163023</v>
      </c>
      <c r="J70" s="248">
        <f t="shared" si="15"/>
        <v>0.99397753351750651</v>
      </c>
      <c r="K70" s="250">
        <f t="shared" si="15"/>
        <v>1.0026838520808563</v>
      </c>
      <c r="L70" s="245">
        <f t="shared" si="15"/>
        <v>0.99659711792354233</v>
      </c>
      <c r="M70" s="245">
        <f t="shared" si="15"/>
        <v>0.97769148154016894</v>
      </c>
      <c r="N70" s="245">
        <f t="shared" si="15"/>
        <v>0.98087088128288913</v>
      </c>
      <c r="O70" s="245">
        <f t="shared" si="15"/>
        <v>0.97685009472300866</v>
      </c>
      <c r="P70" s="248">
        <f t="shared" si="15"/>
        <v>0.96978294087798977</v>
      </c>
    </row>
    <row r="71" spans="2:16" ht="29.25" customHeight="1" x14ac:dyDescent="0.2">
      <c r="B71" s="256" t="s">
        <v>7</v>
      </c>
      <c r="C71" s="79"/>
      <c r="D71" s="510"/>
      <c r="E71" s="263">
        <f t="shared" ref="E71:P71" si="16">E42/E$63</f>
        <v>1</v>
      </c>
      <c r="F71" s="246">
        <f t="shared" si="16"/>
        <v>1.0324285374105786</v>
      </c>
      <c r="G71" s="249">
        <f t="shared" si="16"/>
        <v>0.99704288189449009</v>
      </c>
      <c r="H71" s="251">
        <f t="shared" si="16"/>
        <v>1.0399609392729936</v>
      </c>
      <c r="I71" s="246">
        <f t="shared" si="16"/>
        <v>1.0491991915078582</v>
      </c>
      <c r="J71" s="249">
        <f t="shared" si="16"/>
        <v>1.0520961305408789</v>
      </c>
      <c r="K71" s="251">
        <f t="shared" si="16"/>
        <v>1.0664936990770526</v>
      </c>
      <c r="L71" s="246">
        <f t="shared" si="16"/>
        <v>0.98717691285218556</v>
      </c>
      <c r="M71" s="246">
        <f t="shared" si="16"/>
        <v>0.96844997954604661</v>
      </c>
      <c r="N71" s="246">
        <f t="shared" si="16"/>
        <v>0.9715993264248346</v>
      </c>
      <c r="O71" s="246">
        <f t="shared" si="16"/>
        <v>0.96761654582870915</v>
      </c>
      <c r="P71" s="249">
        <f t="shared" si="16"/>
        <v>0.96061619333931692</v>
      </c>
    </row>
    <row r="72" spans="2:16" ht="29.25" customHeight="1" x14ac:dyDescent="0.2">
      <c r="B72" s="257"/>
      <c r="C72" s="32"/>
      <c r="D72" s="32"/>
      <c r="E72" s="1032"/>
      <c r="F72" s="245"/>
      <c r="G72" s="245"/>
      <c r="H72" s="245"/>
      <c r="I72" s="245"/>
      <c r="J72" s="245"/>
      <c r="K72" s="245"/>
      <c r="L72" s="245"/>
      <c r="M72" s="245"/>
      <c r="N72" s="245"/>
      <c r="O72" s="245"/>
      <c r="P72" s="245"/>
    </row>
    <row r="73" spans="2:16" ht="29.25" customHeight="1" x14ac:dyDescent="0.2">
      <c r="B73" s="257"/>
      <c r="C73" s="32"/>
      <c r="D73" s="32"/>
      <c r="E73" s="1032"/>
      <c r="F73" s="245"/>
      <c r="G73" s="245"/>
      <c r="H73" s="245"/>
      <c r="I73" s="245"/>
      <c r="J73" s="245"/>
      <c r="K73" s="245"/>
      <c r="L73" s="245"/>
      <c r="M73" s="245"/>
      <c r="N73" s="245"/>
      <c r="O73" s="245"/>
      <c r="P73" s="245"/>
    </row>
    <row r="74" spans="2:16" ht="29.25" customHeight="1" x14ac:dyDescent="0.2">
      <c r="B74" s="257"/>
      <c r="C74" s="32"/>
      <c r="D74" s="32"/>
      <c r="E74" s="180"/>
      <c r="F74" s="245"/>
      <c r="G74" s="245"/>
      <c r="H74" s="245"/>
      <c r="I74" s="245"/>
      <c r="J74" s="245"/>
      <c r="K74" s="245"/>
      <c r="L74" s="245"/>
      <c r="M74" s="245"/>
      <c r="N74" s="245"/>
      <c r="O74" s="245"/>
      <c r="P74" s="245"/>
    </row>
    <row r="75" spans="2:16" ht="29.25" customHeight="1" x14ac:dyDescent="0.2">
      <c r="B75" s="21" t="s">
        <v>581</v>
      </c>
      <c r="C75" s="211"/>
      <c r="D75" s="211"/>
      <c r="E75" s="247"/>
      <c r="F75" s="179"/>
      <c r="G75" s="212" t="s">
        <v>528</v>
      </c>
      <c r="H75" s="529"/>
      <c r="I75" s="179"/>
      <c r="J75" s="213" t="s">
        <v>526</v>
      </c>
      <c r="K75" s="529"/>
      <c r="L75" s="179"/>
      <c r="M75" s="179"/>
      <c r="N75" s="179"/>
      <c r="O75" s="179"/>
      <c r="P75" s="213"/>
    </row>
    <row r="76" spans="2:16" ht="29.25" customHeight="1" x14ac:dyDescent="0.2">
      <c r="B76" s="261"/>
      <c r="C76" s="30"/>
      <c r="D76" s="30"/>
      <c r="E76" s="264">
        <v>39965</v>
      </c>
      <c r="F76" s="265">
        <v>40330</v>
      </c>
      <c r="G76" s="266">
        <v>40695</v>
      </c>
      <c r="H76" s="264">
        <v>41061</v>
      </c>
      <c r="I76" s="265">
        <v>41426</v>
      </c>
      <c r="J76" s="266">
        <v>41791</v>
      </c>
      <c r="K76" s="264">
        <v>42156</v>
      </c>
      <c r="L76" s="265">
        <v>42522</v>
      </c>
      <c r="M76" s="265">
        <v>42887</v>
      </c>
      <c r="N76" s="265">
        <v>43252</v>
      </c>
      <c r="O76" s="265">
        <v>43617</v>
      </c>
      <c r="P76" s="266">
        <v>43983</v>
      </c>
    </row>
    <row r="77" spans="2:16" ht="29.25" customHeight="1" x14ac:dyDescent="0.2">
      <c r="B77" s="260"/>
      <c r="C77" s="30"/>
      <c r="D77" s="488" t="str">
        <f>B69</f>
        <v>Train</v>
      </c>
      <c r="E77" s="262">
        <f>E69-1</f>
        <v>0</v>
      </c>
      <c r="F77" s="245">
        <f t="shared" ref="F77:O77" si="17">F69-1</f>
        <v>-5.5064574607387229E-2</v>
      </c>
      <c r="G77" s="248">
        <f t="shared" si="17"/>
        <v>-8.7451474268021245E-2</v>
      </c>
      <c r="H77" s="250">
        <f t="shared" si="17"/>
        <v>-4.9669783911819199E-2</v>
      </c>
      <c r="I77" s="245">
        <f t="shared" si="17"/>
        <v>-4.0299601936848561E-2</v>
      </c>
      <c r="J77" s="248">
        <f t="shared" si="17"/>
        <v>-3.5786563237741542E-2</v>
      </c>
      <c r="K77" s="250">
        <f t="shared" si="17"/>
        <v>-1.8792189296965245E-2</v>
      </c>
      <c r="L77" s="245">
        <f t="shared" si="17"/>
        <v>-5.1264204689844495E-2</v>
      </c>
      <c r="M77" s="245">
        <f t="shared" si="17"/>
        <v>-6.9261902703858236E-2</v>
      </c>
      <c r="N77" s="245">
        <f t="shared" si="17"/>
        <v>-6.6235192823537181E-2</v>
      </c>
      <c r="O77" s="245">
        <f t="shared" si="17"/>
        <v>-7.0062882133545057E-2</v>
      </c>
      <c r="P77" s="248">
        <f t="shared" ref="P77" si="18">P69-1</f>
        <v>-7.6790637716165122E-2</v>
      </c>
    </row>
    <row r="78" spans="2:16" ht="29.25" customHeight="1" x14ac:dyDescent="0.2">
      <c r="B78" s="255"/>
      <c r="C78" s="32"/>
      <c r="D78" s="33" t="str">
        <f>B70</f>
        <v>Bus</v>
      </c>
      <c r="E78" s="262">
        <f>E70-1</f>
        <v>0</v>
      </c>
      <c r="F78" s="245">
        <f t="shared" ref="F78:O78" si="19">F70-1</f>
        <v>-1.4478438532085636E-2</v>
      </c>
      <c r="G78" s="248">
        <f t="shared" si="19"/>
        <v>-4.8256395275945829E-2</v>
      </c>
      <c r="H78" s="250">
        <f t="shared" si="19"/>
        <v>-8.8519349560558513E-3</v>
      </c>
      <c r="I78" s="245">
        <f t="shared" si="19"/>
        <v>-4.7300588369769692E-5</v>
      </c>
      <c r="J78" s="248">
        <f t="shared" si="19"/>
        <v>-6.0224664824934937E-3</v>
      </c>
      <c r="K78" s="250">
        <f t="shared" si="19"/>
        <v>2.6838520808563082E-3</v>
      </c>
      <c r="L78" s="245">
        <f t="shared" si="19"/>
        <v>-3.4028820764576695E-3</v>
      </c>
      <c r="M78" s="245">
        <f t="shared" si="19"/>
        <v>-2.2308518459831062E-2</v>
      </c>
      <c r="N78" s="245">
        <f t="shared" si="19"/>
        <v>-1.9129118717110871E-2</v>
      </c>
      <c r="O78" s="245">
        <f t="shared" si="19"/>
        <v>-2.3149905276991345E-2</v>
      </c>
      <c r="P78" s="248">
        <f t="shared" ref="P78" si="20">P70-1</f>
        <v>-3.0217059122010226E-2</v>
      </c>
    </row>
    <row r="79" spans="2:16" ht="29.25" customHeight="1" x14ac:dyDescent="0.2">
      <c r="B79" s="256"/>
      <c r="C79" s="79"/>
      <c r="D79" s="510" t="str">
        <f>B71</f>
        <v>Ferry</v>
      </c>
      <c r="E79" s="263">
        <f>E71-1</f>
        <v>0</v>
      </c>
      <c r="F79" s="246">
        <f t="shared" ref="F79:O79" si="21">F71-1</f>
        <v>3.2428537410578606E-2</v>
      </c>
      <c r="G79" s="249">
        <f t="shared" si="21"/>
        <v>-2.9571181055099149E-3</v>
      </c>
      <c r="H79" s="251">
        <f t="shared" si="21"/>
        <v>3.9960939272993601E-2</v>
      </c>
      <c r="I79" s="246">
        <f t="shared" si="21"/>
        <v>4.9199191507858231E-2</v>
      </c>
      <c r="J79" s="249">
        <f t="shared" si="21"/>
        <v>5.2096130540878915E-2</v>
      </c>
      <c r="K79" s="251">
        <f t="shared" si="21"/>
        <v>6.6493699077052604E-2</v>
      </c>
      <c r="L79" s="246">
        <f t="shared" si="21"/>
        <v>-1.2823087147814438E-2</v>
      </c>
      <c r="M79" s="246">
        <f t="shared" si="21"/>
        <v>-3.1550020453953387E-2</v>
      </c>
      <c r="N79" s="246">
        <f t="shared" si="21"/>
        <v>-2.8400673575165403E-2</v>
      </c>
      <c r="O79" s="246">
        <f t="shared" si="21"/>
        <v>-3.2383454171290849E-2</v>
      </c>
      <c r="P79" s="249">
        <f t="shared" ref="P79" si="22">P71-1</f>
        <v>-3.9383806660683085E-2</v>
      </c>
    </row>
    <row r="80" spans="2:16" ht="29.25" customHeight="1" x14ac:dyDescent="0.2">
      <c r="E80" s="180"/>
      <c r="F80" s="245"/>
      <c r="G80" s="245"/>
      <c r="H80" s="245"/>
      <c r="I80" s="245"/>
      <c r="J80" s="245"/>
      <c r="K80" s="245"/>
      <c r="L80" s="245"/>
      <c r="M80" s="245"/>
      <c r="N80" s="245"/>
      <c r="O80" s="245"/>
    </row>
    <row r="81" spans="1:16" ht="29.25" customHeight="1" x14ac:dyDescent="0.2">
      <c r="E81" s="180"/>
      <c r="F81" s="245"/>
      <c r="G81" s="245"/>
      <c r="H81" s="245"/>
      <c r="I81" s="245"/>
      <c r="J81" s="245"/>
      <c r="K81" s="245"/>
      <c r="L81" s="245"/>
      <c r="M81" s="245"/>
      <c r="N81" s="245"/>
      <c r="O81" s="245"/>
    </row>
    <row r="82" spans="1:16" ht="29.25" customHeight="1" x14ac:dyDescent="0.2">
      <c r="D82" s="86"/>
    </row>
    <row r="83" spans="1:16" ht="29.25" customHeight="1" x14ac:dyDescent="0.2">
      <c r="B83" s="21" t="s">
        <v>527</v>
      </c>
      <c r="C83" s="211"/>
      <c r="D83" s="211"/>
      <c r="E83" s="211"/>
      <c r="F83" s="179"/>
      <c r="G83" s="212" t="s">
        <v>528</v>
      </c>
      <c r="H83" s="534"/>
      <c r="I83" s="179"/>
      <c r="J83" s="213" t="s">
        <v>526</v>
      </c>
      <c r="K83" s="534"/>
      <c r="L83" s="179"/>
      <c r="M83" s="179"/>
      <c r="N83" s="179"/>
      <c r="O83" s="179"/>
      <c r="P83" s="213"/>
    </row>
    <row r="84" spans="1:16" s="32" customFormat="1" ht="25.9" customHeight="1" x14ac:dyDescent="0.2">
      <c r="A84" s="449"/>
      <c r="B84" s="258" t="s">
        <v>525</v>
      </c>
      <c r="C84" s="530"/>
      <c r="D84" s="535"/>
      <c r="E84" s="184" t="s">
        <v>13</v>
      </c>
      <c r="F84" s="184" t="s">
        <v>14</v>
      </c>
      <c r="G84" s="185" t="str">
        <f>G31</f>
        <v>2009-10</v>
      </c>
      <c r="H84" s="242" t="s">
        <v>16</v>
      </c>
      <c r="I84" s="184" t="s">
        <v>17</v>
      </c>
      <c r="J84" s="185" t="s">
        <v>9</v>
      </c>
      <c r="K84" s="184" t="s">
        <v>18</v>
      </c>
      <c r="L84" s="184" t="s">
        <v>19</v>
      </c>
      <c r="M84" s="184" t="s">
        <v>20</v>
      </c>
      <c r="N84" s="184" t="s">
        <v>6</v>
      </c>
      <c r="O84" s="184" t="s">
        <v>51</v>
      </c>
      <c r="P84" s="185" t="s">
        <v>618</v>
      </c>
    </row>
    <row r="85" spans="1:16" s="32" customFormat="1" ht="19.899999999999999" customHeight="1" x14ac:dyDescent="0.2">
      <c r="A85" s="449"/>
      <c r="B85" s="324"/>
      <c r="D85" s="33"/>
      <c r="E85" s="238"/>
      <c r="F85" s="182"/>
      <c r="G85" s="239"/>
      <c r="H85" s="203"/>
      <c r="I85" s="180"/>
      <c r="J85" s="181"/>
      <c r="K85" s="180"/>
      <c r="L85" s="180"/>
      <c r="M85" s="180"/>
      <c r="N85" s="180"/>
      <c r="O85" s="180"/>
      <c r="P85" s="181"/>
    </row>
    <row r="86" spans="1:16" s="32" customFormat="1" ht="27" customHeight="1" x14ac:dyDescent="0.25">
      <c r="A86" s="449"/>
      <c r="B86" s="199" t="s">
        <v>605</v>
      </c>
      <c r="D86" s="33"/>
      <c r="E86" s="203"/>
      <c r="F86" s="180"/>
      <c r="G86" s="181"/>
      <c r="H86" s="203"/>
      <c r="I86" s="180"/>
      <c r="J86" s="181"/>
      <c r="K86" s="180"/>
      <c r="L86" s="180"/>
      <c r="M86" s="180"/>
      <c r="N86" s="180"/>
      <c r="O86" s="180"/>
      <c r="P86" s="181"/>
    </row>
    <row r="87" spans="1:16" s="32" customFormat="1" ht="16.899999999999999" customHeight="1" x14ac:dyDescent="0.2">
      <c r="A87" s="449"/>
      <c r="B87" s="166" t="s">
        <v>239</v>
      </c>
      <c r="D87" s="33"/>
      <c r="E87" s="203"/>
      <c r="F87" s="180"/>
      <c r="G87" s="181"/>
      <c r="H87" s="203"/>
      <c r="I87" s="180"/>
      <c r="J87" s="181"/>
      <c r="K87" s="180"/>
      <c r="L87" s="180"/>
      <c r="M87" s="536">
        <f t="shared" ref="M87:P89" si="23">M92/L92-1</f>
        <v>0</v>
      </c>
      <c r="N87" s="536">
        <f t="shared" si="23"/>
        <v>2.409638554216853E-2</v>
      </c>
      <c r="O87" s="536">
        <f t="shared" si="23"/>
        <v>1.1764705882353121E-2</v>
      </c>
      <c r="P87" s="356">
        <f t="shared" si="23"/>
        <v>1.1627906976744207E-2</v>
      </c>
    </row>
    <row r="88" spans="1:16" s="32" customFormat="1" ht="16.899999999999999" customHeight="1" x14ac:dyDescent="0.2">
      <c r="A88" s="449"/>
      <c r="B88" s="166" t="s">
        <v>524</v>
      </c>
      <c r="D88" s="33"/>
      <c r="E88" s="203"/>
      <c r="F88" s="180"/>
      <c r="G88" s="181"/>
      <c r="H88" s="203"/>
      <c r="I88" s="180"/>
      <c r="J88" s="181"/>
      <c r="K88" s="180"/>
      <c r="L88" s="180"/>
      <c r="M88" s="536">
        <f t="shared" si="23"/>
        <v>6.0344827586206851E-2</v>
      </c>
      <c r="N88" s="536">
        <f t="shared" si="23"/>
        <v>2.4390243902439046E-2</v>
      </c>
      <c r="O88" s="536">
        <f t="shared" si="23"/>
        <v>1.5873015873015817E-2</v>
      </c>
      <c r="P88" s="356">
        <f t="shared" si="23"/>
        <v>7.8125E-3</v>
      </c>
    </row>
    <row r="89" spans="1:16" s="32" customFormat="1" ht="16.899999999999999" customHeight="1" x14ac:dyDescent="0.2">
      <c r="A89" s="449"/>
      <c r="B89" s="168" t="s">
        <v>523</v>
      </c>
      <c r="D89" s="33"/>
      <c r="E89" s="203"/>
      <c r="F89" s="180"/>
      <c r="G89" s="181"/>
      <c r="H89" s="203"/>
      <c r="I89" s="180"/>
      <c r="J89" s="181"/>
      <c r="K89" s="180"/>
      <c r="L89" s="180"/>
      <c r="M89" s="536">
        <f t="shared" si="23"/>
        <v>7.2538860103626979E-2</v>
      </c>
      <c r="N89" s="536">
        <f t="shared" si="23"/>
        <v>2.4154589371980784E-2</v>
      </c>
      <c r="O89" s="536">
        <f t="shared" si="23"/>
        <v>7.3113207547169656E-2</v>
      </c>
      <c r="P89" s="356">
        <f t="shared" si="23"/>
        <v>2.857142857142847E-2</v>
      </c>
    </row>
    <row r="90" spans="1:16" s="32" customFormat="1" ht="12.75" x14ac:dyDescent="0.2">
      <c r="A90" s="449"/>
      <c r="B90" s="168"/>
      <c r="D90" s="33"/>
      <c r="E90" s="203"/>
      <c r="F90" s="180"/>
      <c r="G90" s="181"/>
      <c r="H90" s="203"/>
      <c r="I90" s="180"/>
      <c r="J90" s="181"/>
      <c r="K90" s="180"/>
      <c r="L90" s="180"/>
      <c r="M90" s="536"/>
      <c r="N90" s="536"/>
      <c r="O90" s="180"/>
      <c r="P90" s="356"/>
    </row>
    <row r="91" spans="1:16" ht="12.75" x14ac:dyDescent="0.2">
      <c r="B91" s="176" t="s">
        <v>1010</v>
      </c>
      <c r="C91" s="32"/>
      <c r="D91" s="33"/>
      <c r="E91" s="203"/>
      <c r="F91" s="180"/>
      <c r="G91" s="181"/>
      <c r="H91" s="203"/>
      <c r="I91" s="180"/>
      <c r="J91" s="181"/>
      <c r="K91" s="180"/>
      <c r="L91" s="180"/>
      <c r="M91" s="180"/>
      <c r="N91" s="180"/>
      <c r="O91" s="180"/>
      <c r="P91" s="181"/>
    </row>
    <row r="92" spans="1:16" ht="12.75" x14ac:dyDescent="0.2">
      <c r="B92" s="166" t="s">
        <v>239</v>
      </c>
      <c r="C92" s="32"/>
      <c r="D92" s="33"/>
      <c r="E92" s="203"/>
      <c r="F92" s="180"/>
      <c r="G92" s="181"/>
      <c r="H92" s="203"/>
      <c r="I92" s="180"/>
      <c r="J92" s="181"/>
      <c r="K92" s="180"/>
      <c r="L92" s="537">
        <v>2.4900000000000002</v>
      </c>
      <c r="M92" s="537">
        <v>2.4900000000000002</v>
      </c>
      <c r="N92" s="537">
        <v>2.5499999999999998</v>
      </c>
      <c r="O92" s="537">
        <v>2.58</v>
      </c>
      <c r="P92" s="538">
        <v>2.61</v>
      </c>
    </row>
    <row r="93" spans="1:16" ht="12.75" x14ac:dyDescent="0.2">
      <c r="B93" s="166" t="s">
        <v>524</v>
      </c>
      <c r="C93" s="32"/>
      <c r="D93" s="33"/>
      <c r="E93" s="203"/>
      <c r="F93" s="180"/>
      <c r="G93" s="181"/>
      <c r="H93" s="203"/>
      <c r="I93" s="180"/>
      <c r="J93" s="181"/>
      <c r="K93" s="180"/>
      <c r="L93" s="537">
        <v>2.3199999999999998</v>
      </c>
      <c r="M93" s="537">
        <v>2.46</v>
      </c>
      <c r="N93" s="537">
        <v>2.52</v>
      </c>
      <c r="O93" s="537">
        <v>2.56</v>
      </c>
      <c r="P93" s="538">
        <v>2.58</v>
      </c>
    </row>
    <row r="94" spans="1:16" ht="12.75" x14ac:dyDescent="0.2">
      <c r="B94" s="168" t="s">
        <v>523</v>
      </c>
      <c r="C94" s="32"/>
      <c r="D94" s="33"/>
      <c r="E94" s="203"/>
      <c r="F94" s="180"/>
      <c r="G94" s="181"/>
      <c r="H94" s="203"/>
      <c r="I94" s="180"/>
      <c r="J94" s="181"/>
      <c r="K94" s="180"/>
      <c r="L94" s="537">
        <v>3.86</v>
      </c>
      <c r="M94" s="537">
        <v>4.1399999999999997</v>
      </c>
      <c r="N94" s="537">
        <v>4.24</v>
      </c>
      <c r="O94" s="537">
        <v>4.55</v>
      </c>
      <c r="P94" s="538">
        <v>4.68</v>
      </c>
    </row>
    <row r="95" spans="1:16" ht="12.75" x14ac:dyDescent="0.2">
      <c r="B95" s="168"/>
      <c r="C95" s="32"/>
      <c r="D95" s="33"/>
      <c r="E95" s="203"/>
      <c r="F95" s="180"/>
      <c r="G95" s="181"/>
      <c r="H95" s="203"/>
      <c r="I95" s="180"/>
      <c r="J95" s="181"/>
      <c r="K95" s="180"/>
      <c r="L95" s="180"/>
      <c r="M95" s="180"/>
      <c r="N95" s="180"/>
      <c r="O95" s="180"/>
      <c r="P95" s="539"/>
    </row>
    <row r="96" spans="1:16" ht="34.15" customHeight="1" x14ac:dyDescent="0.2">
      <c r="B96" s="172" t="s">
        <v>522</v>
      </c>
      <c r="C96" s="174"/>
      <c r="D96" s="173"/>
      <c r="E96" s="172"/>
      <c r="F96" s="475"/>
      <c r="G96" s="173"/>
      <c r="H96" s="172"/>
      <c r="I96" s="174"/>
      <c r="J96" s="173"/>
      <c r="K96" s="214"/>
      <c r="L96" s="1371" t="str">
        <f>G153</f>
        <v>Compliance statement 2017-18 fares for Opal services</v>
      </c>
      <c r="M96" s="1372"/>
      <c r="N96" s="1372"/>
      <c r="O96" s="174" t="s">
        <v>617</v>
      </c>
      <c r="P96" s="354" t="s">
        <v>617</v>
      </c>
    </row>
    <row r="97" spans="1:16" ht="78.75" x14ac:dyDescent="0.2">
      <c r="B97" s="183" t="s">
        <v>521</v>
      </c>
      <c r="C97" s="187"/>
      <c r="D97" s="188"/>
      <c r="E97" s="186"/>
      <c r="F97" s="215"/>
      <c r="G97" s="188"/>
      <c r="H97" s="186"/>
      <c r="I97" s="187"/>
      <c r="J97" s="188"/>
      <c r="K97" s="187"/>
      <c r="L97" s="216"/>
      <c r="M97" s="217" t="s">
        <v>520</v>
      </c>
      <c r="N97" s="218"/>
      <c r="O97" s="187"/>
      <c r="P97" s="219"/>
    </row>
    <row r="98" spans="1:16" ht="37.15" customHeight="1" x14ac:dyDescent="0.2">
      <c r="B98" s="198"/>
      <c r="C98" s="187"/>
      <c r="D98" s="188"/>
      <c r="E98" s="186"/>
      <c r="F98" s="215"/>
      <c r="G98" s="188"/>
      <c r="H98" s="186"/>
      <c r="I98" s="187"/>
      <c r="J98" s="188"/>
      <c r="K98" s="187"/>
      <c r="L98" s="187"/>
      <c r="M98" s="302" t="str">
        <f>G154</f>
        <v>QA of Transport for NSW pricing
proposal for compliance with IPART
Determination</v>
      </c>
      <c r="N98" s="187"/>
      <c r="O98" s="187"/>
      <c r="P98" s="188"/>
    </row>
    <row r="99" spans="1:16" ht="12.75" x14ac:dyDescent="0.2">
      <c r="B99" s="168"/>
      <c r="C99" s="32"/>
      <c r="D99" s="33"/>
      <c r="E99" s="203"/>
      <c r="F99" s="180"/>
      <c r="G99" s="181"/>
      <c r="H99" s="203"/>
      <c r="I99" s="180"/>
      <c r="J99" s="181"/>
      <c r="K99" s="180"/>
      <c r="L99" s="180"/>
      <c r="M99" s="180"/>
      <c r="N99" s="180"/>
      <c r="O99" s="180"/>
      <c r="P99" s="181"/>
    </row>
    <row r="100" spans="1:16" ht="12.75" x14ac:dyDescent="0.2">
      <c r="B100" s="168"/>
      <c r="C100" s="32"/>
      <c r="D100" s="33"/>
      <c r="E100" s="203"/>
      <c r="F100" s="180"/>
      <c r="G100" s="181"/>
      <c r="H100" s="203"/>
      <c r="I100" s="180"/>
      <c r="J100" s="181"/>
      <c r="K100" s="180"/>
      <c r="L100" s="180"/>
      <c r="M100" s="180"/>
      <c r="N100" s="180"/>
      <c r="O100" s="180"/>
      <c r="P100" s="181"/>
    </row>
    <row r="101" spans="1:16" ht="12.75" x14ac:dyDescent="0.2">
      <c r="B101" s="176" t="s">
        <v>547</v>
      </c>
      <c r="C101" s="163"/>
      <c r="D101" s="164"/>
      <c r="E101" s="168"/>
      <c r="F101" s="357" t="s">
        <v>559</v>
      </c>
      <c r="G101" s="308">
        <v>40286</v>
      </c>
      <c r="H101" s="309">
        <v>40910</v>
      </c>
      <c r="I101" s="310">
        <v>41280</v>
      </c>
      <c r="J101" s="308">
        <v>41644</v>
      </c>
      <c r="K101" s="310">
        <v>41883</v>
      </c>
      <c r="L101" s="311" t="s">
        <v>553</v>
      </c>
      <c r="M101" s="310">
        <v>42618</v>
      </c>
      <c r="N101" s="311">
        <v>42919</v>
      </c>
      <c r="O101" s="310">
        <v>43283</v>
      </c>
      <c r="P101" s="312">
        <v>43640</v>
      </c>
    </row>
    <row r="102" spans="1:16" ht="12.75" x14ac:dyDescent="0.2">
      <c r="B102" s="177"/>
      <c r="C102" s="163"/>
      <c r="D102" s="164"/>
      <c r="E102" s="166"/>
      <c r="F102" s="32"/>
      <c r="G102" s="164"/>
      <c r="H102" s="166"/>
      <c r="I102" s="163"/>
      <c r="J102" s="164"/>
      <c r="K102" s="163"/>
      <c r="L102" s="201"/>
      <c r="M102" s="201"/>
      <c r="N102" s="170"/>
      <c r="O102" s="163"/>
      <c r="P102" s="220"/>
    </row>
    <row r="103" spans="1:16" s="540" customFormat="1" ht="84" x14ac:dyDescent="0.2">
      <c r="B103" s="192" t="s">
        <v>548</v>
      </c>
      <c r="C103" s="193"/>
      <c r="D103" s="194"/>
      <c r="E103" s="205"/>
      <c r="F103" s="509" t="str">
        <f>G163</f>
        <v>Fact sheet - Review of fares for metropolitan and outer metropolitan bus services from January 2010</v>
      </c>
      <c r="G103" s="541" t="str">
        <f>G162</f>
        <v>Myzone fare changes</v>
      </c>
      <c r="H103" s="542" t="str">
        <f>G156</f>
        <v>Public transport fare rise half IPART's recommendation</v>
      </c>
      <c r="I103" s="509" t="str">
        <f>G157</f>
        <v>Compliance statement - Fares for CityRail, Sydney Ferries and Metropolitan and Outer Metropolitan Bus services from January 2013</v>
      </c>
      <c r="J103" s="541" t="str">
        <f>G155</f>
        <v>Compliance statement - Fares for CityRail, Sydney Ferries and Metropolitan and Outer Metropolitan Bus services from January 2014</v>
      </c>
      <c r="K103" s="509" t="str">
        <f>G160</f>
        <v>Ticket withdrawal September 2014</v>
      </c>
      <c r="L103" s="543" t="str">
        <f>G159</f>
        <v>Compliance statement Fares for Sydney Trains and NSW TrainLink intercity services, Sydney Ferries and metropolitan and outer metropolitan bus services from January 2016</v>
      </c>
      <c r="M103" s="502" t="str">
        <f>M98</f>
        <v>QA of Transport for NSW pricing
proposal for compliance with IPART
Determination</v>
      </c>
      <c r="N103" s="544" t="str">
        <f>G153</f>
        <v>Compliance statement 2017-18 fares for Opal services</v>
      </c>
      <c r="O103" s="509" t="str">
        <f>G152</f>
        <v>Compliance statement 2018-19 fares for Opal services</v>
      </c>
      <c r="P103" s="301"/>
    </row>
    <row r="104" spans="1:16" ht="12.75" x14ac:dyDescent="0.2">
      <c r="B104" s="177"/>
      <c r="C104" s="163"/>
      <c r="D104" s="164"/>
      <c r="E104" s="166"/>
      <c r="F104" s="32"/>
      <c r="G104" s="164"/>
      <c r="H104" s="166"/>
      <c r="I104" s="163"/>
      <c r="J104" s="164"/>
      <c r="K104" s="163"/>
      <c r="L104" s="201"/>
      <c r="M104" s="201"/>
      <c r="N104" s="170"/>
      <c r="O104" s="163"/>
      <c r="P104" s="220"/>
    </row>
    <row r="105" spans="1:16" ht="12.75" x14ac:dyDescent="0.2">
      <c r="B105" s="168"/>
      <c r="C105" s="163"/>
      <c r="D105" s="164"/>
      <c r="E105" s="168"/>
      <c r="F105" s="9"/>
      <c r="G105" s="167"/>
      <c r="H105" s="168"/>
      <c r="I105" s="200"/>
      <c r="J105" s="167"/>
      <c r="K105" s="200"/>
      <c r="L105" s="200"/>
      <c r="M105" s="200"/>
      <c r="N105" s="200"/>
      <c r="O105" s="200"/>
      <c r="P105" s="167"/>
    </row>
    <row r="106" spans="1:16" ht="12.75" x14ac:dyDescent="0.2">
      <c r="B106" s="176"/>
      <c r="C106" s="163"/>
      <c r="D106" s="164"/>
      <c r="E106" s="168"/>
      <c r="F106" s="9"/>
      <c r="G106" s="167"/>
      <c r="H106" s="168"/>
      <c r="I106" s="200"/>
      <c r="J106" s="167"/>
      <c r="K106" s="200"/>
      <c r="L106" s="200"/>
      <c r="M106" s="200"/>
      <c r="N106" s="200"/>
      <c r="O106" s="200"/>
      <c r="P106" s="167"/>
    </row>
    <row r="107" spans="1:16" ht="12.75" x14ac:dyDescent="0.2">
      <c r="B107" s="176"/>
      <c r="C107" s="163"/>
      <c r="D107" s="164"/>
      <c r="E107" s="168"/>
      <c r="F107" s="9"/>
      <c r="G107" s="167"/>
      <c r="H107" s="168"/>
      <c r="I107" s="200"/>
      <c r="J107" s="167"/>
      <c r="K107" s="200"/>
      <c r="L107" s="200"/>
      <c r="M107" s="200"/>
      <c r="N107" s="200"/>
      <c r="O107" s="200"/>
      <c r="P107" s="167"/>
    </row>
    <row r="108" spans="1:16" ht="15.75" x14ac:dyDescent="0.25">
      <c r="B108" s="199" t="s">
        <v>549</v>
      </c>
      <c r="C108" s="163"/>
      <c r="D108" s="164"/>
      <c r="E108" s="168"/>
      <c r="F108" s="9"/>
      <c r="G108" s="167"/>
      <c r="H108" s="168"/>
      <c r="I108" s="200"/>
      <c r="J108" s="167"/>
      <c r="K108" s="200"/>
      <c r="L108" s="200"/>
      <c r="M108" s="200"/>
      <c r="N108" s="200"/>
      <c r="O108" s="200"/>
      <c r="P108" s="167"/>
    </row>
    <row r="109" spans="1:16" ht="12.75" x14ac:dyDescent="0.2">
      <c r="B109" s="169" t="s">
        <v>516</v>
      </c>
      <c r="C109" s="163"/>
      <c r="D109" s="164"/>
      <c r="E109" s="206"/>
      <c r="F109" s="545">
        <v>4.7E-2</v>
      </c>
      <c r="G109" s="545">
        <v>-6.9309578419120443E-2</v>
      </c>
      <c r="H109" s="546">
        <v>5.3999999999999999E-2</v>
      </c>
      <c r="I109" s="507">
        <v>3.4000000000000002E-2</v>
      </c>
      <c r="J109" s="313">
        <v>3.5000000000000003E-2</v>
      </c>
      <c r="K109" s="545">
        <v>3.3000000000000002E-2</v>
      </c>
      <c r="L109" s="32">
        <f>L117-K109</f>
        <v>-2.3200000000000002E-2</v>
      </c>
      <c r="M109" s="303">
        <f t="shared" ref="M109:N109" si="24">M87</f>
        <v>0</v>
      </c>
      <c r="N109" s="303">
        <f t="shared" si="24"/>
        <v>2.409638554216853E-2</v>
      </c>
      <c r="O109" s="1030">
        <f>O87</f>
        <v>1.1764705882353121E-2</v>
      </c>
      <c r="P109" s="1031">
        <f>P87</f>
        <v>1.1627906976744207E-2</v>
      </c>
    </row>
    <row r="110" spans="1:16" ht="12.75" x14ac:dyDescent="0.2">
      <c r="B110" s="169"/>
      <c r="C110" s="163"/>
      <c r="D110" s="164"/>
      <c r="E110" s="207"/>
      <c r="F110" s="444"/>
      <c r="G110" s="33" t="s">
        <v>616</v>
      </c>
      <c r="H110" s="324"/>
      <c r="I110" s="32"/>
      <c r="J110" s="165"/>
      <c r="K110" s="444"/>
      <c r="L110" s="32"/>
      <c r="M110" s="221"/>
      <c r="N110" s="221"/>
      <c r="O110" s="32"/>
      <c r="P110" s="222"/>
    </row>
    <row r="111" spans="1:16" s="28" customFormat="1" ht="96" x14ac:dyDescent="0.2">
      <c r="A111" s="547"/>
      <c r="B111" s="195" t="s">
        <v>515</v>
      </c>
      <c r="C111" s="193"/>
      <c r="D111" s="194"/>
      <c r="E111" s="208"/>
      <c r="F111" s="509" t="str">
        <f>G166</f>
        <v>CityRail prices and services report 2009</v>
      </c>
      <c r="G111" s="196"/>
      <c r="H111" s="548" t="str">
        <f>G165</f>
        <v>CityRail and Metropolitan and Outer Metropolitan Bus Services: Prices and Services Report 2011</v>
      </c>
      <c r="I111" s="509" t="str">
        <f>I103</f>
        <v>Compliance statement - Fares for CityRail, Sydney Ferries and Metropolitan and Outer Metropolitan Bus services from January 2013</v>
      </c>
      <c r="J111" s="541" t="str">
        <f>J103</f>
        <v>Compliance statement - Fares for CityRail, Sydney Ferries and Metropolitan and Outer Metropolitan Bus services from January 2014</v>
      </c>
      <c r="K111" s="543" t="str">
        <f>G161</f>
        <v xml:space="preserve">Compliance statement - Fares for Sydney Trains and NSW TrainLink Intercity services, Sydney Ferries and Metropolitan and Outer Metropolitan Bus services from 1 September 2014 </v>
      </c>
      <c r="L111" s="304" t="str">
        <f>G168</f>
        <v>Working document - briefing - price compliance for fares January 2016</v>
      </c>
      <c r="M111" s="202"/>
      <c r="N111" s="197"/>
      <c r="O111" s="509"/>
      <c r="P111" s="223"/>
    </row>
    <row r="112" spans="1:16" ht="15.75" x14ac:dyDescent="0.25">
      <c r="B112" s="199"/>
      <c r="C112" s="163"/>
      <c r="D112" s="164"/>
      <c r="E112" s="168"/>
      <c r="F112" s="9"/>
      <c r="G112" s="167"/>
      <c r="H112" s="168"/>
      <c r="I112" s="200"/>
      <c r="J112" s="167"/>
      <c r="K112" s="200"/>
      <c r="L112" s="200"/>
      <c r="M112" s="200"/>
      <c r="N112" s="200"/>
      <c r="O112" s="200"/>
      <c r="P112" s="167"/>
    </row>
    <row r="113" spans="1:16" ht="12.75" x14ac:dyDescent="0.2">
      <c r="B113" s="168" t="s">
        <v>457</v>
      </c>
      <c r="C113" s="163"/>
      <c r="D113" s="164"/>
      <c r="E113" s="206"/>
      <c r="F113" s="549">
        <v>40181</v>
      </c>
      <c r="G113" s="171">
        <f>G101</f>
        <v>40286</v>
      </c>
      <c r="H113" s="204">
        <f t="shared" ref="H113:L113" si="25">H101</f>
        <v>40910</v>
      </c>
      <c r="I113" s="201">
        <f t="shared" si="25"/>
        <v>41280</v>
      </c>
      <c r="J113" s="171">
        <f t="shared" si="25"/>
        <v>41644</v>
      </c>
      <c r="K113" s="201">
        <f t="shared" si="25"/>
        <v>41883</v>
      </c>
      <c r="L113" s="201" t="str">
        <f t="shared" si="25"/>
        <v>1/01/20106</v>
      </c>
      <c r="M113" s="201">
        <f>M101</f>
        <v>42618</v>
      </c>
      <c r="N113" s="201">
        <f t="shared" ref="N113:O113" si="26">N101</f>
        <v>42919</v>
      </c>
      <c r="O113" s="201">
        <f t="shared" si="26"/>
        <v>43283</v>
      </c>
      <c r="P113" s="171">
        <f>P101</f>
        <v>43640</v>
      </c>
    </row>
    <row r="114" spans="1:16" ht="12.75" x14ac:dyDescent="0.2">
      <c r="B114" s="168"/>
      <c r="C114" s="163"/>
      <c r="D114" s="164"/>
      <c r="E114" s="206"/>
      <c r="F114" s="226"/>
      <c r="G114" s="171"/>
      <c r="H114" s="204"/>
      <c r="I114" s="201"/>
      <c r="J114" s="171"/>
      <c r="K114" s="201"/>
      <c r="L114" s="226"/>
      <c r="M114" s="201"/>
      <c r="N114" s="201"/>
      <c r="O114" s="201"/>
      <c r="P114" s="171"/>
    </row>
    <row r="115" spans="1:16" ht="24" x14ac:dyDescent="0.2">
      <c r="B115" s="178" t="s">
        <v>557</v>
      </c>
      <c r="C115" s="174"/>
      <c r="D115" s="173"/>
      <c r="E115" s="172"/>
      <c r="F115" s="509" t="str">
        <f>G166</f>
        <v>CityRail prices and services report 2009</v>
      </c>
      <c r="G115" s="173"/>
      <c r="H115" s="172"/>
      <c r="I115" s="174"/>
      <c r="J115" s="173"/>
      <c r="K115" s="174"/>
      <c r="L115" s="503"/>
      <c r="M115" s="174"/>
      <c r="N115" s="174"/>
      <c r="O115" s="174"/>
      <c r="P115" s="173"/>
    </row>
    <row r="116" spans="1:16" x14ac:dyDescent="0.2">
      <c r="B116" s="517"/>
      <c r="C116" s="215"/>
      <c r="D116" s="539"/>
      <c r="E116" s="517"/>
      <c r="F116" s="215"/>
      <c r="G116" s="539"/>
      <c r="H116" s="517"/>
      <c r="I116" s="215"/>
      <c r="J116" s="539"/>
      <c r="K116" s="215"/>
      <c r="L116" s="215"/>
      <c r="M116" s="215"/>
      <c r="N116" s="215"/>
      <c r="O116" s="215"/>
      <c r="P116" s="539"/>
    </row>
    <row r="117" spans="1:16" ht="12.75" x14ac:dyDescent="0.2">
      <c r="B117" s="183" t="s">
        <v>521</v>
      </c>
      <c r="C117" s="163"/>
      <c r="D117" s="164"/>
      <c r="E117" s="168"/>
      <c r="F117" s="9"/>
      <c r="G117" s="167"/>
      <c r="H117" s="168"/>
      <c r="I117" s="200"/>
      <c r="J117" s="167"/>
      <c r="K117" s="215"/>
      <c r="L117" s="314">
        <v>9.7999999999999997E-3</v>
      </c>
      <c r="M117" s="200"/>
      <c r="N117" s="200"/>
      <c r="O117" s="200"/>
      <c r="P117" s="167"/>
    </row>
    <row r="118" spans="1:16" ht="135.75" x14ac:dyDescent="0.25">
      <c r="B118" s="199"/>
      <c r="C118" s="163"/>
      <c r="D118" s="164"/>
      <c r="E118" s="168"/>
      <c r="F118" s="9"/>
      <c r="G118" s="167"/>
      <c r="H118" s="168"/>
      <c r="I118" s="200"/>
      <c r="J118" s="167"/>
      <c r="K118" s="200"/>
      <c r="L118" s="224" t="s">
        <v>554</v>
      </c>
      <c r="M118" s="200"/>
      <c r="N118" s="200"/>
      <c r="O118" s="200"/>
      <c r="P118" s="167"/>
    </row>
    <row r="119" spans="1:16" ht="34.5" x14ac:dyDescent="0.25">
      <c r="B119" s="199"/>
      <c r="C119" s="163"/>
      <c r="D119" s="164"/>
      <c r="E119" s="168"/>
      <c r="F119" s="9"/>
      <c r="G119" s="167"/>
      <c r="H119" s="168"/>
      <c r="I119" s="200"/>
      <c r="J119" s="167"/>
      <c r="K119" s="200"/>
      <c r="L119" s="224" t="str">
        <f>G168</f>
        <v>Working document - briefing - price compliance for fares January 2016</v>
      </c>
      <c r="M119" s="163"/>
      <c r="N119" s="163"/>
      <c r="O119" s="200"/>
      <c r="P119" s="164"/>
    </row>
    <row r="120" spans="1:16" s="28" customFormat="1" ht="12.75" x14ac:dyDescent="0.2">
      <c r="A120" s="547"/>
      <c r="B120" s="169"/>
      <c r="C120" s="163"/>
      <c r="D120" s="164"/>
      <c r="E120" s="207"/>
      <c r="F120" s="226"/>
      <c r="G120" s="171"/>
      <c r="H120" s="210"/>
      <c r="I120" s="32"/>
      <c r="J120" s="171"/>
      <c r="K120" s="201"/>
      <c r="L120" s="201"/>
      <c r="M120" s="201"/>
      <c r="N120" s="170"/>
      <c r="O120" s="32"/>
      <c r="P120" s="220"/>
    </row>
    <row r="121" spans="1:16" ht="15.75" x14ac:dyDescent="0.25">
      <c r="B121" s="199" t="s">
        <v>550</v>
      </c>
      <c r="C121" s="215"/>
      <c r="D121" s="539"/>
      <c r="E121" s="517"/>
      <c r="F121" s="215"/>
      <c r="G121" s="539"/>
      <c r="H121" s="517"/>
      <c r="I121" s="215"/>
      <c r="J121" s="539"/>
      <c r="K121" s="215"/>
      <c r="L121" s="215"/>
      <c r="M121" s="215"/>
      <c r="N121" s="215"/>
      <c r="O121" s="215"/>
      <c r="P121" s="539"/>
    </row>
    <row r="122" spans="1:16" ht="12.75" x14ac:dyDescent="0.2">
      <c r="B122" s="169" t="s">
        <v>516</v>
      </c>
      <c r="C122" s="215"/>
      <c r="D122" s="539"/>
      <c r="E122" s="517"/>
      <c r="F122" s="507">
        <v>3.4000000000000002E-2</v>
      </c>
      <c r="G122" s="507">
        <v>-1.7131567724012364E-2</v>
      </c>
      <c r="H122" s="546">
        <v>5.3999999999999999E-2</v>
      </c>
      <c r="I122" s="507">
        <v>3.3000000000000002E-2</v>
      </c>
      <c r="J122" s="470">
        <v>2.4E-2</v>
      </c>
      <c r="K122" s="545">
        <v>2.4E-2</v>
      </c>
      <c r="L122" s="507">
        <v>4.1000000000000003E-3</v>
      </c>
      <c r="M122" s="221">
        <f>M109</f>
        <v>0</v>
      </c>
      <c r="N122" s="221">
        <f>N109</f>
        <v>2.409638554216853E-2</v>
      </c>
      <c r="O122" s="215">
        <f>O109</f>
        <v>1.1764705882353121E-2</v>
      </c>
      <c r="P122" s="539">
        <f>P109</f>
        <v>1.1627906976744207E-2</v>
      </c>
    </row>
    <row r="123" spans="1:16" x14ac:dyDescent="0.2">
      <c r="B123" s="169"/>
      <c r="C123" s="215"/>
      <c r="D123" s="539"/>
      <c r="E123" s="517"/>
      <c r="F123" s="215"/>
      <c r="G123" s="33" t="s">
        <v>616</v>
      </c>
      <c r="H123" s="517"/>
      <c r="I123" s="215"/>
      <c r="J123" s="539"/>
      <c r="K123" s="215"/>
      <c r="L123" s="215"/>
      <c r="M123" s="215"/>
      <c r="N123" s="215"/>
      <c r="O123" s="215"/>
      <c r="P123" s="539"/>
    </row>
    <row r="124" spans="1:16" ht="96" x14ac:dyDescent="0.2">
      <c r="B124" s="195" t="s">
        <v>519</v>
      </c>
      <c r="C124" s="193"/>
      <c r="D124" s="194"/>
      <c r="E124" s="208"/>
      <c r="F124" s="550" t="str">
        <f>G159</f>
        <v>Compliance statement Fares for Sydney Trains and NSW TrainLink intercity services, Sydney Ferries and metropolitan and outer metropolitan bus services from January 2016</v>
      </c>
      <c r="G124" s="196"/>
      <c r="H124" s="551" t="str">
        <f>G165</f>
        <v>CityRail and Metropolitan and Outer Metropolitan Bus Services: Prices and Services Report 2011</v>
      </c>
      <c r="I124" s="305" t="str">
        <f>G169</f>
        <v>Working document - Prices and Service Report Metrobus 2012 - Final Bus Data - December 2012</v>
      </c>
      <c r="J124" s="552" t="str">
        <f>G155</f>
        <v>Compliance statement - Fares for CityRail, Sydney Ferries and Metropolitan and Outer Metropolitan Bus services from January 2014</v>
      </c>
      <c r="K124" s="543" t="str">
        <f>G161</f>
        <v xml:space="preserve">Compliance statement - Fares for Sydney Trains and NSW TrainLink Intercity services, Sydney Ferries and Metropolitan and Outer Metropolitan Bus services from 1 September 2014 </v>
      </c>
      <c r="L124" s="304" t="str">
        <f>G167</f>
        <v>Working document - TfNSW fare compliance model for 2014</v>
      </c>
      <c r="M124" s="202"/>
      <c r="N124" s="197"/>
      <c r="O124" s="305"/>
      <c r="P124" s="223"/>
    </row>
    <row r="125" spans="1:16" ht="12.75" x14ac:dyDescent="0.2">
      <c r="B125" s="227"/>
      <c r="C125" s="228"/>
      <c r="D125" s="229"/>
      <c r="E125" s="240"/>
      <c r="F125" s="553"/>
      <c r="G125" s="230"/>
      <c r="H125" s="243"/>
      <c r="I125" s="232"/>
      <c r="J125" s="230"/>
      <c r="K125" s="232"/>
      <c r="L125" s="232"/>
      <c r="M125" s="232"/>
      <c r="N125" s="231"/>
      <c r="O125" s="232"/>
      <c r="P125" s="233"/>
    </row>
    <row r="126" spans="1:16" ht="12.75" x14ac:dyDescent="0.2">
      <c r="B126" s="168" t="s">
        <v>457</v>
      </c>
      <c r="C126" s="215"/>
      <c r="D126" s="539"/>
      <c r="E126" s="517"/>
      <c r="F126" s="554">
        <f>F113</f>
        <v>40181</v>
      </c>
      <c r="G126" s="171">
        <f>G101</f>
        <v>40286</v>
      </c>
      <c r="H126" s="204">
        <f>H101</f>
        <v>40910</v>
      </c>
      <c r="I126" s="201">
        <f>I101</f>
        <v>41280</v>
      </c>
      <c r="J126" s="171">
        <f>J101</f>
        <v>41644</v>
      </c>
      <c r="K126" s="201">
        <f>K101</f>
        <v>41883</v>
      </c>
      <c r="L126" s="201" t="str">
        <f t="shared" ref="L126:O126" si="27">L101</f>
        <v>1/01/20106</v>
      </c>
      <c r="M126" s="201">
        <f t="shared" si="27"/>
        <v>42618</v>
      </c>
      <c r="N126" s="201">
        <f t="shared" si="27"/>
        <v>42919</v>
      </c>
      <c r="O126" s="201">
        <f t="shared" si="27"/>
        <v>43283</v>
      </c>
      <c r="P126" s="171">
        <f>P101</f>
        <v>43640</v>
      </c>
    </row>
    <row r="127" spans="1:16" ht="15.75" x14ac:dyDescent="0.25">
      <c r="B127" s="199"/>
      <c r="C127" s="215"/>
      <c r="D127" s="539"/>
      <c r="E127" s="517"/>
      <c r="F127" s="215"/>
      <c r="G127" s="539"/>
      <c r="H127" s="517"/>
      <c r="I127" s="215"/>
      <c r="J127" s="539"/>
      <c r="K127" s="215"/>
      <c r="L127" s="215"/>
      <c r="M127" s="215"/>
      <c r="N127" s="215"/>
      <c r="O127" s="215"/>
      <c r="P127" s="539"/>
    </row>
    <row r="128" spans="1:16" ht="66.599999999999994" customHeight="1" x14ac:dyDescent="0.2">
      <c r="B128" s="195" t="s">
        <v>519</v>
      </c>
      <c r="C128" s="193"/>
      <c r="D128" s="194"/>
      <c r="E128" s="208"/>
      <c r="F128" s="550" t="str">
        <f>G163</f>
        <v>Fact sheet - Review of fares for metropolitan and outer metropolitan bus services from January 2010</v>
      </c>
      <c r="G128" s="196"/>
      <c r="H128" s="209"/>
      <c r="I128" s="202"/>
      <c r="J128" s="196"/>
      <c r="K128" s="202"/>
      <c r="L128" s="202"/>
      <c r="M128" s="202"/>
      <c r="N128" s="197"/>
      <c r="O128" s="202"/>
      <c r="P128" s="223"/>
    </row>
    <row r="129" spans="2:21" x14ac:dyDescent="0.2">
      <c r="B129" s="517"/>
      <c r="C129" s="215"/>
      <c r="D129" s="539"/>
      <c r="E129" s="517"/>
      <c r="F129" s="215"/>
      <c r="G129" s="539"/>
      <c r="H129" s="517"/>
      <c r="I129" s="215"/>
      <c r="J129" s="539"/>
      <c r="K129" s="215"/>
      <c r="L129" s="215"/>
      <c r="M129" s="215"/>
      <c r="N129" s="215"/>
      <c r="O129" s="215"/>
      <c r="P129" s="539"/>
    </row>
    <row r="130" spans="2:21" ht="15.75" x14ac:dyDescent="0.25">
      <c r="B130" s="199" t="s">
        <v>563</v>
      </c>
      <c r="C130" s="215"/>
      <c r="D130" s="539"/>
      <c r="E130" s="517"/>
      <c r="F130" s="215"/>
      <c r="G130" s="539"/>
      <c r="H130" s="517"/>
      <c r="I130" s="215"/>
      <c r="J130" s="539"/>
      <c r="K130" s="215"/>
      <c r="L130" s="215"/>
      <c r="M130" s="215"/>
      <c r="N130" s="215"/>
      <c r="O130" s="215"/>
      <c r="P130" s="539"/>
    </row>
    <row r="131" spans="2:21" ht="12.75" x14ac:dyDescent="0.2">
      <c r="B131" s="169" t="s">
        <v>516</v>
      </c>
      <c r="C131" s="215"/>
      <c r="D131" s="539"/>
      <c r="E131" s="517"/>
      <c r="F131" s="507">
        <v>0</v>
      </c>
      <c r="G131" s="470">
        <v>6.4657200042340435E-2</v>
      </c>
      <c r="H131" s="545">
        <v>5.5662831598122242E-2</v>
      </c>
      <c r="I131" s="507">
        <v>3.3000000000000002E-2</v>
      </c>
      <c r="J131" s="470">
        <v>3.3000000000000002E-2</v>
      </c>
      <c r="K131" s="545">
        <v>2.9000000000000001E-2</v>
      </c>
      <c r="L131" s="512">
        <f>-6.49%</f>
        <v>-6.4899999999999999E-2</v>
      </c>
      <c r="M131" s="221">
        <f>M109</f>
        <v>0</v>
      </c>
      <c r="N131" s="221">
        <f t="shared" ref="N131:P131" si="28">N109</f>
        <v>2.409638554216853E-2</v>
      </c>
      <c r="O131" s="341">
        <f t="shared" si="28"/>
        <v>1.1764705882353121E-2</v>
      </c>
      <c r="P131" s="341">
        <f t="shared" si="28"/>
        <v>1.1627906976744207E-2</v>
      </c>
    </row>
    <row r="132" spans="2:21" x14ac:dyDescent="0.2">
      <c r="B132" s="169"/>
      <c r="C132" s="215"/>
      <c r="D132" s="539"/>
      <c r="E132" s="517"/>
      <c r="F132" s="215"/>
      <c r="G132" s="33" t="s">
        <v>616</v>
      </c>
      <c r="H132" s="32" t="s">
        <v>616</v>
      </c>
      <c r="I132" s="215"/>
      <c r="J132" s="539"/>
      <c r="K132" s="215"/>
      <c r="L132" s="215"/>
      <c r="M132" s="215"/>
      <c r="N132" s="215"/>
      <c r="O132" s="215"/>
      <c r="P132" s="539"/>
    </row>
    <row r="133" spans="2:21" ht="109.9" customHeight="1" x14ac:dyDescent="0.2">
      <c r="B133" s="195" t="s">
        <v>519</v>
      </c>
      <c r="C133" s="193"/>
      <c r="D133" s="194"/>
      <c r="E133" s="208"/>
      <c r="F133" s="509" t="str">
        <f>G148</f>
        <v>Working document - Information - Review of fares for Sydney Ferries 2011 -Fares over time from SF issues paper- updated May 2012 - May 2012</v>
      </c>
      <c r="G133" s="196"/>
      <c r="H133" s="202"/>
      <c r="I133" s="543" t="str">
        <f>I103</f>
        <v>Compliance statement - Fares for CityRail, Sydney Ferries and Metropolitan and Outer Metropolitan Bus services from January 2013</v>
      </c>
      <c r="J133" s="552" t="str">
        <f>G155</f>
        <v>Compliance statement - Fares for CityRail, Sydney Ferries and Metropolitan and Outer Metropolitan Bus services from January 2014</v>
      </c>
      <c r="K133" s="543" t="str">
        <f>G161</f>
        <v xml:space="preserve">Compliance statement - Fares for Sydney Trains and NSW TrainLink Intercity services, Sydney Ferries and Metropolitan and Outer Metropolitan Bus services from 1 September 2014 </v>
      </c>
      <c r="L133" s="304" t="str">
        <f>G167</f>
        <v>Working document - TfNSW fare compliance model for 2014</v>
      </c>
      <c r="M133" s="306">
        <f>M131</f>
        <v>0</v>
      </c>
      <c r="N133" s="306">
        <f t="shared" ref="N133:O133" si="29">N131</f>
        <v>2.409638554216853E-2</v>
      </c>
      <c r="O133" s="543">
        <f t="shared" si="29"/>
        <v>1.1764705882353121E-2</v>
      </c>
      <c r="P133" s="307"/>
    </row>
    <row r="134" spans="2:21" ht="12.75" x14ac:dyDescent="0.2">
      <c r="B134" s="227"/>
      <c r="C134" s="228"/>
      <c r="D134" s="229"/>
      <c r="E134" s="240"/>
      <c r="F134" s="553"/>
      <c r="G134" s="230"/>
      <c r="H134" s="243"/>
      <c r="I134" s="232"/>
      <c r="J134" s="230"/>
      <c r="K134" s="232"/>
      <c r="L134" s="232"/>
      <c r="M134" s="232"/>
      <c r="N134" s="231"/>
      <c r="O134" s="232"/>
      <c r="P134" s="233"/>
    </row>
    <row r="135" spans="2:21" ht="12.75" x14ac:dyDescent="0.2">
      <c r="B135" s="168" t="s">
        <v>457</v>
      </c>
      <c r="C135" s="215"/>
      <c r="D135" s="539"/>
      <c r="E135" s="517"/>
      <c r="F135" s="553"/>
      <c r="G135" s="171">
        <f>G101</f>
        <v>40286</v>
      </c>
      <c r="H135" s="204">
        <f t="shared" ref="H135:O135" si="30">H101</f>
        <v>40910</v>
      </c>
      <c r="I135" s="201">
        <f t="shared" si="30"/>
        <v>41280</v>
      </c>
      <c r="J135" s="171">
        <f t="shared" si="30"/>
        <v>41644</v>
      </c>
      <c r="K135" s="201">
        <f t="shared" si="30"/>
        <v>41883</v>
      </c>
      <c r="L135" s="201" t="str">
        <f t="shared" si="30"/>
        <v>1/01/20106</v>
      </c>
      <c r="M135" s="201">
        <f t="shared" si="30"/>
        <v>42618</v>
      </c>
      <c r="N135" s="201">
        <f t="shared" si="30"/>
        <v>42919</v>
      </c>
      <c r="O135" s="201">
        <f t="shared" si="30"/>
        <v>43283</v>
      </c>
      <c r="P135" s="171">
        <f>P126</f>
        <v>43640</v>
      </c>
    </row>
    <row r="136" spans="2:21" ht="15.75" x14ac:dyDescent="0.25">
      <c r="B136" s="199"/>
      <c r="C136" s="215"/>
      <c r="D136" s="539"/>
      <c r="E136" s="517"/>
      <c r="F136" s="215"/>
      <c r="G136" s="539"/>
      <c r="H136" s="517"/>
      <c r="I136" s="215"/>
      <c r="J136" s="539"/>
      <c r="K136" s="215"/>
      <c r="L136" s="215"/>
      <c r="M136" s="215"/>
      <c r="N136" s="215"/>
      <c r="O136" s="215"/>
      <c r="P136" s="539"/>
    </row>
    <row r="137" spans="2:21" ht="12.75" x14ac:dyDescent="0.2">
      <c r="B137" s="195" t="s">
        <v>519</v>
      </c>
      <c r="C137" s="193"/>
      <c r="D137" s="194"/>
      <c r="E137" s="208"/>
      <c r="F137" s="555"/>
      <c r="G137" s="196"/>
      <c r="H137" s="209"/>
      <c r="I137" s="202"/>
      <c r="J137" s="196"/>
      <c r="K137" s="202"/>
      <c r="L137" s="202"/>
      <c r="M137" s="202"/>
      <c r="N137" s="197"/>
      <c r="O137" s="202"/>
      <c r="P137" s="223"/>
    </row>
    <row r="138" spans="2:21" ht="12.75" x14ac:dyDescent="0.2">
      <c r="B138" s="169"/>
      <c r="C138" s="163"/>
      <c r="D138" s="164"/>
      <c r="E138" s="206"/>
      <c r="F138" s="226"/>
      <c r="G138" s="171"/>
      <c r="H138" s="210"/>
      <c r="I138" s="201"/>
      <c r="J138" s="171"/>
      <c r="K138" s="201"/>
      <c r="L138" s="201"/>
      <c r="M138" s="201"/>
      <c r="N138" s="170"/>
      <c r="O138" s="201"/>
      <c r="P138" s="220"/>
    </row>
    <row r="139" spans="2:21" ht="22.5" x14ac:dyDescent="0.2">
      <c r="B139" s="234" t="s">
        <v>521</v>
      </c>
      <c r="C139" s="235"/>
      <c r="D139" s="237"/>
      <c r="E139" s="241"/>
      <c r="F139" s="236" t="s">
        <v>564</v>
      </c>
      <c r="G139" s="237"/>
      <c r="H139" s="241"/>
      <c r="I139" s="235"/>
      <c r="J139" s="237"/>
      <c r="K139" s="235"/>
      <c r="L139" s="235"/>
      <c r="M139" s="235"/>
      <c r="N139" s="235"/>
      <c r="O139" s="235"/>
      <c r="P139" s="237"/>
    </row>
    <row r="140" spans="2:21" ht="12.75" x14ac:dyDescent="0.2">
      <c r="F140" s="556"/>
      <c r="L140" s="162"/>
      <c r="M140" s="162"/>
      <c r="N140" s="162"/>
    </row>
    <row r="141" spans="2:21" x14ac:dyDescent="0.2">
      <c r="L141" s="557"/>
    </row>
    <row r="144" spans="2:21" ht="15" x14ac:dyDescent="0.2">
      <c r="E144" s="82" t="s">
        <v>409</v>
      </c>
      <c r="F144" s="352"/>
      <c r="G144" s="352"/>
      <c r="H144" s="352"/>
      <c r="I144" s="352"/>
      <c r="J144" s="352"/>
      <c r="K144" s="352"/>
      <c r="L144" s="352"/>
      <c r="M144" s="352"/>
      <c r="N144" s="352"/>
      <c r="O144" s="352"/>
      <c r="P144" s="352"/>
      <c r="Q144" s="352"/>
      <c r="R144" s="352"/>
      <c r="S144" s="352"/>
      <c r="T144" s="352"/>
      <c r="U144" s="352"/>
    </row>
    <row r="145" spans="5:21" x14ac:dyDescent="0.2">
      <c r="E145" s="352"/>
      <c r="F145" s="352"/>
      <c r="G145" s="352"/>
      <c r="H145" s="352"/>
      <c r="I145" s="352"/>
      <c r="J145" s="352"/>
      <c r="K145" s="352"/>
      <c r="L145" s="352"/>
      <c r="M145" s="352"/>
      <c r="N145" s="352"/>
      <c r="O145" s="352"/>
      <c r="P145" s="352"/>
      <c r="Q145" s="352"/>
      <c r="R145" s="352"/>
      <c r="S145" s="352"/>
      <c r="T145" s="352"/>
      <c r="U145" s="352"/>
    </row>
    <row r="146" spans="5:21" x14ac:dyDescent="0.2">
      <c r="E146" s="352" t="s">
        <v>40</v>
      </c>
      <c r="F146" s="352"/>
      <c r="G146" s="352" t="s">
        <v>41</v>
      </c>
      <c r="H146" s="352"/>
      <c r="I146" s="352"/>
      <c r="J146" s="352"/>
      <c r="K146" s="352" t="s">
        <v>36</v>
      </c>
      <c r="L146" s="352" t="s">
        <v>122</v>
      </c>
      <c r="M146" s="352" t="s">
        <v>38</v>
      </c>
      <c r="N146" s="352"/>
      <c r="O146" s="352"/>
      <c r="P146" s="352"/>
      <c r="Q146" s="352"/>
      <c r="R146" s="528" t="s">
        <v>37</v>
      </c>
      <c r="S146" s="352" t="s">
        <v>35</v>
      </c>
      <c r="T146" s="352" t="s">
        <v>459</v>
      </c>
      <c r="U146" s="352" t="s">
        <v>485</v>
      </c>
    </row>
    <row r="147" spans="5:21" x14ac:dyDescent="0.2">
      <c r="E147" s="74" t="s">
        <v>249</v>
      </c>
      <c r="F147" s="74"/>
      <c r="G147" s="74" t="s">
        <v>488</v>
      </c>
      <c r="H147" s="74"/>
      <c r="I147" s="74"/>
      <c r="J147" s="74"/>
      <c r="K147" s="191">
        <v>39052</v>
      </c>
      <c r="L147" s="74"/>
      <c r="M147" s="74" t="s">
        <v>454</v>
      </c>
      <c r="N147" s="74"/>
      <c r="O147" s="74"/>
      <c r="P147" s="74"/>
      <c r="Q147" s="74"/>
      <c r="R147" s="74"/>
      <c r="S147" s="74"/>
      <c r="T147" s="74"/>
      <c r="U147" s="74"/>
    </row>
    <row r="148" spans="5:21" x14ac:dyDescent="0.2">
      <c r="E148" s="74" t="s">
        <v>249</v>
      </c>
      <c r="F148" s="74"/>
      <c r="G148" s="74" t="s">
        <v>489</v>
      </c>
      <c r="H148" s="74"/>
      <c r="I148" s="74"/>
      <c r="J148" s="74"/>
      <c r="K148" s="191"/>
      <c r="L148" s="74"/>
      <c r="M148" s="74"/>
      <c r="N148" s="74"/>
      <c r="O148" s="74"/>
      <c r="P148" s="74"/>
      <c r="Q148" s="74"/>
      <c r="R148" s="74"/>
      <c r="S148" s="74" t="s">
        <v>455</v>
      </c>
      <c r="T148" s="74"/>
      <c r="U148" s="74"/>
    </row>
    <row r="149" spans="5:21" x14ac:dyDescent="0.2">
      <c r="E149" s="74" t="s">
        <v>503</v>
      </c>
      <c r="F149" s="74"/>
      <c r="G149" s="74" t="s">
        <v>480</v>
      </c>
      <c r="H149" s="74"/>
      <c r="I149" s="74"/>
      <c r="J149" s="74"/>
      <c r="K149" s="191">
        <v>39783</v>
      </c>
      <c r="L149" s="74"/>
      <c r="M149" s="74" t="s">
        <v>481</v>
      </c>
      <c r="N149" s="74"/>
      <c r="O149" s="74"/>
      <c r="P149" s="74"/>
      <c r="Q149" s="74"/>
      <c r="R149" s="74"/>
      <c r="S149" s="74" t="s">
        <v>479</v>
      </c>
      <c r="T149" s="74"/>
      <c r="U149" s="74"/>
    </row>
    <row r="150" spans="5:21" x14ac:dyDescent="0.2">
      <c r="E150" s="74" t="s">
        <v>503</v>
      </c>
      <c r="F150" s="74"/>
      <c r="G150" s="74" t="s">
        <v>504</v>
      </c>
      <c r="H150" s="74"/>
      <c r="I150" s="74"/>
      <c r="J150" s="74"/>
      <c r="K150" s="191"/>
      <c r="L150" s="74"/>
      <c r="M150" s="74"/>
      <c r="N150" s="74"/>
      <c r="O150" s="74"/>
      <c r="P150" s="74"/>
      <c r="Q150" s="74"/>
      <c r="R150" s="74"/>
      <c r="S150" s="74" t="s">
        <v>484</v>
      </c>
      <c r="T150" s="74" t="s">
        <v>486</v>
      </c>
      <c r="U150" s="74" t="s">
        <v>487</v>
      </c>
    </row>
    <row r="151" spans="5:21" x14ac:dyDescent="0.2">
      <c r="E151" s="74" t="s">
        <v>249</v>
      </c>
      <c r="F151" s="74"/>
      <c r="G151" s="74" t="s">
        <v>491</v>
      </c>
      <c r="H151" s="74"/>
      <c r="I151" s="74"/>
      <c r="J151" s="74"/>
      <c r="K151" s="191">
        <v>39783</v>
      </c>
      <c r="L151" s="74"/>
      <c r="M151" s="74" t="s">
        <v>490</v>
      </c>
      <c r="N151" s="74"/>
      <c r="O151" s="74"/>
      <c r="P151" s="74"/>
      <c r="Q151" s="74"/>
      <c r="R151" s="74"/>
      <c r="S151" s="74"/>
      <c r="T151" s="74"/>
      <c r="U151" s="74"/>
    </row>
    <row r="152" spans="5:21" x14ac:dyDescent="0.2">
      <c r="E152" s="74" t="s">
        <v>249</v>
      </c>
      <c r="F152" s="74"/>
      <c r="G152" s="74" t="s">
        <v>1003</v>
      </c>
      <c r="H152" s="74"/>
      <c r="I152" s="74"/>
      <c r="J152" s="74"/>
      <c r="K152" s="191">
        <v>43252</v>
      </c>
      <c r="L152" s="74">
        <v>1</v>
      </c>
      <c r="M152" s="74" t="s">
        <v>1004</v>
      </c>
      <c r="N152" s="74"/>
      <c r="O152" s="74"/>
      <c r="P152" s="74"/>
      <c r="Q152" s="74"/>
      <c r="R152" s="74"/>
      <c r="S152" s="74"/>
      <c r="T152" s="74"/>
      <c r="U152" s="74"/>
    </row>
    <row r="153" spans="5:21" x14ac:dyDescent="0.2">
      <c r="E153" s="74" t="s">
        <v>249</v>
      </c>
      <c r="F153" s="74"/>
      <c r="G153" s="74" t="s">
        <v>1011</v>
      </c>
      <c r="H153" s="74"/>
      <c r="I153" s="74"/>
      <c r="J153" s="74"/>
      <c r="K153" s="191">
        <v>42887</v>
      </c>
      <c r="L153" s="74">
        <v>1</v>
      </c>
      <c r="M153" s="74" t="s">
        <v>1012</v>
      </c>
      <c r="N153" s="74"/>
      <c r="O153" s="74"/>
      <c r="P153" s="74"/>
      <c r="Q153" s="74"/>
      <c r="R153" s="74"/>
      <c r="S153" s="74"/>
      <c r="T153" s="74"/>
      <c r="U153" s="74"/>
    </row>
    <row r="154" spans="5:21" x14ac:dyDescent="0.2">
      <c r="E154" s="74" t="s">
        <v>529</v>
      </c>
      <c r="F154" s="74"/>
      <c r="G154" s="190" t="s">
        <v>530</v>
      </c>
      <c r="H154" s="74"/>
      <c r="I154" s="74"/>
      <c r="J154" s="74"/>
      <c r="K154" s="191">
        <v>42552</v>
      </c>
      <c r="L154" s="74"/>
      <c r="M154" s="74" t="s">
        <v>1013</v>
      </c>
      <c r="N154" s="74"/>
      <c r="O154" s="74"/>
      <c r="P154" s="74"/>
      <c r="Q154" s="74"/>
      <c r="R154" s="74"/>
      <c r="S154" s="74"/>
      <c r="T154" s="74"/>
      <c r="U154" s="74"/>
    </row>
    <row r="155" spans="5:21" ht="12.75" x14ac:dyDescent="0.2">
      <c r="E155" s="189"/>
      <c r="F155" s="189"/>
      <c r="G155" s="190" t="s">
        <v>533</v>
      </c>
      <c r="H155" s="189"/>
      <c r="I155" s="189"/>
      <c r="J155" s="189"/>
      <c r="K155" s="189"/>
      <c r="L155" s="189"/>
      <c r="M155" s="74" t="s">
        <v>531</v>
      </c>
      <c r="N155" s="189"/>
      <c r="O155" s="189"/>
      <c r="P155" s="189"/>
      <c r="Q155" s="189"/>
      <c r="R155" s="189"/>
      <c r="S155" s="173" t="s">
        <v>507</v>
      </c>
      <c r="T155" s="189"/>
      <c r="U155" s="189"/>
    </row>
    <row r="156" spans="5:21" x14ac:dyDescent="0.2">
      <c r="E156" s="74" t="s">
        <v>34</v>
      </c>
      <c r="F156" s="189"/>
      <c r="G156" s="74" t="s">
        <v>532</v>
      </c>
      <c r="H156" s="189"/>
      <c r="I156" s="189"/>
      <c r="J156" s="189"/>
      <c r="K156" s="191">
        <v>40892</v>
      </c>
      <c r="L156" s="189"/>
      <c r="M156" s="74" t="s">
        <v>517</v>
      </c>
      <c r="N156" s="189"/>
      <c r="O156" s="189"/>
      <c r="P156" s="189"/>
      <c r="Q156" s="189"/>
      <c r="R156" s="189"/>
      <c r="S156" s="189"/>
      <c r="T156" s="189"/>
      <c r="U156" s="189"/>
    </row>
    <row r="157" spans="5:21" x14ac:dyDescent="0.2">
      <c r="E157" s="74"/>
      <c r="F157" s="74"/>
      <c r="G157" s="190" t="s">
        <v>534</v>
      </c>
      <c r="H157" s="74"/>
      <c r="I157" s="74"/>
      <c r="J157" s="74"/>
      <c r="K157" s="74"/>
      <c r="L157" s="74"/>
      <c r="M157" s="74" t="s">
        <v>509</v>
      </c>
      <c r="N157" s="74"/>
      <c r="O157" s="74"/>
      <c r="P157" s="74"/>
      <c r="Q157" s="74"/>
      <c r="R157" s="74"/>
      <c r="S157" s="74" t="s">
        <v>513</v>
      </c>
      <c r="T157" s="74"/>
      <c r="U157" s="175"/>
    </row>
    <row r="158" spans="5:21" x14ac:dyDescent="0.2">
      <c r="E158" s="74" t="s">
        <v>537</v>
      </c>
      <c r="F158" s="74"/>
      <c r="G158" s="190" t="s">
        <v>539</v>
      </c>
      <c r="H158" s="74"/>
      <c r="I158" s="74"/>
      <c r="J158" s="74"/>
      <c r="K158" s="74"/>
      <c r="L158" s="74"/>
      <c r="M158" s="74"/>
      <c r="N158" s="74"/>
      <c r="O158" s="74"/>
      <c r="P158" s="74"/>
      <c r="Q158" s="74"/>
      <c r="R158" s="74"/>
      <c r="S158" s="74" t="s">
        <v>505</v>
      </c>
      <c r="T158" s="74"/>
      <c r="U158" s="74"/>
    </row>
    <row r="159" spans="5:21" x14ac:dyDescent="0.2">
      <c r="E159" s="74" t="s">
        <v>249</v>
      </c>
      <c r="F159" s="74"/>
      <c r="G159" s="74" t="s">
        <v>536</v>
      </c>
      <c r="H159" s="74"/>
      <c r="I159" s="74"/>
      <c r="J159" s="74"/>
      <c r="K159" s="85">
        <v>42339</v>
      </c>
      <c r="L159" s="74"/>
      <c r="M159" s="74" t="s">
        <v>535</v>
      </c>
      <c r="N159" s="74"/>
      <c r="O159" s="74"/>
      <c r="P159" s="74"/>
      <c r="Q159" s="74"/>
      <c r="R159" s="74"/>
      <c r="S159" s="74"/>
      <c r="T159" s="74"/>
      <c r="U159" s="74"/>
    </row>
    <row r="160" spans="5:21" x14ac:dyDescent="0.2">
      <c r="E160" s="74" t="s">
        <v>537</v>
      </c>
      <c r="F160" s="74"/>
      <c r="G160" s="190" t="s">
        <v>538</v>
      </c>
      <c r="H160" s="74"/>
      <c r="I160" s="74"/>
      <c r="J160" s="74"/>
      <c r="K160" s="74"/>
      <c r="L160" s="74"/>
      <c r="M160" s="74"/>
      <c r="N160" s="74"/>
      <c r="O160" s="74"/>
      <c r="P160" s="74"/>
      <c r="Q160" s="74"/>
      <c r="R160" s="74"/>
      <c r="S160" s="74" t="s">
        <v>506</v>
      </c>
      <c r="T160" s="74"/>
      <c r="U160" s="74"/>
    </row>
    <row r="161" spans="5:21" x14ac:dyDescent="0.2">
      <c r="E161" s="74" t="s">
        <v>249</v>
      </c>
      <c r="F161" s="189"/>
      <c r="G161" s="74" t="s">
        <v>555</v>
      </c>
      <c r="H161" s="189"/>
      <c r="I161" s="189"/>
      <c r="J161" s="189"/>
      <c r="K161" s="85">
        <v>41852</v>
      </c>
      <c r="L161" s="189"/>
      <c r="M161" s="74" t="s">
        <v>556</v>
      </c>
      <c r="N161" s="189"/>
      <c r="O161" s="189"/>
      <c r="P161" s="189"/>
      <c r="Q161" s="189"/>
      <c r="R161" s="189"/>
      <c r="S161" s="189"/>
      <c r="T161" s="189"/>
      <c r="U161" s="189"/>
    </row>
    <row r="162" spans="5:21" x14ac:dyDescent="0.2">
      <c r="E162" s="74" t="s">
        <v>249</v>
      </c>
      <c r="F162" s="74"/>
      <c r="G162" s="190" t="s">
        <v>541</v>
      </c>
      <c r="H162" s="74"/>
      <c r="I162" s="74"/>
      <c r="J162" s="74"/>
      <c r="K162" s="558">
        <v>40269</v>
      </c>
      <c r="L162" s="74"/>
      <c r="M162" s="74" t="s">
        <v>540</v>
      </c>
      <c r="N162" s="74"/>
      <c r="O162" s="74"/>
      <c r="P162" s="74"/>
      <c r="Q162" s="74"/>
      <c r="R162" s="74"/>
      <c r="S162" s="74"/>
      <c r="T162" s="74"/>
      <c r="U162" s="74"/>
    </row>
    <row r="163" spans="5:21" x14ac:dyDescent="0.2">
      <c r="E163" s="74" t="s">
        <v>249</v>
      </c>
      <c r="F163" s="74"/>
      <c r="G163" s="190" t="s">
        <v>542</v>
      </c>
      <c r="H163" s="74"/>
      <c r="I163" s="74"/>
      <c r="J163" s="74"/>
      <c r="K163" s="85">
        <v>40148</v>
      </c>
      <c r="L163" s="74"/>
      <c r="M163" s="74" t="s">
        <v>518</v>
      </c>
      <c r="N163" s="74"/>
      <c r="O163" s="74"/>
      <c r="P163" s="74"/>
      <c r="Q163" s="74"/>
      <c r="R163" s="74"/>
      <c r="S163" s="74" t="s">
        <v>558</v>
      </c>
      <c r="T163" s="74"/>
      <c r="U163" s="74"/>
    </row>
    <row r="164" spans="5:21" x14ac:dyDescent="0.2">
      <c r="E164" s="74" t="s">
        <v>249</v>
      </c>
      <c r="F164" s="74"/>
      <c r="G164" s="190" t="s">
        <v>543</v>
      </c>
      <c r="H164" s="74"/>
      <c r="I164" s="74"/>
      <c r="J164" s="74"/>
      <c r="K164" s="85">
        <v>40148</v>
      </c>
      <c r="L164" s="74" t="s">
        <v>544</v>
      </c>
      <c r="M164" s="74" t="s">
        <v>511</v>
      </c>
      <c r="N164" s="74"/>
      <c r="O164" s="74"/>
      <c r="P164" s="74"/>
      <c r="Q164" s="74"/>
      <c r="R164" s="74"/>
      <c r="S164" s="74"/>
      <c r="T164" s="74"/>
      <c r="U164" s="74"/>
    </row>
    <row r="165" spans="5:21" x14ac:dyDescent="0.2">
      <c r="E165" s="74" t="s">
        <v>249</v>
      </c>
      <c r="F165" s="74"/>
      <c r="G165" s="190" t="s">
        <v>545</v>
      </c>
      <c r="H165" s="74"/>
      <c r="I165" s="74"/>
      <c r="J165" s="74"/>
      <c r="K165" s="85">
        <v>40878</v>
      </c>
      <c r="L165" s="74">
        <v>2</v>
      </c>
      <c r="M165" s="74" t="s">
        <v>510</v>
      </c>
      <c r="N165" s="74"/>
      <c r="O165" s="74"/>
      <c r="P165" s="74"/>
      <c r="Q165" s="74"/>
      <c r="R165" s="74"/>
      <c r="S165" s="74"/>
      <c r="T165" s="74"/>
      <c r="U165" s="74"/>
    </row>
    <row r="166" spans="5:21" x14ac:dyDescent="0.2">
      <c r="E166" s="74" t="s">
        <v>249</v>
      </c>
      <c r="F166" s="74"/>
      <c r="G166" s="74" t="s">
        <v>543</v>
      </c>
      <c r="H166" s="74"/>
      <c r="I166" s="74"/>
      <c r="J166" s="74"/>
      <c r="K166" s="85">
        <v>40148</v>
      </c>
      <c r="L166" s="74">
        <v>3</v>
      </c>
      <c r="M166" s="74" t="s">
        <v>511</v>
      </c>
      <c r="N166" s="74"/>
      <c r="O166" s="74"/>
      <c r="P166" s="74"/>
      <c r="Q166" s="74"/>
      <c r="R166" s="74"/>
      <c r="S166" s="74" t="s">
        <v>546</v>
      </c>
      <c r="T166" s="74"/>
      <c r="U166" s="74"/>
    </row>
    <row r="167" spans="5:21" x14ac:dyDescent="0.2">
      <c r="E167" s="74" t="s">
        <v>503</v>
      </c>
      <c r="F167" s="74"/>
      <c r="G167" s="74" t="s">
        <v>551</v>
      </c>
      <c r="H167" s="74"/>
      <c r="I167" s="74"/>
      <c r="J167" s="74"/>
      <c r="K167" s="85"/>
      <c r="L167" s="74"/>
      <c r="M167" s="74"/>
      <c r="N167" s="74"/>
      <c r="O167" s="74"/>
      <c r="P167" s="74"/>
      <c r="Q167" s="74"/>
      <c r="R167" s="74"/>
      <c r="S167" s="74" t="s">
        <v>512</v>
      </c>
      <c r="T167" s="74"/>
      <c r="U167" s="74"/>
    </row>
    <row r="168" spans="5:21" x14ac:dyDescent="0.2">
      <c r="E168" s="74" t="s">
        <v>249</v>
      </c>
      <c r="F168" s="74"/>
      <c r="G168" s="74" t="s">
        <v>552</v>
      </c>
      <c r="H168" s="74"/>
      <c r="I168" s="74"/>
      <c r="J168" s="74"/>
      <c r="K168" s="85">
        <v>42339</v>
      </c>
      <c r="L168" s="74"/>
      <c r="M168" s="74"/>
      <c r="N168" s="74"/>
      <c r="O168" s="74"/>
      <c r="P168" s="189"/>
      <c r="Q168" s="74"/>
      <c r="R168" s="74"/>
      <c r="S168" s="74" t="s">
        <v>514</v>
      </c>
      <c r="T168" s="74"/>
      <c r="U168" s="74"/>
    </row>
    <row r="169" spans="5:21" ht="12.75" x14ac:dyDescent="0.2">
      <c r="E169" s="74" t="s">
        <v>560</v>
      </c>
      <c r="F169" s="74"/>
      <c r="G169" s="74" t="s">
        <v>561</v>
      </c>
      <c r="H169" s="74"/>
      <c r="I169" s="74"/>
      <c r="J169" s="74"/>
      <c r="K169" s="85"/>
      <c r="L169" s="74"/>
      <c r="M169" s="74"/>
      <c r="N169" s="74"/>
      <c r="O169" s="74"/>
      <c r="P169" s="74"/>
      <c r="Q169" s="74"/>
      <c r="R169" s="74"/>
      <c r="S169" s="225" t="s">
        <v>508</v>
      </c>
      <c r="T169" s="74" t="s">
        <v>459</v>
      </c>
      <c r="U169" s="74" t="s">
        <v>562</v>
      </c>
    </row>
    <row r="170" spans="5:21" x14ac:dyDescent="0.2">
      <c r="E170" s="28"/>
      <c r="F170" s="28"/>
      <c r="G170" s="13"/>
      <c r="H170" s="547"/>
      <c r="I170" s="28"/>
      <c r="J170" s="28"/>
      <c r="K170" s="28"/>
      <c r="L170" s="28"/>
      <c r="M170" s="13"/>
      <c r="N170" s="13"/>
      <c r="O170" s="13"/>
      <c r="P170" s="13"/>
      <c r="Q170" s="13"/>
      <c r="R170" s="13"/>
      <c r="S170" s="13"/>
      <c r="T170" s="13"/>
      <c r="U170" s="28"/>
    </row>
    <row r="171" spans="5:21" x14ac:dyDescent="0.2">
      <c r="E171" s="28"/>
      <c r="F171" s="28"/>
      <c r="G171" s="28"/>
      <c r="H171" s="28"/>
      <c r="I171" s="28"/>
      <c r="J171" s="28"/>
      <c r="K171" s="28"/>
      <c r="L171" s="28"/>
      <c r="M171" s="28"/>
      <c r="N171" s="28"/>
      <c r="O171" s="28"/>
      <c r="P171" s="28"/>
      <c r="Q171" s="28"/>
      <c r="R171" s="28"/>
      <c r="S171" s="28"/>
      <c r="T171" s="28"/>
      <c r="U171" s="28"/>
    </row>
  </sheetData>
  <mergeCells count="1">
    <mergeCell ref="L96:N96"/>
  </mergeCells>
  <hyperlinks>
    <hyperlink ref="L96" r:id="rId1" display="https://www.ipart.nsw.gov.au/files/sharedassets/website/shared-files/investigation-compliance-monitoring-transport-publications-opal-fares-compliance-201718/compliance-statement-201718-fares-for-opal-services-june-2017.pdf"/>
    <hyperlink ref="M98" r:id="rId2" display="https://www.ipart.nsw.gov.au/files/sharedassets/website/shared-files/pricing-reviews-compliance-publications-opal-fares-compliance-201617/qa_of_transport_nsw_pricing_proposal_-_frontier_economics.pdf"/>
    <hyperlink ref="M153" r:id="rId3" display="https://www.ipart.nsw.gov.au/files/sharedassets/website/shared-files/investigation-compliance-monitoring-transport-publications-opal-fares-compliance-201718/compliance-statement-201718-fares-for-opal-services-june-2017.pdf"/>
    <hyperlink ref="M154" r:id="rId4" display="https://www.ipart.nsw.gov.au/files/sharedassets/website/shared-files/pricing-reviews-compliance-publications-opal-fares-compliance-201617/qa_of_transport_nsw_pricing_proposal_-_frontier_economics.pdf"/>
    <hyperlink ref="O103" r:id="rId5" display="https://www.ipart.nsw.gov.au/files/sharedassets/website/shared-files/investigation-compliance-monitoring-transport-publications-fare-for-opal-services-201819/compliance-statement-2018-19-fares-for-opal-services.pdf"/>
    <hyperlink ref="N103" r:id="rId6" display="https://www.ipart.nsw.gov.au/files/sharedassets/website/shared-files/investigation-compliance-monitoring-transport-publications-opal-fares-compliance-201718/compliance-statement-201718-fares-for-opal-services-june-2017.pdf"/>
    <hyperlink ref="M155" r:id="rId7"/>
    <hyperlink ref="J103" r:id="rId8" display="https://www.ipart.nsw.gov.au/files/3c8a3023-136c-4f5a-aae4-a29200d3471d/Compliance_Statement_-_Fares_for_CityRail_Sydney_Ferries_and_Metropolitan_and_Outer_Metropolitan_Bus_services_from_January_2014.pd"/>
    <hyperlink ref="M156" r:id="rId9"/>
    <hyperlink ref="M157" r:id="rId10"/>
    <hyperlink ref="M103" r:id="rId11" display="https://www.ipart.nsw.gov.au/files/sharedassets/website/shared-files/pricing-reviews-compliance-publications-opal-fares-compliance-201617/qa_of_transport_nsw_pricing_proposal_-_frontier_economics.pdf"/>
    <hyperlink ref="M159" r:id="rId12"/>
    <hyperlink ref="L103" r:id="rId13" display="https://www.ipart.nsw.gov.au/files/sharedassets/website/trimholdingbay/compliance_statement_-_withdrawing_paper_tickets_from_january_2016.pdf"/>
    <hyperlink ref="I103" r:id="rId14" display="https://www.ipart.nsw.gov.au/files/sharedassets/website/trimholdingbay/compliance_statement_for_cityrail_sydney_ferries_metro_and_outer_metro_bus_services_from_january_2013.pdf"/>
    <hyperlink ref="H103" r:id="rId15" display="https://www.transport.nsw.gov.au/newsroom-and-events/media-releases/public-transport-fare-rise-half-iparts-recommendation"/>
    <hyperlink ref="M162" r:id="rId16"/>
    <hyperlink ref="G103" r:id="rId17" display="https://www.ipart.nsw.gov.au/files/sharedassets/website/trimholdingbay/ipart_statement_on_myzone_public_transport_fare_changes_-_1_april_2010.pdf"/>
    <hyperlink ref="M163" r:id="rId18"/>
    <hyperlink ref="F103" r:id="rId19" display="https://www.ipart.nsw.gov.au/files/sharedassets/website/trimholdingbay/fact_sheet_-_review_of_fares_for_metropolitan_and_outer_metropolitan_bus_services_from_january_2010_-_december_2009_-_website_document.pdf"/>
    <hyperlink ref="M164" r:id="rId20"/>
    <hyperlink ref="F128" r:id="rId21" display="Prices and services report"/>
    <hyperlink ref="M165" r:id="rId22"/>
    <hyperlink ref="M166" r:id="rId23"/>
    <hyperlink ref="F111" r:id="rId24" display="https://www.ipart.nsw.gov.au/files/sharedassets/website/trimholdingbay/final_report_-_cityrail_prices_and_services_report_2009_-_december_2009_-_website_version.pdf"/>
    <hyperlink ref="H111" r:id="rId25" display="https://www.ipart.nsw.gov.au/files/sharedassets/website/trimholdingbay/final_report_-_cityrail_and_metro_bus_prices_and_services_report_2011_-_december_2011.pdf"/>
    <hyperlink ref="I111" r:id="rId26" display="https://www.ipart.nsw.gov.au/files/sharedassets/website/trimholdingbay/compliance_statement_for_cityrail_sydney_ferries_metro_and_outer_metro_bus_services_from_january_2013.pdf"/>
    <hyperlink ref="J111" r:id="rId27" display="https://www.ipart.nsw.gov.au/files/3c8a3023-136c-4f5a-aae4-a29200d3471d/Compliance_Statement_-_Fares_for_CityRail_Sydney_Ferries_and_Metropolitan_and_Outer_Metropolitan_Bus_services_from_January_2014.pd"/>
    <hyperlink ref="M161" r:id="rId28"/>
    <hyperlink ref="K111" r:id="rId29" display="https://www.ipart.nsw.gov.au/files/sharedassets/website/trimholdingbay/compliance_statement_-_fares_for_cityrail_sydney_ferries_and_metropolitan_and_outer_metropolitan_bus_services_-_august_2014.pdf"/>
    <hyperlink ref="F124" r:id="rId30" display="Prices and services report"/>
    <hyperlink ref="H124" r:id="rId31" display="https://www.ipart.nsw.gov.au/files/sharedassets/website/trimholdingbay/final_report_-_cityrail_and_metro_bus_prices_and_services_report_2011_-_december_2011.pdf"/>
    <hyperlink ref="J124" r:id="rId32" display="https://www.ipart.nsw.gov.au/files/3c8a3023-136c-4f5a-aae4-a29200d3471d/Compliance_Statement_-_Fares_for_CityRail_Sydney_Ferries_and_Metropolitan_and_Outer_Metropolitan_Bus_services_from_January_2014.pdf"/>
    <hyperlink ref="K124" r:id="rId33" display="https://www.ipart.nsw.gov.au/files/sharedassets/website/trimholdingbay/compliance_statement_-_fares_for_cityrail_sydney_ferries_and_metropolitan_and_outer_metropolitan_bus_services_-_august_2014.pdf"/>
    <hyperlink ref="I133" r:id="rId34" display="https://www.ipart.nsw.gov.au/files/sharedassets/website/trimholdingbay/compliance_statement_for_cityrail_sydney_ferries_metro_and_outer_metro_bus_services_from_january_2013.pdf"/>
    <hyperlink ref="J133" r:id="rId35" display="https://www.ipart.nsw.gov.au/files/3c8a3023-136c-4f5a-aae4-a29200d3471d/Compliance_Statement_-_Fares_for_CityRail_Sydney_Ferries_and_Metropolitan_and_Outer_Metropolitan_Bus_services_from_January_2014.pdf"/>
    <hyperlink ref="K133" r:id="rId36" display="https://www.ipart.nsw.gov.au/files/sharedassets/website/trimholdingbay/compliance_statement_-_fares_for_cityrail_sydney_ferries_and_metropolitan_and_outer_metropolitan_bus_services_-_august_2014.pdf"/>
  </hyperlinks>
  <pageMargins left="0.70866141732283472" right="0.70866141732283472" top="0.74803149606299213" bottom="0.74803149606299213" header="0.31496062992125984" footer="0.31496062992125984"/>
  <pageSetup paperSize="9" scale="15" orientation="landscape" r:id="rId37"/>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Y64"/>
  <sheetViews>
    <sheetView showGridLines="0" zoomScale="75" zoomScaleNormal="75" workbookViewId="0"/>
  </sheetViews>
  <sheetFormatPr defaultColWidth="9" defaultRowHeight="12" x14ac:dyDescent="0.2"/>
  <cols>
    <col min="1" max="1" width="14.42578125" style="28" customWidth="1"/>
    <col min="2" max="2" width="39.42578125" style="28" customWidth="1"/>
    <col min="3" max="10" width="14.42578125" style="28" customWidth="1"/>
    <col min="11" max="11" width="23.7109375" style="28" customWidth="1"/>
    <col min="12" max="12" width="34.85546875" style="28" customWidth="1"/>
    <col min="13" max="20" width="21.5703125" style="28" customWidth="1"/>
    <col min="21" max="16384" width="9" style="28"/>
  </cols>
  <sheetData>
    <row r="1" spans="1:25" ht="18.600000000000001" customHeight="1" x14ac:dyDescent="0.2"/>
    <row r="2" spans="1:25" ht="18.600000000000001" customHeight="1" x14ac:dyDescent="0.2"/>
    <row r="3" spans="1:25" ht="18.600000000000001" customHeight="1" x14ac:dyDescent="0.2">
      <c r="K3" s="83" t="s">
        <v>409</v>
      </c>
    </row>
    <row r="4" spans="1:25" ht="18.600000000000001" customHeight="1" x14ac:dyDescent="0.2"/>
    <row r="5" spans="1:25" ht="18.600000000000001" customHeight="1" x14ac:dyDescent="0.2">
      <c r="K5" s="28" t="str">
        <f>'Contents, list of sources'!G17</f>
        <v>Organisation</v>
      </c>
      <c r="M5" s="28" t="str">
        <f>'Contents, list of sources'!I17</f>
        <v>Title</v>
      </c>
      <c r="S5" s="28" t="str">
        <f>'Contents, list of sources'!O17</f>
        <v>Link</v>
      </c>
      <c r="X5" s="28" t="str">
        <f>'Contents, list of sources'!T17</f>
        <v>Date accessed</v>
      </c>
    </row>
    <row r="6" spans="1:25" ht="18.600000000000001" customHeight="1" x14ac:dyDescent="0.2">
      <c r="K6" s="447" t="str">
        <f>'Contents, list of sources'!G480</f>
        <v>Transport for NSW</v>
      </c>
      <c r="L6" s="74"/>
      <c r="M6" s="447" t="str">
        <f>'Contents, list of sources'!I480</f>
        <v>All modes historical patronage - Top Level Chart</v>
      </c>
      <c r="N6" s="74"/>
      <c r="O6" s="74"/>
      <c r="P6" s="74"/>
      <c r="Q6" s="448"/>
      <c r="R6" s="74"/>
      <c r="S6" s="447" t="str">
        <f>'Contents, list of sources'!O480</f>
        <v>https://www.transport.nsw.gov.au/data-and-research/passenger-travel/all-modes-patronage-historical/all-modes-historical-patronage</v>
      </c>
      <c r="T6" s="74"/>
      <c r="U6" s="74"/>
      <c r="V6" s="74"/>
      <c r="W6" s="74"/>
      <c r="X6" s="448">
        <f>'Contents, list of sources'!T480</f>
        <v>43556</v>
      </c>
      <c r="Y6" s="447"/>
    </row>
    <row r="7" spans="1:25" ht="18.600000000000001" customHeight="1" x14ac:dyDescent="0.2">
      <c r="K7" s="369"/>
    </row>
    <row r="8" spans="1:25" ht="18.600000000000001" customHeight="1" x14ac:dyDescent="0.2">
      <c r="K8" s="369"/>
    </row>
    <row r="9" spans="1:25" s="70" customFormat="1" ht="18.600000000000001" customHeight="1" x14ac:dyDescent="0.2">
      <c r="A9" s="372"/>
      <c r="B9" s="295"/>
      <c r="C9" s="295"/>
      <c r="D9" s="295"/>
      <c r="E9" s="28"/>
      <c r="F9" s="28"/>
      <c r="G9" s="28"/>
      <c r="H9" s="28"/>
      <c r="I9" s="28"/>
      <c r="J9" s="28"/>
      <c r="K9" s="369"/>
      <c r="L9" s="28"/>
      <c r="M9" s="28"/>
      <c r="N9" s="28"/>
      <c r="O9" s="28"/>
      <c r="P9" s="28"/>
      <c r="Q9" s="28"/>
      <c r="R9" s="28"/>
      <c r="S9" s="28"/>
    </row>
    <row r="10" spans="1:25" ht="18.600000000000001" customHeight="1" x14ac:dyDescent="0.2">
      <c r="A10" s="372"/>
    </row>
    <row r="11" spans="1:25" s="271" customFormat="1" ht="18.600000000000001" customHeight="1" x14ac:dyDescent="0.3">
      <c r="B11" s="1158" t="s">
        <v>615</v>
      </c>
      <c r="E11" s="76"/>
      <c r="F11" s="76"/>
      <c r="G11" s="76"/>
      <c r="H11" s="76"/>
      <c r="I11" s="76"/>
      <c r="J11" s="76"/>
      <c r="K11" s="269"/>
      <c r="L11" s="76"/>
      <c r="M11" s="76"/>
      <c r="N11" s="76"/>
      <c r="O11" s="76"/>
      <c r="P11" s="76"/>
      <c r="Q11" s="76"/>
      <c r="R11" s="76"/>
      <c r="S11" s="76"/>
    </row>
    <row r="12" spans="1:25" s="79" customFormat="1" ht="18.600000000000001" customHeight="1" x14ac:dyDescent="0.2">
      <c r="A12" s="374"/>
    </row>
    <row r="13" spans="1:25" x14ac:dyDescent="0.2">
      <c r="A13" s="372"/>
    </row>
    <row r="14" spans="1:25" x14ac:dyDescent="0.2">
      <c r="A14" s="372"/>
    </row>
    <row r="15" spans="1:25" s="2" customFormat="1" x14ac:dyDescent="0.2">
      <c r="A15" s="481"/>
      <c r="K15" s="215"/>
      <c r="L15" s="215"/>
      <c r="M15" s="215"/>
    </row>
    <row r="16" spans="1:25" ht="14.25" x14ac:dyDescent="0.2">
      <c r="B16" s="337" t="s">
        <v>606</v>
      </c>
      <c r="C16" s="32"/>
      <c r="D16" s="32"/>
      <c r="E16" s="32"/>
      <c r="F16" s="32"/>
      <c r="G16" s="32"/>
      <c r="H16" s="32"/>
      <c r="I16" s="350"/>
      <c r="J16" s="350"/>
      <c r="K16" s="350"/>
      <c r="L16" s="350"/>
      <c r="M16" s="350"/>
      <c r="N16" s="29"/>
      <c r="O16" s="29"/>
      <c r="P16" s="29"/>
      <c r="Q16" s="29"/>
      <c r="R16" s="29"/>
    </row>
    <row r="17" spans="2:13" x14ac:dyDescent="0.2">
      <c r="B17" s="261" t="s">
        <v>120</v>
      </c>
      <c r="C17" s="637">
        <v>40724</v>
      </c>
      <c r="D17" s="637">
        <v>41090</v>
      </c>
      <c r="E17" s="637">
        <v>41455</v>
      </c>
      <c r="F17" s="637">
        <v>41820</v>
      </c>
      <c r="G17" s="637">
        <v>42185</v>
      </c>
      <c r="H17" s="637">
        <v>42551</v>
      </c>
      <c r="I17" s="637">
        <v>42916</v>
      </c>
      <c r="J17" s="637">
        <v>43281</v>
      </c>
      <c r="K17" s="638">
        <v>43646</v>
      </c>
      <c r="L17" s="32" t="s">
        <v>128</v>
      </c>
      <c r="M17" s="32"/>
    </row>
    <row r="18" spans="2:13" x14ac:dyDescent="0.2">
      <c r="B18" s="324" t="s">
        <v>4</v>
      </c>
      <c r="C18" s="976">
        <v>294457</v>
      </c>
      <c r="D18" s="976">
        <v>303550</v>
      </c>
      <c r="E18" s="976">
        <v>306229</v>
      </c>
      <c r="F18" s="976">
        <v>315099</v>
      </c>
      <c r="G18" s="976">
        <v>328209</v>
      </c>
      <c r="H18" s="976">
        <v>362891</v>
      </c>
      <c r="I18" s="976">
        <v>387569</v>
      </c>
      <c r="J18" s="976">
        <v>405925</v>
      </c>
      <c r="K18" s="977">
        <v>424052</v>
      </c>
      <c r="L18" s="32" t="s">
        <v>129</v>
      </c>
      <c r="M18" s="32"/>
    </row>
    <row r="19" spans="2:13" x14ac:dyDescent="0.2">
      <c r="B19" s="324" t="s">
        <v>3</v>
      </c>
      <c r="C19" s="976">
        <v>214273</v>
      </c>
      <c r="D19" s="976">
        <v>219221</v>
      </c>
      <c r="E19" s="976">
        <v>220151</v>
      </c>
      <c r="F19" s="976">
        <v>224063</v>
      </c>
      <c r="G19" s="976">
        <v>257015</v>
      </c>
      <c r="H19" s="976">
        <v>290297</v>
      </c>
      <c r="I19" s="976">
        <v>315523</v>
      </c>
      <c r="J19" s="976">
        <v>332016</v>
      </c>
      <c r="K19" s="977">
        <v>349072</v>
      </c>
      <c r="L19" s="32" t="s">
        <v>130</v>
      </c>
      <c r="M19" s="32"/>
    </row>
    <row r="20" spans="2:13" x14ac:dyDescent="0.2">
      <c r="B20" s="324" t="s">
        <v>7</v>
      </c>
      <c r="C20" s="976">
        <v>14503</v>
      </c>
      <c r="D20" s="976">
        <v>14768</v>
      </c>
      <c r="E20" s="976">
        <v>14943</v>
      </c>
      <c r="F20" s="976">
        <v>15977</v>
      </c>
      <c r="G20" s="976">
        <v>14794</v>
      </c>
      <c r="H20" s="976">
        <v>15410</v>
      </c>
      <c r="I20" s="976">
        <v>16009</v>
      </c>
      <c r="J20" s="976">
        <v>16435</v>
      </c>
      <c r="K20" s="977">
        <v>16074</v>
      </c>
      <c r="L20" s="32" t="s">
        <v>1014</v>
      </c>
      <c r="M20" s="32"/>
    </row>
    <row r="21" spans="2:13" x14ac:dyDescent="0.2">
      <c r="B21" s="34" t="s">
        <v>8</v>
      </c>
      <c r="C21" s="978">
        <v>2739</v>
      </c>
      <c r="D21" s="978">
        <v>3957</v>
      </c>
      <c r="E21" s="978">
        <v>4150</v>
      </c>
      <c r="F21" s="978">
        <v>3889</v>
      </c>
      <c r="G21" s="978">
        <v>6135</v>
      </c>
      <c r="H21" s="978">
        <v>9728</v>
      </c>
      <c r="I21" s="978">
        <v>10048</v>
      </c>
      <c r="J21" s="978">
        <v>10260</v>
      </c>
      <c r="K21" s="979">
        <v>11200</v>
      </c>
      <c r="L21" s="32" t="s">
        <v>131</v>
      </c>
      <c r="M21" s="32"/>
    </row>
    <row r="22" spans="2:13" x14ac:dyDescent="0.2">
      <c r="B22" s="32"/>
      <c r="C22" s="31"/>
      <c r="D22" s="31"/>
      <c r="E22" s="31"/>
      <c r="F22" s="31"/>
      <c r="G22" s="31"/>
      <c r="H22" s="31"/>
      <c r="I22" s="31"/>
      <c r="J22" s="31"/>
      <c r="K22" s="451"/>
      <c r="L22" s="32"/>
      <c r="M22" s="32"/>
    </row>
    <row r="23" spans="2:13" x14ac:dyDescent="0.2">
      <c r="B23" s="32"/>
      <c r="C23" s="31"/>
      <c r="D23" s="31"/>
      <c r="E23" s="31"/>
      <c r="F23" s="31"/>
      <c r="G23" s="31"/>
      <c r="H23" s="31"/>
      <c r="I23" s="31"/>
      <c r="J23" s="31"/>
      <c r="K23" s="32"/>
      <c r="L23" s="32"/>
      <c r="M23" s="32"/>
    </row>
    <row r="24" spans="2:13" ht="14.25" x14ac:dyDescent="0.2">
      <c r="B24" s="337" t="s">
        <v>132</v>
      </c>
      <c r="D24" s="31"/>
      <c r="E24" s="31"/>
      <c r="F24" s="31"/>
      <c r="G24" s="31"/>
      <c r="H24" s="31"/>
      <c r="I24" s="31"/>
      <c r="J24" s="31"/>
      <c r="K24" s="32"/>
      <c r="L24" s="32"/>
      <c r="M24" s="32"/>
    </row>
    <row r="25" spans="2:13" x14ac:dyDescent="0.2">
      <c r="B25" s="261" t="s">
        <v>120</v>
      </c>
      <c r="C25" s="637">
        <f>C17</f>
        <v>40724</v>
      </c>
      <c r="D25" s="637">
        <f t="shared" ref="D25:J25" si="0">D17</f>
        <v>41090</v>
      </c>
      <c r="E25" s="637">
        <f t="shared" si="0"/>
        <v>41455</v>
      </c>
      <c r="F25" s="637">
        <f t="shared" si="0"/>
        <v>41820</v>
      </c>
      <c r="G25" s="637">
        <f t="shared" si="0"/>
        <v>42185</v>
      </c>
      <c r="H25" s="637">
        <f t="shared" si="0"/>
        <v>42551</v>
      </c>
      <c r="I25" s="637">
        <f t="shared" si="0"/>
        <v>42916</v>
      </c>
      <c r="J25" s="638">
        <f t="shared" si="0"/>
        <v>43281</v>
      </c>
      <c r="K25" s="35"/>
    </row>
    <row r="26" spans="2:13" x14ac:dyDescent="0.2">
      <c r="B26" s="324" t="s">
        <v>4</v>
      </c>
      <c r="C26" s="31">
        <f>C18*'IPART inputs'!$C$18</f>
        <v>294457000</v>
      </c>
      <c r="D26" s="31">
        <f>D18*'IPART inputs'!$C$18</f>
        <v>303550000</v>
      </c>
      <c r="E26" s="31">
        <f>E18*'IPART inputs'!$C$18</f>
        <v>306229000</v>
      </c>
      <c r="F26" s="31">
        <f>F18*'IPART inputs'!$C$18</f>
        <v>315099000</v>
      </c>
      <c r="G26" s="31">
        <f>G18*'IPART inputs'!$C$18</f>
        <v>328209000</v>
      </c>
      <c r="H26" s="31">
        <f>H18*'IPART inputs'!$C$18</f>
        <v>362891000</v>
      </c>
      <c r="I26" s="31">
        <f>I18*'IPART inputs'!$C$18</f>
        <v>387569000</v>
      </c>
      <c r="J26" s="485">
        <f>J18*'IPART inputs'!$C$18</f>
        <v>405925000</v>
      </c>
      <c r="K26" s="31"/>
    </row>
    <row r="27" spans="2:13" x14ac:dyDescent="0.2">
      <c r="B27" s="324" t="s">
        <v>3</v>
      </c>
      <c r="C27" s="31">
        <f>C19*'IPART inputs'!$C$18</f>
        <v>214273000</v>
      </c>
      <c r="D27" s="31">
        <f>D19*'IPART inputs'!$C$18</f>
        <v>219221000</v>
      </c>
      <c r="E27" s="31">
        <f>E19*'IPART inputs'!$C$18</f>
        <v>220151000</v>
      </c>
      <c r="F27" s="31">
        <f>F19*'IPART inputs'!$C$18</f>
        <v>224063000</v>
      </c>
      <c r="G27" s="31">
        <f>G19*'IPART inputs'!$C$18</f>
        <v>257015000</v>
      </c>
      <c r="H27" s="31">
        <f>H19*'IPART inputs'!$C$18</f>
        <v>290297000</v>
      </c>
      <c r="I27" s="31">
        <f>I19*'IPART inputs'!$C$18</f>
        <v>315523000</v>
      </c>
      <c r="J27" s="485">
        <f>J19*'IPART inputs'!$C$18</f>
        <v>332016000</v>
      </c>
      <c r="K27" s="31"/>
    </row>
    <row r="28" spans="2:13" x14ac:dyDescent="0.2">
      <c r="B28" s="324" t="s">
        <v>7</v>
      </c>
      <c r="C28" s="31">
        <f>C20*'IPART inputs'!$C$18</f>
        <v>14503000</v>
      </c>
      <c r="D28" s="31">
        <f>D20*'IPART inputs'!$C$18</f>
        <v>14768000</v>
      </c>
      <c r="E28" s="31">
        <f>E20*'IPART inputs'!$C$18</f>
        <v>14943000</v>
      </c>
      <c r="F28" s="31">
        <f>F20*'IPART inputs'!$C$18</f>
        <v>15977000</v>
      </c>
      <c r="G28" s="31">
        <f>G20*'IPART inputs'!$C$18</f>
        <v>14794000</v>
      </c>
      <c r="H28" s="31">
        <f>H20*'IPART inputs'!$C$18</f>
        <v>15410000</v>
      </c>
      <c r="I28" s="31">
        <f>I20*'IPART inputs'!$C$18</f>
        <v>16009000</v>
      </c>
      <c r="J28" s="485">
        <f>J20*'IPART inputs'!$C$18</f>
        <v>16435000</v>
      </c>
    </row>
    <row r="29" spans="2:13" x14ac:dyDescent="0.2">
      <c r="B29" s="34" t="s">
        <v>8</v>
      </c>
      <c r="C29" s="486">
        <f>C21*'IPART inputs'!$C$18</f>
        <v>2739000</v>
      </c>
      <c r="D29" s="486">
        <f>D21*'IPART inputs'!$C$18</f>
        <v>3957000</v>
      </c>
      <c r="E29" s="486">
        <f>E21*'IPART inputs'!$C$18</f>
        <v>4150000</v>
      </c>
      <c r="F29" s="486">
        <f>F21*'IPART inputs'!$C$18</f>
        <v>3889000</v>
      </c>
      <c r="G29" s="486">
        <f>G21*'IPART inputs'!$C$18</f>
        <v>6135000</v>
      </c>
      <c r="H29" s="486">
        <f>H21*'IPART inputs'!$C$18</f>
        <v>9728000</v>
      </c>
      <c r="I29" s="486">
        <f>I21*'IPART inputs'!$C$18</f>
        <v>10048000</v>
      </c>
      <c r="J29" s="487">
        <f>J21*'IPART inputs'!$C$18</f>
        <v>10260000</v>
      </c>
    </row>
    <row r="30" spans="2:13" x14ac:dyDescent="0.2">
      <c r="B30" s="32"/>
      <c r="C30" s="32"/>
      <c r="D30" s="32"/>
      <c r="E30" s="32"/>
    </row>
    <row r="31" spans="2:13" x14ac:dyDescent="0.2">
      <c r="B31" s="32"/>
      <c r="C31" s="32"/>
      <c r="D31" s="32"/>
      <c r="E31" s="32"/>
      <c r="F31" s="32"/>
      <c r="G31" s="32"/>
      <c r="H31" s="32"/>
      <c r="I31" s="32"/>
      <c r="J31" s="32"/>
    </row>
    <row r="32" spans="2:13" ht="14.25" x14ac:dyDescent="0.2">
      <c r="B32" s="337" t="s">
        <v>133</v>
      </c>
      <c r="C32" s="32"/>
      <c r="D32" s="32"/>
      <c r="E32" s="32"/>
      <c r="F32" s="32"/>
      <c r="G32" s="32"/>
      <c r="H32" s="32"/>
      <c r="I32" s="32"/>
      <c r="J32" s="32"/>
    </row>
    <row r="33" spans="2:14" x14ac:dyDescent="0.2">
      <c r="B33" s="261" t="str">
        <f>B25</f>
        <v xml:space="preserve">Financial year ending </v>
      </c>
      <c r="C33" s="30"/>
      <c r="D33" s="30"/>
      <c r="E33" s="30"/>
      <c r="F33" s="30"/>
      <c r="G33" s="637">
        <f>G25</f>
        <v>42185</v>
      </c>
      <c r="H33" s="637">
        <f t="shared" ref="H33:J33" si="1">H25</f>
        <v>42551</v>
      </c>
      <c r="I33" s="637">
        <f t="shared" si="1"/>
        <v>42916</v>
      </c>
      <c r="J33" s="638">
        <f t="shared" si="1"/>
        <v>43281</v>
      </c>
    </row>
    <row r="34" spans="2:14" x14ac:dyDescent="0.2">
      <c r="B34" s="324" t="str">
        <f>B26</f>
        <v>Train</v>
      </c>
      <c r="C34" s="32"/>
      <c r="D34" s="451">
        <f t="shared" ref="D34:D37" si="2">D26/C26-1</f>
        <v>3.0880569998335883E-2</v>
      </c>
      <c r="E34" s="451">
        <f t="shared" ref="E34:E37" si="3">E26/D26-1</f>
        <v>8.8255641574699339E-3</v>
      </c>
      <c r="F34" s="451">
        <f t="shared" ref="F34:F37" si="4">F26/E26-1</f>
        <v>2.8965251494796451E-2</v>
      </c>
      <c r="G34" s="451">
        <f t="shared" ref="G34:J37" si="5">G26/F26-1</f>
        <v>4.160597145658973E-2</v>
      </c>
      <c r="H34" s="451">
        <f t="shared" si="5"/>
        <v>0.10567047216864855</v>
      </c>
      <c r="I34" s="451">
        <f t="shared" si="5"/>
        <v>6.800389097552717E-2</v>
      </c>
      <c r="J34" s="489">
        <f t="shared" si="5"/>
        <v>4.7361889108778144E-2</v>
      </c>
    </row>
    <row r="35" spans="2:14" x14ac:dyDescent="0.2">
      <c r="B35" s="324" t="str">
        <f>B27</f>
        <v>Bus</v>
      </c>
      <c r="C35" s="32"/>
      <c r="D35" s="451">
        <f t="shared" si="2"/>
        <v>2.3092036794183146E-2</v>
      </c>
      <c r="E35" s="451">
        <f t="shared" si="3"/>
        <v>4.242294305746297E-3</v>
      </c>
      <c r="F35" s="451">
        <f t="shared" si="4"/>
        <v>1.7769621759610388E-2</v>
      </c>
      <c r="G35" s="451">
        <f t="shared" si="5"/>
        <v>0.14706578060634734</v>
      </c>
      <c r="H35" s="451">
        <f t="shared" si="5"/>
        <v>0.12949438748711173</v>
      </c>
      <c r="I35" s="451">
        <f t="shared" si="5"/>
        <v>8.689721216547186E-2</v>
      </c>
      <c r="J35" s="489">
        <f t="shared" si="5"/>
        <v>5.2271942140509564E-2</v>
      </c>
    </row>
    <row r="36" spans="2:14" x14ac:dyDescent="0.2">
      <c r="B36" s="324" t="str">
        <f>B28</f>
        <v>Ferry</v>
      </c>
      <c r="C36" s="32"/>
      <c r="D36" s="451">
        <f t="shared" si="2"/>
        <v>1.8272081638281756E-2</v>
      </c>
      <c r="E36" s="451">
        <f t="shared" si="3"/>
        <v>1.1849945828819042E-2</v>
      </c>
      <c r="F36" s="451">
        <f t="shared" si="4"/>
        <v>6.9196279194271515E-2</v>
      </c>
      <c r="G36" s="451">
        <f t="shared" si="5"/>
        <v>-7.4043938161106548E-2</v>
      </c>
      <c r="H36" s="451">
        <f t="shared" si="5"/>
        <v>4.1638502095444174E-2</v>
      </c>
      <c r="I36" s="451">
        <f t="shared" si="5"/>
        <v>3.8870863075924689E-2</v>
      </c>
      <c r="J36" s="489">
        <f t="shared" si="5"/>
        <v>2.661003185708033E-2</v>
      </c>
    </row>
    <row r="37" spans="2:14" x14ac:dyDescent="0.2">
      <c r="B37" s="34" t="str">
        <f>B29</f>
        <v>Light rail</v>
      </c>
      <c r="C37" s="79"/>
      <c r="D37" s="454">
        <f t="shared" si="2"/>
        <v>0.44468784227820368</v>
      </c>
      <c r="E37" s="454">
        <f t="shared" si="3"/>
        <v>4.8774323982815337E-2</v>
      </c>
      <c r="F37" s="454">
        <f t="shared" si="4"/>
        <v>-6.2891566265060206E-2</v>
      </c>
      <c r="G37" s="454">
        <f t="shared" si="5"/>
        <v>0.57752635638981742</v>
      </c>
      <c r="H37" s="454">
        <f t="shared" si="5"/>
        <v>0.58565607171964129</v>
      </c>
      <c r="I37" s="454">
        <f t="shared" si="5"/>
        <v>3.289473684210531E-2</v>
      </c>
      <c r="J37" s="490">
        <f t="shared" si="5"/>
        <v>2.109872611464958E-2</v>
      </c>
    </row>
    <row r="38" spans="2:14" x14ac:dyDescent="0.2">
      <c r="B38" s="32"/>
      <c r="C38" s="32"/>
      <c r="D38" s="32"/>
      <c r="E38" s="32"/>
      <c r="F38" s="32"/>
      <c r="G38" s="32"/>
      <c r="H38" s="32"/>
      <c r="I38" s="32"/>
      <c r="J38" s="32"/>
    </row>
    <row r="39" spans="2:14" x14ac:dyDescent="0.2">
      <c r="B39" s="32"/>
      <c r="C39" s="32"/>
      <c r="D39" s="32"/>
      <c r="E39" s="32"/>
      <c r="F39" s="32"/>
      <c r="G39" s="32"/>
      <c r="H39" s="32"/>
      <c r="I39" s="32"/>
      <c r="J39" s="32"/>
    </row>
    <row r="40" spans="2:14" ht="14.25" x14ac:dyDescent="0.2">
      <c r="B40" s="337" t="s">
        <v>638</v>
      </c>
      <c r="C40" s="32"/>
      <c r="D40" s="32"/>
      <c r="E40" s="32"/>
      <c r="F40" s="32"/>
      <c r="G40" s="32"/>
      <c r="H40" s="32"/>
      <c r="I40" s="32"/>
      <c r="J40" s="32"/>
    </row>
    <row r="41" spans="2:14" x14ac:dyDescent="0.2">
      <c r="B41" s="639" t="str">
        <f>B33</f>
        <v xml:space="preserve">Financial year ending </v>
      </c>
      <c r="C41" s="640"/>
      <c r="D41" s="640"/>
      <c r="E41" s="640"/>
      <c r="F41" s="637">
        <f>F25</f>
        <v>41820</v>
      </c>
      <c r="G41" s="637">
        <f t="shared" ref="G41:J41" si="6">G25</f>
        <v>42185</v>
      </c>
      <c r="H41" s="637">
        <f t="shared" si="6"/>
        <v>42551</v>
      </c>
      <c r="I41" s="637">
        <f t="shared" si="6"/>
        <v>42916</v>
      </c>
      <c r="J41" s="638">
        <f t="shared" si="6"/>
        <v>43281</v>
      </c>
    </row>
    <row r="42" spans="2:14" x14ac:dyDescent="0.2">
      <c r="B42" s="641" t="str">
        <f>B34</f>
        <v>Train</v>
      </c>
      <c r="C42" s="341"/>
      <c r="D42" s="341"/>
      <c r="E42" s="341"/>
      <c r="F42" s="331">
        <v>1</v>
      </c>
      <c r="G42" s="341">
        <f t="shared" ref="G42:J45" si="7">F42*(1+G34)</f>
        <v>1.0416059714565897</v>
      </c>
      <c r="H42" s="341">
        <f t="shared" si="7"/>
        <v>1.1516729662740914</v>
      </c>
      <c r="I42" s="341">
        <f t="shared" si="7"/>
        <v>1.2299912091120568</v>
      </c>
      <c r="J42" s="342">
        <f t="shared" si="7"/>
        <v>1.288245916362794</v>
      </c>
    </row>
    <row r="43" spans="2:14" x14ac:dyDescent="0.2">
      <c r="B43" s="641" t="str">
        <f>B35</f>
        <v>Bus</v>
      </c>
      <c r="C43" s="341"/>
      <c r="D43" s="341"/>
      <c r="E43" s="341"/>
      <c r="F43" s="331">
        <v>1</v>
      </c>
      <c r="G43" s="341">
        <f t="shared" si="7"/>
        <v>1.1470657806063473</v>
      </c>
      <c r="H43" s="341">
        <f t="shared" si="7"/>
        <v>1.2956043612733921</v>
      </c>
      <c r="I43" s="341">
        <f t="shared" si="7"/>
        <v>1.4081887683374767</v>
      </c>
      <c r="J43" s="342">
        <f t="shared" si="7"/>
        <v>1.4817975301589288</v>
      </c>
    </row>
    <row r="44" spans="2:14" x14ac:dyDescent="0.2">
      <c r="B44" s="641" t="str">
        <f>B36</f>
        <v>Ferry</v>
      </c>
      <c r="C44" s="341"/>
      <c r="D44" s="341"/>
      <c r="E44" s="341"/>
      <c r="F44" s="331">
        <v>1</v>
      </c>
      <c r="G44" s="341">
        <f t="shared" si="7"/>
        <v>0.92595606183889345</v>
      </c>
      <c r="H44" s="341">
        <f t="shared" si="7"/>
        <v>0.96451148526006147</v>
      </c>
      <c r="I44" s="341">
        <f t="shared" si="7"/>
        <v>1.0020028791387621</v>
      </c>
      <c r="J44" s="342">
        <f t="shared" si="7"/>
        <v>1.0286662076735307</v>
      </c>
    </row>
    <row r="45" spans="2:14" x14ac:dyDescent="0.2">
      <c r="B45" s="642" t="str">
        <f>B37</f>
        <v>Light rail</v>
      </c>
      <c r="C45" s="343"/>
      <c r="D45" s="343"/>
      <c r="E45" s="343"/>
      <c r="F45" s="333">
        <v>1</v>
      </c>
      <c r="G45" s="343">
        <f t="shared" si="7"/>
        <v>1.5775263563898174</v>
      </c>
      <c r="H45" s="343">
        <f t="shared" si="7"/>
        <v>2.5014142453072767</v>
      </c>
      <c r="I45" s="343">
        <f t="shared" si="7"/>
        <v>2.5836976086397532</v>
      </c>
      <c r="J45" s="344">
        <f t="shared" si="7"/>
        <v>2.6382103368475183</v>
      </c>
    </row>
    <row r="46" spans="2:14" x14ac:dyDescent="0.2">
      <c r="B46" s="32"/>
      <c r="C46" s="32"/>
      <c r="D46" s="32"/>
      <c r="E46" s="32"/>
      <c r="F46" s="32"/>
      <c r="G46" s="32"/>
      <c r="H46" s="32"/>
      <c r="I46" s="32"/>
      <c r="J46" s="32"/>
    </row>
    <row r="47" spans="2:14" x14ac:dyDescent="0.2">
      <c r="B47" s="32"/>
      <c r="C47" s="32"/>
      <c r="D47" s="32"/>
      <c r="E47" s="32"/>
      <c r="F47" s="32"/>
      <c r="G47" s="32"/>
      <c r="H47" s="32"/>
      <c r="I47" s="32"/>
      <c r="J47" s="32"/>
    </row>
    <row r="48" spans="2:14" ht="18" customHeight="1" x14ac:dyDescent="0.2">
      <c r="B48" s="337" t="s">
        <v>776</v>
      </c>
      <c r="C48" s="32"/>
      <c r="D48" s="32"/>
      <c r="E48" s="32"/>
      <c r="F48" s="32"/>
      <c r="G48" s="32"/>
      <c r="H48" s="32"/>
      <c r="I48" s="32"/>
      <c r="J48" s="32"/>
      <c r="M48" s="1373" t="str">
        <f>B56</f>
        <v>Change in patronage by mode - cumulative % from 2013-14 to 2017-18</v>
      </c>
      <c r="N48" s="1373"/>
    </row>
    <row r="49" spans="2:14" x14ac:dyDescent="0.2">
      <c r="B49" s="261" t="str">
        <f>B33</f>
        <v xml:space="preserve">Financial year ending </v>
      </c>
      <c r="C49" s="30"/>
      <c r="D49" s="30"/>
      <c r="E49" s="30"/>
      <c r="F49" s="637">
        <f>F41</f>
        <v>41820</v>
      </c>
      <c r="G49" s="637">
        <f t="shared" ref="G49:J49" si="8">G41</f>
        <v>42185</v>
      </c>
      <c r="H49" s="637">
        <f t="shared" si="8"/>
        <v>42551</v>
      </c>
      <c r="I49" s="637">
        <f t="shared" si="8"/>
        <v>42916</v>
      </c>
      <c r="J49" s="638">
        <f t="shared" si="8"/>
        <v>43281</v>
      </c>
      <c r="M49" s="1373"/>
      <c r="N49" s="1373"/>
    </row>
    <row r="50" spans="2:14" x14ac:dyDescent="0.2">
      <c r="B50" s="324" t="str">
        <f>'Patronage since 2011-12'!B42</f>
        <v>Train</v>
      </c>
      <c r="C50" s="32"/>
      <c r="D50" s="32"/>
      <c r="E50" s="32"/>
      <c r="F50" s="451">
        <f>'Patronage since 2011-12'!F42-1</f>
        <v>0</v>
      </c>
      <c r="G50" s="451">
        <f>'Patronage since 2011-12'!G42-1</f>
        <v>4.160597145658973E-2</v>
      </c>
      <c r="H50" s="451">
        <f>'Patronage since 2011-12'!H42-1</f>
        <v>0.15167296627409144</v>
      </c>
      <c r="I50" s="451">
        <f>'Patronage since 2011-12'!I42-1</f>
        <v>0.22999120911205684</v>
      </c>
      <c r="J50" s="489">
        <f>'Patronage since 2011-12'!J42-1</f>
        <v>0.28824591636279395</v>
      </c>
    </row>
    <row r="51" spans="2:14" x14ac:dyDescent="0.2">
      <c r="B51" s="324" t="str">
        <f>'Patronage since 2011-12'!B43</f>
        <v>Bus</v>
      </c>
      <c r="C51" s="32"/>
      <c r="D51" s="32"/>
      <c r="E51" s="32"/>
      <c r="F51" s="451">
        <f>'Patronage since 2011-12'!F43-1</f>
        <v>0</v>
      </c>
      <c r="G51" s="451">
        <f>'Patronage since 2011-12'!G43-1</f>
        <v>0.14706578060634734</v>
      </c>
      <c r="H51" s="451">
        <f>'Patronage since 2011-12'!H43-1</f>
        <v>0.29560436127339207</v>
      </c>
      <c r="I51" s="451">
        <f>'Patronage since 2011-12'!I43-1</f>
        <v>0.40818876833747675</v>
      </c>
      <c r="J51" s="489">
        <f>'Patronage since 2011-12'!J43-1</f>
        <v>0.48179753015892879</v>
      </c>
    </row>
    <row r="52" spans="2:14" x14ac:dyDescent="0.2">
      <c r="B52" s="324" t="str">
        <f>'Patronage since 2011-12'!B44</f>
        <v>Ferry</v>
      </c>
      <c r="C52" s="32"/>
      <c r="D52" s="32"/>
      <c r="E52" s="32"/>
      <c r="F52" s="451">
        <f>'Patronage since 2011-12'!F44-1</f>
        <v>0</v>
      </c>
      <c r="G52" s="451">
        <f>'Patronage since 2011-12'!G44-1</f>
        <v>-7.4043938161106548E-2</v>
      </c>
      <c r="H52" s="451">
        <f>'Patronage since 2011-12'!H44-1</f>
        <v>-3.5488514739938526E-2</v>
      </c>
      <c r="I52" s="451">
        <f>'Patronage since 2011-12'!I44-1</f>
        <v>2.0028791387620704E-3</v>
      </c>
      <c r="J52" s="489">
        <f>'Patronage since 2011-12'!J44-1</f>
        <v>2.8666207673530675E-2</v>
      </c>
    </row>
    <row r="53" spans="2:14" x14ac:dyDescent="0.2">
      <c r="B53" s="34" t="s">
        <v>8</v>
      </c>
      <c r="C53" s="79"/>
      <c r="D53" s="79"/>
      <c r="E53" s="79"/>
      <c r="F53" s="454">
        <f>'Patronage since 2011-12'!F45-1</f>
        <v>0</v>
      </c>
      <c r="G53" s="454">
        <f>'Patronage since 2011-12'!G45-1</f>
        <v>0.57752635638981742</v>
      </c>
      <c r="H53" s="454">
        <f>'Patronage since 2011-12'!H45-1</f>
        <v>1.5014142453072767</v>
      </c>
      <c r="I53" s="454">
        <f>'Patronage since 2011-12'!I45-1</f>
        <v>1.5836976086397532</v>
      </c>
      <c r="J53" s="490">
        <f>'Patronage since 2011-12'!J45-1</f>
        <v>1.6382103368475183</v>
      </c>
    </row>
    <row r="54" spans="2:14" x14ac:dyDescent="0.2">
      <c r="B54" s="32"/>
      <c r="C54" s="32"/>
      <c r="D54" s="32"/>
      <c r="E54" s="32"/>
      <c r="F54" s="32"/>
      <c r="G54" s="32"/>
      <c r="H54" s="32"/>
      <c r="I54" s="32"/>
      <c r="J54" s="32"/>
    </row>
    <row r="55" spans="2:14" ht="15" customHeight="1" x14ac:dyDescent="0.2">
      <c r="B55" s="32"/>
      <c r="C55" s="32"/>
      <c r="D55" s="32"/>
      <c r="E55" s="32"/>
      <c r="F55" s="32"/>
      <c r="G55" s="32"/>
      <c r="H55" s="32"/>
      <c r="I55" s="32"/>
      <c r="J55" s="32"/>
    </row>
    <row r="56" spans="2:14" ht="14.25" x14ac:dyDescent="0.2">
      <c r="B56" s="337" t="str">
        <f>B48</f>
        <v>Change in patronage by mode - cumulative % from 2013-14 to 2017-18</v>
      </c>
      <c r="C56" s="295"/>
      <c r="D56" s="295"/>
      <c r="E56" s="32"/>
      <c r="F56" s="32"/>
      <c r="G56" s="32"/>
      <c r="H56" s="32"/>
      <c r="I56" s="32"/>
      <c r="J56" s="32"/>
    </row>
    <row r="57" spans="2:14" x14ac:dyDescent="0.2">
      <c r="B57" s="261" t="str">
        <f>B50</f>
        <v>Train</v>
      </c>
      <c r="C57" s="349"/>
      <c r="D57" s="349"/>
      <c r="E57" s="30"/>
      <c r="F57" s="30"/>
      <c r="G57" s="30"/>
      <c r="H57" s="30"/>
      <c r="I57" s="30"/>
      <c r="J57" s="643">
        <f>J50</f>
        <v>0.28824591636279395</v>
      </c>
    </row>
    <row r="58" spans="2:14" x14ac:dyDescent="0.2">
      <c r="B58" s="324" t="str">
        <f>B51</f>
        <v>Bus</v>
      </c>
      <c r="C58" s="32"/>
      <c r="D58" s="32"/>
      <c r="E58" s="32"/>
      <c r="F58" s="32"/>
      <c r="G58" s="32"/>
      <c r="H58" s="32"/>
      <c r="I58" s="32"/>
      <c r="J58" s="495">
        <f>J51</f>
        <v>0.48179753015892879</v>
      </c>
    </row>
    <row r="59" spans="2:14" x14ac:dyDescent="0.2">
      <c r="B59" s="324" t="str">
        <f>B52</f>
        <v>Ferry</v>
      </c>
      <c r="C59" s="32"/>
      <c r="D59" s="32"/>
      <c r="E59" s="32"/>
      <c r="F59" s="32"/>
      <c r="G59" s="32"/>
      <c r="H59" s="32"/>
      <c r="I59" s="32"/>
      <c r="J59" s="495">
        <f>J52</f>
        <v>2.8666207673530675E-2</v>
      </c>
    </row>
    <row r="60" spans="2:14" x14ac:dyDescent="0.2">
      <c r="B60" s="34" t="s">
        <v>8</v>
      </c>
      <c r="C60" s="79"/>
      <c r="D60" s="79"/>
      <c r="E60" s="79"/>
      <c r="F60" s="79"/>
      <c r="G60" s="79"/>
      <c r="H60" s="79"/>
      <c r="I60" s="79"/>
      <c r="J60" s="496">
        <f>J53</f>
        <v>1.6382103368475183</v>
      </c>
    </row>
    <row r="61" spans="2:14" x14ac:dyDescent="0.2">
      <c r="B61" s="32"/>
      <c r="C61" s="32"/>
      <c r="D61" s="32"/>
      <c r="E61" s="32"/>
      <c r="F61" s="32"/>
      <c r="G61" s="32"/>
      <c r="H61" s="32"/>
      <c r="I61" s="32"/>
      <c r="J61" s="32"/>
    </row>
    <row r="64" spans="2:14" x14ac:dyDescent="0.2">
      <c r="C64" s="975"/>
    </row>
  </sheetData>
  <mergeCells count="1">
    <mergeCell ref="M48:N4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Y41"/>
  <sheetViews>
    <sheetView showGridLines="0" zoomScale="75" zoomScaleNormal="75" workbookViewId="0"/>
  </sheetViews>
  <sheetFormatPr defaultColWidth="9" defaultRowHeight="12" x14ac:dyDescent="0.2"/>
  <cols>
    <col min="1" max="1" width="14.42578125" style="352" customWidth="1"/>
    <col min="2" max="2" width="39.42578125" style="352" customWidth="1"/>
    <col min="3" max="3" width="18.7109375" style="352" customWidth="1"/>
    <col min="4" max="4" width="15.42578125" style="352" customWidth="1"/>
    <col min="5" max="5" width="13.42578125" style="352" customWidth="1"/>
    <col min="6" max="6" width="13.28515625" style="352" customWidth="1"/>
    <col min="7" max="7" width="14.85546875" style="352" customWidth="1"/>
    <col min="8" max="8" width="9" style="352"/>
    <col min="9" max="9" width="26.7109375" style="352" customWidth="1"/>
    <col min="10" max="10" width="9" style="352"/>
    <col min="11" max="11" width="17.140625" style="352" customWidth="1"/>
    <col min="12" max="13" width="9" style="352"/>
    <col min="14" max="14" width="21.7109375" style="352" customWidth="1"/>
    <col min="15" max="16384" width="9" style="352"/>
  </cols>
  <sheetData>
    <row r="1" spans="1:25" ht="18.600000000000001" customHeight="1" x14ac:dyDescent="0.2"/>
    <row r="2" spans="1:25" ht="18.600000000000001" customHeight="1" x14ac:dyDescent="0.2"/>
    <row r="3" spans="1:25" ht="18.600000000000001" customHeight="1" x14ac:dyDescent="0.2">
      <c r="K3" s="82" t="s">
        <v>409</v>
      </c>
    </row>
    <row r="4" spans="1:25" ht="18.600000000000001" customHeight="1" x14ac:dyDescent="0.2"/>
    <row r="5" spans="1:25" s="679" customFormat="1" ht="18.600000000000001" customHeight="1" x14ac:dyDescent="0.2">
      <c r="K5" s="679" t="str">
        <f>'Contents, list of sources'!G17</f>
        <v>Organisation</v>
      </c>
      <c r="M5" s="679" t="str">
        <f>'Contents, list of sources'!I17</f>
        <v>Title</v>
      </c>
      <c r="X5" s="528"/>
    </row>
    <row r="6" spans="1:25" ht="18.600000000000001" customHeight="1" x14ac:dyDescent="0.2">
      <c r="K6" s="74" t="str">
        <f>'Contents, list of sources'!G483</f>
        <v>IPART</v>
      </c>
      <c r="L6" s="74"/>
      <c r="M6" s="74" t="str">
        <f>'Contents, list of sources'!I483</f>
        <v>Externality model</v>
      </c>
      <c r="N6" s="74"/>
      <c r="O6" s="74"/>
      <c r="P6" s="74"/>
      <c r="Q6" s="191"/>
      <c r="R6" s="74"/>
      <c r="S6" s="74"/>
      <c r="T6" s="74"/>
      <c r="U6" s="74"/>
      <c r="V6" s="74"/>
      <c r="W6" s="74"/>
      <c r="X6" s="74"/>
      <c r="Y6" s="74"/>
    </row>
    <row r="7" spans="1:25" ht="18.600000000000001" customHeight="1" x14ac:dyDescent="0.2">
      <c r="E7" s="28"/>
      <c r="F7" s="28"/>
      <c r="G7" s="28"/>
      <c r="H7" s="28"/>
      <c r="I7" s="28"/>
      <c r="J7" s="28"/>
      <c r="K7" s="369"/>
      <c r="L7" s="28"/>
      <c r="M7" s="28"/>
      <c r="N7" s="28"/>
      <c r="O7" s="28"/>
      <c r="P7" s="28"/>
      <c r="Q7" s="28"/>
      <c r="R7" s="28"/>
      <c r="S7" s="28"/>
    </row>
    <row r="8" spans="1:25" ht="18.600000000000001" customHeight="1" x14ac:dyDescent="0.2">
      <c r="E8" s="28"/>
      <c r="F8" s="28"/>
      <c r="G8" s="28"/>
      <c r="H8" s="28"/>
      <c r="I8" s="28"/>
      <c r="J8" s="28"/>
      <c r="K8" s="28"/>
      <c r="L8" s="28"/>
      <c r="M8" s="28"/>
      <c r="N8" s="28"/>
      <c r="O8" s="28"/>
      <c r="P8" s="28"/>
      <c r="Q8" s="28"/>
      <c r="R8" s="28"/>
      <c r="S8" s="28"/>
    </row>
    <row r="9" spans="1:25" s="28" customFormat="1" ht="18.600000000000001" customHeight="1" x14ac:dyDescent="0.2">
      <c r="A9" s="372"/>
      <c r="B9" s="32"/>
      <c r="D9" s="32"/>
      <c r="K9" s="369"/>
    </row>
    <row r="10" spans="1:25" s="28" customFormat="1" ht="18.600000000000001" customHeight="1" x14ac:dyDescent="0.2">
      <c r="A10" s="372"/>
      <c r="K10" s="369"/>
    </row>
    <row r="11" spans="1:25" s="270" customFormat="1" ht="18.600000000000001" customHeight="1" x14ac:dyDescent="0.3">
      <c r="B11" s="373" t="s">
        <v>407</v>
      </c>
      <c r="E11" s="271"/>
      <c r="F11" s="271"/>
      <c r="G11" s="271"/>
      <c r="H11" s="271"/>
      <c r="I11" s="271"/>
      <c r="J11" s="271"/>
      <c r="K11" s="271"/>
      <c r="L11" s="271"/>
      <c r="M11" s="271"/>
      <c r="N11" s="271"/>
      <c r="O11" s="271"/>
      <c r="P11" s="271"/>
      <c r="Q11" s="271"/>
      <c r="R11" s="271"/>
      <c r="S11" s="271"/>
    </row>
    <row r="12" spans="1:25" s="79" customFormat="1" ht="18.600000000000001" customHeight="1" x14ac:dyDescent="0.2">
      <c r="A12" s="374"/>
    </row>
    <row r="13" spans="1:25" s="28" customFormat="1" x14ac:dyDescent="0.2">
      <c r="A13" s="372"/>
      <c r="B13" s="32"/>
      <c r="D13" s="32"/>
      <c r="E13" s="32"/>
    </row>
    <row r="14" spans="1:25" x14ac:dyDescent="0.2">
      <c r="B14" s="9"/>
      <c r="C14" s="9"/>
      <c r="D14" s="9"/>
    </row>
    <row r="28" spans="2:17" x14ac:dyDescent="0.2">
      <c r="G28" s="10"/>
      <c r="L28" s="10"/>
      <c r="Q28" s="10"/>
    </row>
    <row r="29" spans="2:17" ht="14.25" x14ac:dyDescent="0.2">
      <c r="B29" s="21" t="s">
        <v>115</v>
      </c>
      <c r="C29" s="51"/>
      <c r="D29" s="351"/>
      <c r="I29" s="351"/>
    </row>
    <row r="30" spans="2:17" x14ac:dyDescent="0.2">
      <c r="B30" s="287"/>
      <c r="C30" s="56"/>
      <c r="D30" s="351"/>
      <c r="I30" s="351"/>
    </row>
    <row r="31" spans="2:17" ht="34.5" customHeight="1" x14ac:dyDescent="0.2">
      <c r="B31" s="160" t="s">
        <v>603</v>
      </c>
      <c r="C31" s="297" t="s">
        <v>604</v>
      </c>
      <c r="D31" s="351"/>
      <c r="I31" s="351"/>
    </row>
    <row r="32" spans="2:17" x14ac:dyDescent="0.2">
      <c r="B32" s="287" t="s">
        <v>113</v>
      </c>
      <c r="C32" s="623">
        <v>0.7837176038280439</v>
      </c>
      <c r="D32" s="351"/>
      <c r="I32" s="351"/>
    </row>
    <row r="33" spans="2:10" x14ac:dyDescent="0.2">
      <c r="B33" s="287" t="s">
        <v>114</v>
      </c>
      <c r="C33" s="623">
        <v>2.4966580028262863E-2</v>
      </c>
      <c r="D33" s="351"/>
      <c r="I33" s="351"/>
    </row>
    <row r="34" spans="2:10" x14ac:dyDescent="0.2">
      <c r="B34" s="287" t="s">
        <v>111</v>
      </c>
      <c r="C34" s="623">
        <v>4.9315390894847395E-3</v>
      </c>
      <c r="D34" s="351"/>
      <c r="I34" s="351"/>
    </row>
    <row r="35" spans="2:10" x14ac:dyDescent="0.2">
      <c r="B35" s="287" t="s">
        <v>110</v>
      </c>
      <c r="C35" s="623">
        <v>5.4189222589422326E-2</v>
      </c>
      <c r="D35" s="351"/>
      <c r="I35" s="351"/>
    </row>
    <row r="36" spans="2:10" x14ac:dyDescent="0.2">
      <c r="B36" s="287" t="s">
        <v>112</v>
      </c>
      <c r="C36" s="623">
        <v>0.13219505446478616</v>
      </c>
      <c r="D36" s="351"/>
      <c r="I36" s="351"/>
    </row>
    <row r="37" spans="2:10" x14ac:dyDescent="0.2">
      <c r="B37" s="287"/>
      <c r="C37" s="56"/>
      <c r="D37" s="351"/>
      <c r="I37" s="351"/>
    </row>
    <row r="38" spans="2:10" x14ac:dyDescent="0.2">
      <c r="B38" s="287" t="s">
        <v>5</v>
      </c>
      <c r="C38" s="298">
        <f>SUM(C32:C36)</f>
        <v>1</v>
      </c>
      <c r="D38" s="351"/>
      <c r="I38" s="351"/>
    </row>
    <row r="39" spans="2:10" x14ac:dyDescent="0.2">
      <c r="B39" s="288"/>
      <c r="C39" s="49"/>
      <c r="D39" s="351"/>
      <c r="I39" s="351"/>
    </row>
    <row r="40" spans="2:10" x14ac:dyDescent="0.2">
      <c r="D40" s="351"/>
      <c r="E40" s="351"/>
      <c r="F40" s="351"/>
      <c r="G40" s="351"/>
      <c r="H40" s="351"/>
      <c r="I40" s="351"/>
    </row>
    <row r="41" spans="2:10" x14ac:dyDescent="0.2">
      <c r="D41" s="351"/>
      <c r="E41" s="351"/>
      <c r="F41" s="351"/>
      <c r="G41" s="351"/>
      <c r="H41" s="351"/>
      <c r="I41" s="351"/>
      <c r="J41" s="351"/>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Y65"/>
  <sheetViews>
    <sheetView showGridLines="0" zoomScale="75" zoomScaleNormal="75" workbookViewId="0"/>
  </sheetViews>
  <sheetFormatPr defaultColWidth="9" defaultRowHeight="12" x14ac:dyDescent="0.2"/>
  <cols>
    <col min="1" max="1" width="14.42578125" style="352" customWidth="1"/>
    <col min="2" max="2" width="39.42578125" style="352" customWidth="1"/>
    <col min="3" max="3" width="18.7109375" style="352" customWidth="1"/>
    <col min="4" max="4" width="15.42578125" style="352" customWidth="1"/>
    <col min="5" max="5" width="7.28515625" style="352" customWidth="1"/>
    <col min="6" max="6" width="17.28515625" style="352" customWidth="1"/>
    <col min="7" max="7" width="12.42578125" style="352" bestFit="1" customWidth="1"/>
    <col min="8" max="8" width="13.7109375" style="352" bestFit="1" customWidth="1"/>
    <col min="9" max="11" width="13.28515625" style="352" bestFit="1" customWidth="1"/>
    <col min="12" max="12" width="13.7109375" style="352" bestFit="1" customWidth="1"/>
    <col min="13" max="13" width="33.28515625" style="352" customWidth="1"/>
    <col min="14" max="16384" width="9" style="352"/>
  </cols>
  <sheetData>
    <row r="1" spans="1:25" ht="18.600000000000001" customHeight="1" x14ac:dyDescent="0.2">
      <c r="A1" s="352" t="s">
        <v>439</v>
      </c>
    </row>
    <row r="2" spans="1:25" ht="18.600000000000001" customHeight="1" x14ac:dyDescent="0.2"/>
    <row r="3" spans="1:25" ht="18.600000000000001" customHeight="1" x14ac:dyDescent="0.2">
      <c r="K3" s="82" t="s">
        <v>409</v>
      </c>
    </row>
    <row r="4" spans="1:25" ht="18.600000000000001" customHeight="1" x14ac:dyDescent="0.2"/>
    <row r="5" spans="1:25" s="679" customFormat="1" ht="18.600000000000001" customHeight="1" x14ac:dyDescent="0.2">
      <c r="K5" s="28" t="str">
        <f>'Contents, list of sources'!G17</f>
        <v>Organisation</v>
      </c>
      <c r="L5" s="28"/>
      <c r="M5" s="28" t="str">
        <f>'Contents, list of sources'!I17</f>
        <v>Title</v>
      </c>
      <c r="N5" s="28"/>
      <c r="O5" s="28"/>
      <c r="P5" s="28"/>
      <c r="Q5" s="28" t="str">
        <f>'Contents, list of sources'!M17</f>
        <v>Date published</v>
      </c>
      <c r="R5" s="28" t="str">
        <f>'Contents, list of sources'!N17</f>
        <v>Pg</v>
      </c>
      <c r="S5" s="28"/>
      <c r="T5" s="28"/>
      <c r="U5" s="28"/>
      <c r="V5" s="28"/>
      <c r="W5" s="28"/>
      <c r="X5" s="28"/>
      <c r="Y5" s="28"/>
    </row>
    <row r="6" spans="1:25" ht="18.600000000000001" customHeight="1" x14ac:dyDescent="0.2">
      <c r="K6" s="447" t="str">
        <f>'Contents, list of sources'!G479</f>
        <v>Transport for NSW</v>
      </c>
      <c r="L6" s="74"/>
      <c r="M6" s="447" t="str">
        <f>'Contents, list of sources'!I479</f>
        <v>Annual regulatory return</v>
      </c>
      <c r="N6" s="74"/>
      <c r="O6" s="74"/>
      <c r="P6" s="74"/>
      <c r="Q6" s="448" t="str">
        <f>'Contents, list of sources'!M479</f>
        <v>Received 4 April 2019</v>
      </c>
      <c r="R6" s="74"/>
      <c r="S6" s="74"/>
      <c r="T6" s="74"/>
      <c r="U6" s="74"/>
      <c r="V6" s="74"/>
      <c r="W6" s="74"/>
      <c r="X6" s="447"/>
      <c r="Y6" s="447"/>
    </row>
    <row r="7" spans="1:25" ht="18.600000000000001" customHeight="1" x14ac:dyDescent="0.2">
      <c r="E7" s="28"/>
      <c r="F7" s="28"/>
      <c r="G7" s="28"/>
      <c r="H7" s="28"/>
      <c r="I7" s="28"/>
      <c r="J7" s="28"/>
      <c r="K7" s="369"/>
      <c r="L7" s="28"/>
      <c r="M7" s="28"/>
      <c r="N7" s="28"/>
      <c r="O7" s="28"/>
      <c r="P7" s="28"/>
      <c r="Q7" s="28"/>
      <c r="R7" s="28"/>
      <c r="S7" s="28"/>
    </row>
    <row r="8" spans="1:25" ht="18.600000000000001" customHeight="1" x14ac:dyDescent="0.2">
      <c r="E8" s="28"/>
      <c r="F8" s="28"/>
      <c r="G8" s="28"/>
      <c r="H8" s="28"/>
      <c r="I8" s="28"/>
      <c r="J8" s="28"/>
      <c r="K8" s="369"/>
      <c r="L8" s="28"/>
      <c r="M8" s="28"/>
      <c r="N8" s="28"/>
      <c r="O8" s="28"/>
      <c r="P8" s="28"/>
      <c r="Q8" s="28"/>
      <c r="R8" s="28"/>
      <c r="S8" s="28"/>
    </row>
    <row r="9" spans="1:25" s="70" customFormat="1" ht="18.600000000000001" customHeight="1" x14ac:dyDescent="0.2">
      <c r="A9" s="372"/>
      <c r="B9" s="497"/>
      <c r="D9" s="295"/>
    </row>
    <row r="10" spans="1:25" s="28" customFormat="1" ht="18.600000000000001" customHeight="1" x14ac:dyDescent="0.2">
      <c r="A10" s="372"/>
      <c r="K10" s="369"/>
    </row>
    <row r="11" spans="1:25" s="270" customFormat="1" ht="18.600000000000001" customHeight="1" x14ac:dyDescent="0.3">
      <c r="B11" s="450" t="s">
        <v>406</v>
      </c>
      <c r="E11" s="76"/>
      <c r="F11" s="76"/>
      <c r="G11" s="76"/>
      <c r="H11" s="76"/>
      <c r="I11" s="76"/>
      <c r="J11" s="76"/>
      <c r="K11" s="269"/>
      <c r="L11" s="76"/>
      <c r="M11" s="76"/>
      <c r="N11" s="76"/>
      <c r="O11" s="76"/>
      <c r="P11" s="76"/>
      <c r="Q11" s="76"/>
      <c r="R11" s="76"/>
      <c r="S11" s="76"/>
    </row>
    <row r="12" spans="1:25" s="79" customFormat="1" ht="18.600000000000001" customHeight="1" x14ac:dyDescent="0.2">
      <c r="A12" s="374"/>
      <c r="C12" s="498"/>
    </row>
    <row r="13" spans="1:25" s="28" customFormat="1" x14ac:dyDescent="0.2">
      <c r="A13" s="372"/>
    </row>
    <row r="14" spans="1:25" s="28" customFormat="1" x14ac:dyDescent="0.2"/>
    <row r="15" spans="1:25" s="28" customFormat="1" x14ac:dyDescent="0.2">
      <c r="F15" s="32"/>
      <c r="G15" s="32"/>
      <c r="H15" s="32"/>
      <c r="I15" s="32"/>
      <c r="J15" s="32"/>
      <c r="K15" s="32"/>
      <c r="L15" s="32"/>
    </row>
    <row r="16" spans="1:25" ht="14.25" x14ac:dyDescent="0.2">
      <c r="F16" s="20" t="s">
        <v>220</v>
      </c>
      <c r="G16" s="9"/>
      <c r="H16" s="9"/>
      <c r="I16" s="9"/>
      <c r="J16" s="9"/>
      <c r="K16" s="9"/>
      <c r="L16" s="9"/>
    </row>
    <row r="17" spans="6:21" x14ac:dyDescent="0.2">
      <c r="F17" s="377"/>
      <c r="G17" s="65"/>
      <c r="H17" s="30" t="s">
        <v>18</v>
      </c>
      <c r="I17" s="30" t="s">
        <v>19</v>
      </c>
      <c r="J17" s="30" t="s">
        <v>20</v>
      </c>
      <c r="K17" s="488" t="s">
        <v>6</v>
      </c>
      <c r="L17" s="32"/>
      <c r="M17" s="28"/>
      <c r="N17" s="28"/>
      <c r="O17" s="28"/>
      <c r="P17" s="28"/>
      <c r="Q17" s="28"/>
      <c r="R17" s="28"/>
      <c r="S17" s="28"/>
      <c r="T17" s="28"/>
      <c r="U17" s="28"/>
    </row>
    <row r="18" spans="6:21" x14ac:dyDescent="0.2">
      <c r="F18" s="22" t="s">
        <v>4</v>
      </c>
      <c r="G18" s="9"/>
      <c r="H18" s="341">
        <f>'TfNSW cost revenue data'!M10/'TfNSW cost revenue data'!L10-1</f>
        <v>-3.4413044121563652E-2</v>
      </c>
      <c r="I18" s="341">
        <f>'TfNSW cost revenue data'!N10/'TfNSW cost revenue data'!M10-1</f>
        <v>1.6316233365042399E-2</v>
      </c>
      <c r="J18" s="341">
        <f>'TfNSW cost revenue data'!O10/'TfNSW cost revenue data'!N10-1</f>
        <v>8.0752706070233549E-2</v>
      </c>
      <c r="K18" s="342">
        <f>'TfNSW cost revenue data'!P10/'TfNSW cost revenue data'!O10-1</f>
        <v>8.9940860101047848E-2</v>
      </c>
      <c r="L18" s="32"/>
      <c r="M18" s="28"/>
      <c r="N18" s="28"/>
      <c r="O18" s="28"/>
      <c r="P18" s="28"/>
      <c r="Q18" s="28"/>
      <c r="R18" s="28"/>
      <c r="S18" s="28"/>
      <c r="T18" s="28"/>
      <c r="U18" s="28"/>
    </row>
    <row r="19" spans="6:21" x14ac:dyDescent="0.2">
      <c r="F19" s="22" t="s">
        <v>3</v>
      </c>
      <c r="G19" s="9"/>
      <c r="H19" s="341">
        <f>'TfNSW cost revenue data'!M14/'TfNSW cost revenue data'!L14-1</f>
        <v>-1.5649221435230953E-2</v>
      </c>
      <c r="I19" s="341">
        <f>'TfNSW cost revenue data'!N14/'TfNSW cost revenue data'!M14-1</f>
        <v>8.1604899177815771E-2</v>
      </c>
      <c r="J19" s="341">
        <f>'TfNSW cost revenue data'!O14/'TfNSW cost revenue data'!N14-1</f>
        <v>6.9712851746807747E-2</v>
      </c>
      <c r="K19" s="342">
        <f>'TfNSW cost revenue data'!P14/'TfNSW cost revenue data'!O14-1</f>
        <v>7.3614939495239673E-2</v>
      </c>
      <c r="L19" s="32"/>
      <c r="M19" s="28"/>
      <c r="N19" s="28"/>
      <c r="O19" s="28"/>
      <c r="P19" s="28"/>
      <c r="Q19" s="28"/>
      <c r="R19" s="28"/>
      <c r="S19" s="28"/>
      <c r="T19" s="28"/>
      <c r="U19" s="28"/>
    </row>
    <row r="20" spans="6:21" x14ac:dyDescent="0.2">
      <c r="F20" s="22" t="s">
        <v>7</v>
      </c>
      <c r="G20" s="9"/>
      <c r="H20" s="341">
        <f>'TfNSW cost revenue data'!M18/'TfNSW cost revenue data'!L18-1</f>
        <v>-4.6610079800182058E-2</v>
      </c>
      <c r="I20" s="341">
        <f>'TfNSW cost revenue data'!N18/'TfNSW cost revenue data'!M18-1</f>
        <v>7.4199063075864213E-2</v>
      </c>
      <c r="J20" s="341">
        <f>'TfNSW cost revenue data'!O18/'TfNSW cost revenue data'!N18-1</f>
        <v>3.2656098216315543E-2</v>
      </c>
      <c r="K20" s="342">
        <f>'TfNSW cost revenue data'!P18/'TfNSW cost revenue data'!O18-1</f>
        <v>6.1745691811940784E-2</v>
      </c>
      <c r="L20" s="32"/>
      <c r="M20" s="28"/>
      <c r="N20" s="28"/>
      <c r="O20" s="28"/>
      <c r="P20" s="28"/>
      <c r="Q20" s="28"/>
      <c r="R20" s="28"/>
      <c r="S20" s="28"/>
      <c r="T20" s="28"/>
      <c r="U20" s="28"/>
    </row>
    <row r="21" spans="6:21" x14ac:dyDescent="0.2">
      <c r="F21" s="23" t="s">
        <v>8</v>
      </c>
      <c r="G21" s="472"/>
      <c r="H21" s="343">
        <f>'TfNSW cost revenue data'!M22/'TfNSW cost revenue data'!L22-1</f>
        <v>0.70507943611546198</v>
      </c>
      <c r="I21" s="343">
        <f>'TfNSW cost revenue data'!N22/'TfNSW cost revenue data'!M22-1</f>
        <v>0.59186351706036744</v>
      </c>
      <c r="J21" s="343">
        <f>'TfNSW cost revenue data'!O22/'TfNSW cost revenue data'!N22-1</f>
        <v>-6.5457543281121189E-2</v>
      </c>
      <c r="K21" s="344">
        <f>'TfNSW cost revenue data'!P22/'TfNSW cost revenue data'!O22-1</f>
        <v>1.3232180663373283E-2</v>
      </c>
      <c r="L21" s="32"/>
      <c r="M21" s="28"/>
      <c r="N21" s="28"/>
      <c r="O21" s="28"/>
      <c r="P21" s="28"/>
      <c r="Q21" s="28"/>
      <c r="R21" s="28"/>
      <c r="S21" s="28"/>
      <c r="T21" s="28"/>
      <c r="U21" s="28"/>
    </row>
    <row r="22" spans="6:21" x14ac:dyDescent="0.2">
      <c r="F22" s="9"/>
      <c r="G22" s="9"/>
      <c r="H22" s="32"/>
      <c r="I22" s="32"/>
      <c r="J22" s="32"/>
      <c r="K22" s="32"/>
      <c r="L22" s="32"/>
      <c r="M22" s="28"/>
      <c r="N22" s="28"/>
      <c r="O22" s="28"/>
      <c r="P22" s="28"/>
      <c r="Q22" s="28"/>
      <c r="R22" s="28"/>
      <c r="S22" s="28"/>
      <c r="T22" s="28"/>
      <c r="U22" s="28"/>
    </row>
    <row r="23" spans="6:21" x14ac:dyDescent="0.2">
      <c r="F23" s="9"/>
      <c r="G23" s="9"/>
      <c r="H23" s="32"/>
      <c r="I23" s="32"/>
      <c r="J23" s="32"/>
      <c r="K23" s="32"/>
      <c r="L23" s="32"/>
      <c r="M23" s="28"/>
      <c r="N23" s="28"/>
      <c r="O23" s="28"/>
      <c r="P23" s="28"/>
      <c r="Q23" s="28"/>
      <c r="R23" s="28"/>
      <c r="S23" s="28"/>
      <c r="T23" s="28"/>
      <c r="U23" s="28"/>
    </row>
    <row r="24" spans="6:21" ht="14.25" x14ac:dyDescent="0.2">
      <c r="F24" s="20" t="s">
        <v>222</v>
      </c>
      <c r="G24" s="9"/>
      <c r="H24" s="32"/>
      <c r="I24" s="32"/>
      <c r="J24" s="32"/>
      <c r="K24" s="32"/>
      <c r="L24" s="32"/>
      <c r="M24" s="28"/>
      <c r="N24" s="28"/>
      <c r="O24" s="28"/>
      <c r="P24" s="28"/>
      <c r="Q24" s="28"/>
      <c r="R24" s="28"/>
      <c r="S24" s="28"/>
      <c r="T24" s="28"/>
      <c r="U24" s="28"/>
    </row>
    <row r="25" spans="6:21" x14ac:dyDescent="0.2">
      <c r="F25" s="377"/>
      <c r="G25" s="65" t="s">
        <v>9</v>
      </c>
      <c r="H25" s="30" t="str">
        <f>'Revenue growth'!H17</f>
        <v>2014-15</v>
      </c>
      <c r="I25" s="30" t="str">
        <f>'Revenue growth'!I17</f>
        <v>2015-16</v>
      </c>
      <c r="J25" s="30" t="str">
        <f>'Revenue growth'!J17</f>
        <v>2016-17</v>
      </c>
      <c r="K25" s="488" t="str">
        <f>'Revenue growth'!K17</f>
        <v>2017-18</v>
      </c>
      <c r="L25" s="32"/>
      <c r="M25" s="28"/>
      <c r="N25" s="28"/>
      <c r="O25" s="28"/>
      <c r="P25" s="28"/>
      <c r="Q25" s="28"/>
      <c r="R25" s="28"/>
      <c r="S25" s="28"/>
      <c r="T25" s="28"/>
      <c r="U25" s="28"/>
    </row>
    <row r="26" spans="6:21" x14ac:dyDescent="0.2">
      <c r="F26" s="22" t="s">
        <v>4</v>
      </c>
      <c r="G26" s="499">
        <v>1</v>
      </c>
      <c r="H26" s="491">
        <f>G26*(1+'Revenue growth'!H18)</f>
        <v>0.96558695587843635</v>
      </c>
      <c r="I26" s="491">
        <f>H26*(1+'Revenue growth'!I18)</f>
        <v>0.98134169798478976</v>
      </c>
      <c r="J26" s="491">
        <f>I26*(1+'Revenue growth'!J18)</f>
        <v>1.0605876956766194</v>
      </c>
      <c r="K26" s="492">
        <f>J26*(1+'Revenue growth'!K18)</f>
        <v>1.155977865238363</v>
      </c>
      <c r="L26" s="32"/>
      <c r="M26" s="28"/>
      <c r="N26" s="28"/>
      <c r="O26" s="28"/>
      <c r="P26" s="28"/>
      <c r="Q26" s="28"/>
      <c r="R26" s="28"/>
      <c r="S26" s="28"/>
      <c r="T26" s="28"/>
      <c r="U26" s="28"/>
    </row>
    <row r="27" spans="6:21" x14ac:dyDescent="0.2">
      <c r="F27" s="22" t="s">
        <v>3</v>
      </c>
      <c r="G27" s="499">
        <v>1</v>
      </c>
      <c r="H27" s="491">
        <f>G27*(1+'Revenue growth'!H19)</f>
        <v>0.98435077856476905</v>
      </c>
      <c r="I27" s="491">
        <f>H27*(1+'Revenue growth'!I19)</f>
        <v>1.0646786246051514</v>
      </c>
      <c r="J27" s="491">
        <f>I27*(1+'Revenue growth'!J19)</f>
        <v>1.1389004077202456</v>
      </c>
      <c r="K27" s="492">
        <f>J27*(1+'Revenue growth'!K19)</f>
        <v>1.2227404923256753</v>
      </c>
      <c r="L27" s="32"/>
      <c r="M27" s="28"/>
      <c r="N27" s="28"/>
      <c r="O27" s="28"/>
      <c r="P27" s="28"/>
      <c r="Q27" s="28"/>
      <c r="R27" s="28"/>
      <c r="S27" s="28"/>
      <c r="T27" s="28"/>
      <c r="U27" s="28"/>
    </row>
    <row r="28" spans="6:21" x14ac:dyDescent="0.2">
      <c r="F28" s="22" t="s">
        <v>7</v>
      </c>
      <c r="G28" s="499">
        <v>1</v>
      </c>
      <c r="H28" s="491">
        <f>G28*(1+'Revenue growth'!H20)</f>
        <v>0.95338992019981794</v>
      </c>
      <c r="I28" s="491">
        <f>H28*(1+'Revenue growth'!I20)</f>
        <v>1.0241305590246175</v>
      </c>
      <c r="J28" s="491">
        <f>I28*(1+'Revenue growth'!J20)</f>
        <v>1.0575746671464554</v>
      </c>
      <c r="K28" s="492">
        <f>J28*(1+'Revenue growth'!K20)</f>
        <v>1.1228753466121963</v>
      </c>
      <c r="L28" s="32"/>
      <c r="M28" s="28"/>
      <c r="N28" s="28"/>
      <c r="O28" s="28"/>
      <c r="P28" s="28"/>
      <c r="Q28" s="28"/>
      <c r="R28" s="28"/>
      <c r="S28" s="28"/>
      <c r="T28" s="28"/>
      <c r="U28" s="28"/>
    </row>
    <row r="29" spans="6:21" x14ac:dyDescent="0.2">
      <c r="F29" s="23" t="s">
        <v>8</v>
      </c>
      <c r="G29" s="340">
        <v>1</v>
      </c>
      <c r="H29" s="493">
        <f>G29*(1+'Revenue growth'!H21)</f>
        <v>1.705079436115462</v>
      </c>
      <c r="I29" s="493">
        <f>H29*(1+'Revenue growth'!I21)</f>
        <v>2.7142537480420672</v>
      </c>
      <c r="J29" s="493">
        <f>I29*(1+'Revenue growth'!J21)</f>
        <v>2.5365853658536581</v>
      </c>
      <c r="K29" s="494">
        <f>J29*(1+'Revenue growth'!K21)</f>
        <v>2.5701499216827024</v>
      </c>
      <c r="L29" s="32"/>
      <c r="M29" s="28"/>
      <c r="N29" s="28"/>
      <c r="O29" s="28"/>
      <c r="P29" s="28"/>
      <c r="Q29" s="28"/>
      <c r="R29" s="28"/>
      <c r="S29" s="28"/>
      <c r="T29" s="28"/>
      <c r="U29" s="28"/>
    </row>
    <row r="30" spans="6:21" x14ac:dyDescent="0.2">
      <c r="F30" s="9"/>
      <c r="G30" s="9"/>
      <c r="H30" s="32"/>
      <c r="I30" s="32"/>
      <c r="J30" s="32"/>
      <c r="K30" s="32"/>
      <c r="L30" s="32"/>
      <c r="M30" s="28"/>
      <c r="N30" s="28"/>
      <c r="O30" s="28"/>
      <c r="P30" s="28"/>
      <c r="Q30" s="28"/>
      <c r="R30" s="28"/>
      <c r="S30" s="28"/>
      <c r="T30" s="28"/>
      <c r="U30" s="28"/>
    </row>
    <row r="31" spans="6:21" x14ac:dyDescent="0.2">
      <c r="F31" s="9"/>
      <c r="G31" s="9"/>
      <c r="H31" s="32"/>
      <c r="I31" s="32"/>
      <c r="J31" s="32"/>
      <c r="K31" s="32"/>
      <c r="L31" s="32"/>
      <c r="M31" s="28"/>
      <c r="N31" s="28"/>
      <c r="O31" s="28"/>
      <c r="P31" s="28"/>
      <c r="Q31" s="28"/>
      <c r="R31" s="28"/>
      <c r="S31" s="28"/>
      <c r="T31" s="28"/>
      <c r="U31" s="28"/>
    </row>
    <row r="32" spans="6:21" ht="14.25" x14ac:dyDescent="0.2">
      <c r="F32" s="20" t="s">
        <v>223</v>
      </c>
      <c r="G32" s="9"/>
      <c r="H32" s="32"/>
      <c r="I32" s="32"/>
      <c r="J32" s="32"/>
      <c r="K32" s="32"/>
      <c r="L32" s="32"/>
      <c r="M32" s="28"/>
      <c r="N32" s="28"/>
      <c r="O32" s="28"/>
      <c r="P32" s="28"/>
      <c r="Q32" s="28"/>
      <c r="R32" s="28"/>
      <c r="S32" s="28"/>
      <c r="T32" s="28"/>
      <c r="U32" s="28"/>
    </row>
    <row r="33" spans="2:21" x14ac:dyDescent="0.2">
      <c r="F33" s="377"/>
      <c r="G33" s="65" t="s">
        <v>9</v>
      </c>
      <c r="H33" s="30" t="str">
        <f>H25</f>
        <v>2014-15</v>
      </c>
      <c r="I33" s="30" t="str">
        <f>I25</f>
        <v>2015-16</v>
      </c>
      <c r="J33" s="30" t="str">
        <f>J25</f>
        <v>2016-17</v>
      </c>
      <c r="K33" s="488" t="str">
        <f>K25</f>
        <v>2017-18</v>
      </c>
      <c r="L33" s="32"/>
      <c r="M33" s="28"/>
      <c r="N33" s="28"/>
      <c r="O33" s="28"/>
      <c r="P33" s="28"/>
      <c r="Q33" s="28"/>
      <c r="R33" s="28"/>
      <c r="S33" s="28"/>
      <c r="T33" s="28"/>
      <c r="U33" s="28"/>
    </row>
    <row r="34" spans="2:21" ht="14.25" x14ac:dyDescent="0.2">
      <c r="B34" s="20" t="s">
        <v>221</v>
      </c>
      <c r="F34" s="66"/>
      <c r="G34" s="493">
        <f t="array" ref="G34:K34">TRANSPOSE('IPART inputs'!C31:C35)</f>
        <v>1</v>
      </c>
      <c r="H34" s="493">
        <v>1.0151085930122756</v>
      </c>
      <c r="I34" s="493">
        <v>1.0254957507082152</v>
      </c>
      <c r="J34" s="493">
        <v>1.0453257790368271</v>
      </c>
      <c r="K34" s="494">
        <v>1.0670443814919734</v>
      </c>
      <c r="L34" s="32"/>
      <c r="M34" s="28"/>
      <c r="N34" s="28"/>
      <c r="O34" s="28"/>
      <c r="P34" s="28"/>
      <c r="Q34" s="28"/>
      <c r="R34" s="28"/>
      <c r="S34" s="28"/>
      <c r="T34" s="28"/>
      <c r="U34" s="28"/>
    </row>
    <row r="35" spans="2:21" x14ac:dyDescent="0.2">
      <c r="F35" s="9"/>
      <c r="G35" s="32"/>
      <c r="H35" s="32"/>
      <c r="I35" s="32"/>
      <c r="J35" s="32"/>
      <c r="K35" s="32"/>
      <c r="L35" s="32"/>
      <c r="M35" s="28"/>
      <c r="N35" s="28"/>
      <c r="O35" s="28"/>
      <c r="P35" s="28"/>
      <c r="Q35" s="28"/>
      <c r="R35" s="28"/>
      <c r="S35" s="28"/>
      <c r="T35" s="28"/>
      <c r="U35" s="28"/>
    </row>
    <row r="36" spans="2:21" x14ac:dyDescent="0.2">
      <c r="F36" s="9"/>
      <c r="G36" s="32"/>
      <c r="H36" s="32"/>
      <c r="I36" s="32"/>
      <c r="J36" s="32"/>
      <c r="K36" s="32"/>
      <c r="L36" s="32"/>
      <c r="M36" s="28"/>
      <c r="N36" s="28"/>
      <c r="O36" s="28"/>
      <c r="P36" s="28"/>
      <c r="Q36" s="28"/>
      <c r="R36" s="28"/>
      <c r="S36" s="28"/>
      <c r="T36" s="28"/>
      <c r="U36" s="28"/>
    </row>
    <row r="37" spans="2:21" ht="14.25" x14ac:dyDescent="0.2">
      <c r="F37" s="20" t="s">
        <v>224</v>
      </c>
      <c r="G37" s="32"/>
      <c r="H37" s="32"/>
      <c r="I37" s="32"/>
      <c r="J37" s="32"/>
      <c r="K37" s="32"/>
      <c r="L37" s="32"/>
      <c r="M37" s="28"/>
      <c r="N37" s="28"/>
      <c r="O37" s="28"/>
      <c r="P37" s="28"/>
      <c r="Q37" s="28"/>
      <c r="R37" s="28"/>
      <c r="S37" s="28"/>
      <c r="T37" s="28"/>
      <c r="U37" s="28"/>
    </row>
    <row r="38" spans="2:21" x14ac:dyDescent="0.2">
      <c r="F38" s="377"/>
      <c r="G38" s="30" t="s">
        <v>9</v>
      </c>
      <c r="H38" s="30" t="str">
        <f>H25</f>
        <v>2014-15</v>
      </c>
      <c r="I38" s="30" t="str">
        <f>I25</f>
        <v>2015-16</v>
      </c>
      <c r="J38" s="30" t="str">
        <f>J25</f>
        <v>2016-17</v>
      </c>
      <c r="K38" s="488" t="str">
        <f>K25</f>
        <v>2017-18</v>
      </c>
      <c r="L38" s="32"/>
      <c r="M38" s="28"/>
      <c r="N38" s="28"/>
      <c r="O38" s="28"/>
      <c r="P38" s="28"/>
      <c r="Q38" s="28"/>
      <c r="R38" s="28"/>
      <c r="S38" s="28"/>
      <c r="T38" s="28"/>
      <c r="U38" s="28"/>
    </row>
    <row r="39" spans="2:21" x14ac:dyDescent="0.2">
      <c r="D39" s="67"/>
      <c r="F39" s="22" t="s">
        <v>4</v>
      </c>
      <c r="G39" s="499">
        <f t="shared" ref="G39:K42" si="0">G26/G$34</f>
        <v>1</v>
      </c>
      <c r="H39" s="491">
        <f t="shared" si="0"/>
        <v>0.95121542909326906</v>
      </c>
      <c r="I39" s="491">
        <f t="shared" si="0"/>
        <v>0.95694369996859341</v>
      </c>
      <c r="J39" s="491">
        <f t="shared" si="0"/>
        <v>1.0146001533166575</v>
      </c>
      <c r="K39" s="492">
        <f t="shared" si="0"/>
        <v>1.083345627687988</v>
      </c>
      <c r="L39" s="32"/>
      <c r="M39" s="28"/>
      <c r="N39" s="28"/>
      <c r="O39" s="28"/>
      <c r="P39" s="28"/>
      <c r="Q39" s="28"/>
      <c r="R39" s="28"/>
      <c r="S39" s="28"/>
      <c r="T39" s="28"/>
      <c r="U39" s="28"/>
    </row>
    <row r="40" spans="2:21" x14ac:dyDescent="0.2">
      <c r="F40" s="22" t="s">
        <v>3</v>
      </c>
      <c r="G40" s="499">
        <f t="shared" si="0"/>
        <v>1</v>
      </c>
      <c r="H40" s="491">
        <f t="shared" si="0"/>
        <v>0.96969997627915394</v>
      </c>
      <c r="I40" s="491">
        <f t="shared" si="0"/>
        <v>1.0382087140486698</v>
      </c>
      <c r="J40" s="491">
        <f t="shared" si="0"/>
        <v>1.0895171922093407</v>
      </c>
      <c r="K40" s="492">
        <f t="shared" si="0"/>
        <v>1.1459134348432658</v>
      </c>
      <c r="L40" s="32"/>
      <c r="M40" s="28"/>
      <c r="N40" s="28"/>
      <c r="O40" s="28"/>
      <c r="P40" s="28"/>
      <c r="Q40" s="28"/>
      <c r="R40" s="28"/>
      <c r="S40" s="28"/>
      <c r="T40" s="28"/>
      <c r="U40" s="28"/>
    </row>
    <row r="41" spans="2:21" x14ac:dyDescent="0.2">
      <c r="F41" s="22" t="s">
        <v>7</v>
      </c>
      <c r="G41" s="499">
        <f t="shared" si="0"/>
        <v>1</v>
      </c>
      <c r="H41" s="491">
        <f t="shared" si="0"/>
        <v>0.93919993068986729</v>
      </c>
      <c r="I41" s="491">
        <f t="shared" si="0"/>
        <v>0.99866874954610496</v>
      </c>
      <c r="J41" s="491">
        <f t="shared" si="0"/>
        <v>1.0117177710100238</v>
      </c>
      <c r="K41" s="492">
        <f t="shared" si="0"/>
        <v>1.0523230018250584</v>
      </c>
      <c r="L41" s="32"/>
      <c r="M41" s="28"/>
      <c r="N41" s="28"/>
      <c r="O41" s="28"/>
      <c r="P41" s="28"/>
      <c r="Q41" s="28"/>
      <c r="R41" s="28"/>
      <c r="S41" s="28"/>
      <c r="T41" s="28"/>
      <c r="U41" s="28"/>
    </row>
    <row r="42" spans="2:21" x14ac:dyDescent="0.2">
      <c r="F42" s="23" t="s">
        <v>8</v>
      </c>
      <c r="G42" s="340">
        <f t="shared" si="0"/>
        <v>1</v>
      </c>
      <c r="H42" s="493">
        <f t="shared" si="0"/>
        <v>1.6797015096244414</v>
      </c>
      <c r="I42" s="493">
        <f t="shared" si="0"/>
        <v>2.646772301267541</v>
      </c>
      <c r="J42" s="493">
        <f t="shared" si="0"/>
        <v>2.4265979245158302</v>
      </c>
      <c r="K42" s="494">
        <f t="shared" si="0"/>
        <v>2.4086626257185682</v>
      </c>
      <c r="L42" s="32"/>
      <c r="M42" s="28"/>
      <c r="N42" s="28"/>
      <c r="O42" s="28"/>
      <c r="P42" s="28"/>
      <c r="Q42" s="28"/>
      <c r="R42" s="28"/>
      <c r="S42" s="28"/>
      <c r="T42" s="28"/>
      <c r="U42" s="28"/>
    </row>
    <row r="43" spans="2:21" x14ac:dyDescent="0.2">
      <c r="F43" s="9"/>
      <c r="G43" s="451"/>
      <c r="H43" s="451"/>
      <c r="I43" s="451"/>
      <c r="J43" s="451"/>
      <c r="K43" s="451"/>
      <c r="L43" s="32"/>
      <c r="M43" s="28"/>
      <c r="N43" s="28"/>
      <c r="O43" s="28"/>
      <c r="P43" s="28"/>
      <c r="Q43" s="28"/>
      <c r="R43" s="28"/>
      <c r="S43" s="28"/>
      <c r="T43" s="28"/>
      <c r="U43" s="28"/>
    </row>
    <row r="44" spans="2:21" x14ac:dyDescent="0.2">
      <c r="F44" s="9"/>
      <c r="G44" s="451"/>
      <c r="H44" s="451"/>
      <c r="I44" s="451"/>
      <c r="J44" s="451"/>
      <c r="K44" s="451"/>
      <c r="L44" s="32"/>
      <c r="M44" s="28"/>
      <c r="N44" s="28"/>
      <c r="O44" s="28"/>
      <c r="P44" s="28"/>
      <c r="Q44" s="28"/>
      <c r="R44" s="28"/>
      <c r="S44" s="28"/>
      <c r="T44" s="28"/>
      <c r="U44" s="28"/>
    </row>
    <row r="45" spans="2:21" x14ac:dyDescent="0.2">
      <c r="F45" s="9"/>
      <c r="G45" s="451"/>
      <c r="H45" s="451"/>
      <c r="I45" s="451"/>
      <c r="J45" s="451"/>
      <c r="K45" s="451"/>
      <c r="L45" s="32"/>
      <c r="M45" s="28"/>
      <c r="N45" s="28"/>
      <c r="O45" s="28"/>
      <c r="P45" s="28"/>
      <c r="Q45" s="28"/>
      <c r="R45" s="28"/>
      <c r="S45" s="28"/>
      <c r="T45" s="28"/>
      <c r="U45" s="28"/>
    </row>
    <row r="46" spans="2:21" ht="14.25" x14ac:dyDescent="0.2">
      <c r="F46" s="20" t="s">
        <v>225</v>
      </c>
      <c r="G46" s="32"/>
      <c r="H46" s="32"/>
      <c r="I46" s="32"/>
      <c r="J46" s="32"/>
      <c r="K46" s="32"/>
      <c r="L46" s="32"/>
      <c r="M46" s="28"/>
      <c r="N46" s="28"/>
      <c r="O46" s="28"/>
      <c r="P46" s="28"/>
      <c r="Q46" s="28"/>
      <c r="R46" s="28"/>
      <c r="S46" s="28"/>
      <c r="T46" s="28"/>
      <c r="U46" s="28"/>
    </row>
    <row r="47" spans="2:21" x14ac:dyDescent="0.2">
      <c r="F47" s="377"/>
      <c r="G47" s="30" t="str">
        <f>G25</f>
        <v>2013-14</v>
      </c>
      <c r="H47" s="30" t="str">
        <f>H25</f>
        <v>2014-15</v>
      </c>
      <c r="I47" s="30" t="str">
        <f>I25</f>
        <v>2015-16</v>
      </c>
      <c r="J47" s="30" t="str">
        <f>J25</f>
        <v>2016-17</v>
      </c>
      <c r="K47" s="488" t="str">
        <f>K25</f>
        <v>2017-18</v>
      </c>
      <c r="L47" s="32"/>
      <c r="M47" s="28"/>
      <c r="N47" s="28"/>
      <c r="O47" s="28"/>
      <c r="P47" s="28"/>
      <c r="Q47" s="28"/>
      <c r="R47" s="28"/>
      <c r="S47" s="28"/>
      <c r="T47" s="28"/>
      <c r="U47" s="28"/>
    </row>
    <row r="48" spans="2:21" x14ac:dyDescent="0.2">
      <c r="E48" s="9"/>
      <c r="F48" s="22" t="s">
        <v>4</v>
      </c>
      <c r="G48" s="451">
        <f>G39-1</f>
        <v>0</v>
      </c>
      <c r="H48" s="451">
        <f t="shared" ref="H48:K48" si="1">H39-1</f>
        <v>-4.878457090673094E-2</v>
      </c>
      <c r="I48" s="451">
        <f t="shared" si="1"/>
        <v>-4.3056300031406591E-2</v>
      </c>
      <c r="J48" s="451">
        <f t="shared" si="1"/>
        <v>1.4600153316657538E-2</v>
      </c>
      <c r="K48" s="495">
        <f t="shared" si="1"/>
        <v>8.3345627687988033E-2</v>
      </c>
      <c r="L48" s="32"/>
      <c r="M48" s="28"/>
      <c r="N48" s="28"/>
      <c r="O48" s="28"/>
      <c r="P48" s="28"/>
      <c r="Q48" s="28"/>
      <c r="R48" s="28"/>
      <c r="S48" s="28"/>
      <c r="T48" s="28"/>
      <c r="U48" s="28"/>
    </row>
    <row r="49" spans="5:21" x14ac:dyDescent="0.2">
      <c r="E49" s="9"/>
      <c r="F49" s="22" t="s">
        <v>3</v>
      </c>
      <c r="G49" s="451">
        <f t="shared" ref="G49:K51" si="2">G40-1</f>
        <v>0</v>
      </c>
      <c r="H49" s="451">
        <f t="shared" si="2"/>
        <v>-3.0300023720846059E-2</v>
      </c>
      <c r="I49" s="451">
        <f t="shared" si="2"/>
        <v>3.8208714048669767E-2</v>
      </c>
      <c r="J49" s="451">
        <f t="shared" si="2"/>
        <v>8.9517192209340735E-2</v>
      </c>
      <c r="K49" s="495">
        <f t="shared" si="2"/>
        <v>0.1459134348432658</v>
      </c>
      <c r="L49" s="32"/>
      <c r="M49" s="28"/>
      <c r="N49" s="28"/>
      <c r="O49" s="28"/>
      <c r="P49" s="28"/>
      <c r="Q49" s="28"/>
      <c r="R49" s="28"/>
      <c r="S49" s="28"/>
      <c r="T49" s="28"/>
      <c r="U49" s="28"/>
    </row>
    <row r="50" spans="5:21" x14ac:dyDescent="0.2">
      <c r="E50" s="9"/>
      <c r="F50" s="22" t="s">
        <v>7</v>
      </c>
      <c r="G50" s="451">
        <f t="shared" si="2"/>
        <v>0</v>
      </c>
      <c r="H50" s="451">
        <f t="shared" si="2"/>
        <v>-6.0800069310132709E-2</v>
      </c>
      <c r="I50" s="451">
        <f t="shared" si="2"/>
        <v>-1.3312504538950387E-3</v>
      </c>
      <c r="J50" s="451">
        <f t="shared" si="2"/>
        <v>1.1717771010023803E-2</v>
      </c>
      <c r="K50" s="495">
        <f t="shared" si="2"/>
        <v>5.2323001825058446E-2</v>
      </c>
      <c r="L50" s="32"/>
      <c r="M50" s="28"/>
      <c r="N50" s="28"/>
      <c r="O50" s="28"/>
      <c r="P50" s="28"/>
      <c r="Q50" s="28"/>
      <c r="R50" s="28"/>
      <c r="S50" s="28"/>
      <c r="T50" s="28"/>
      <c r="U50" s="28"/>
    </row>
    <row r="51" spans="5:21" x14ac:dyDescent="0.2">
      <c r="E51" s="9"/>
      <c r="F51" s="23" t="s">
        <v>8</v>
      </c>
      <c r="G51" s="454">
        <f t="shared" si="2"/>
        <v>0</v>
      </c>
      <c r="H51" s="454">
        <f t="shared" si="2"/>
        <v>0.67970150962444142</v>
      </c>
      <c r="I51" s="454">
        <f t="shared" si="2"/>
        <v>1.646772301267541</v>
      </c>
      <c r="J51" s="454">
        <f t="shared" si="2"/>
        <v>1.4265979245158302</v>
      </c>
      <c r="K51" s="496">
        <f t="shared" si="2"/>
        <v>1.4086626257185682</v>
      </c>
      <c r="L51" s="32" t="s">
        <v>134</v>
      </c>
      <c r="M51" s="28"/>
      <c r="N51" s="28"/>
      <c r="O51" s="28"/>
      <c r="P51" s="28"/>
      <c r="Q51" s="28"/>
      <c r="R51" s="28"/>
      <c r="S51" s="28"/>
      <c r="T51" s="28"/>
      <c r="U51" s="28"/>
    </row>
    <row r="52" spans="5:21" x14ac:dyDescent="0.2">
      <c r="E52" s="9"/>
      <c r="F52" s="32"/>
      <c r="G52" s="32"/>
      <c r="H52" s="9"/>
      <c r="I52" s="9"/>
      <c r="J52" s="9"/>
      <c r="K52" s="9"/>
      <c r="L52" s="9"/>
    </row>
    <row r="53" spans="5:21" x14ac:dyDescent="0.2">
      <c r="E53" s="9"/>
      <c r="F53" s="32"/>
      <c r="G53" s="32"/>
      <c r="H53" s="9"/>
      <c r="I53" s="9"/>
      <c r="J53" s="9"/>
      <c r="K53" s="9"/>
      <c r="L53" s="9"/>
    </row>
    <row r="54" spans="5:21" x14ac:dyDescent="0.2">
      <c r="E54" s="9"/>
      <c r="F54" s="32"/>
      <c r="G54" s="32"/>
      <c r="H54" s="9"/>
      <c r="I54" s="9"/>
      <c r="J54" s="9"/>
      <c r="K54" s="9"/>
      <c r="L54" s="9"/>
    </row>
    <row r="55" spans="5:21" x14ac:dyDescent="0.2">
      <c r="F55" s="9"/>
      <c r="G55" s="9"/>
      <c r="H55" s="9"/>
      <c r="I55" s="9"/>
      <c r="J55" s="9"/>
      <c r="K55" s="9"/>
      <c r="L55" s="9"/>
    </row>
    <row r="61" spans="5:21" x14ac:dyDescent="0.2">
      <c r="G61" s="68"/>
      <c r="H61" s="68"/>
      <c r="I61" s="68"/>
      <c r="J61" s="68"/>
      <c r="K61" s="68"/>
      <c r="L61" s="68"/>
    </row>
    <row r="62" spans="5:21" x14ac:dyDescent="0.2">
      <c r="G62" s="9"/>
      <c r="H62" s="9"/>
      <c r="I62" s="9"/>
      <c r="J62" s="9"/>
      <c r="K62" s="9"/>
      <c r="L62" s="9"/>
    </row>
    <row r="63" spans="5:21" x14ac:dyDescent="0.2">
      <c r="G63" s="9"/>
      <c r="H63" s="500"/>
      <c r="I63" s="500"/>
      <c r="J63" s="500"/>
      <c r="K63" s="500"/>
      <c r="L63" s="501"/>
    </row>
    <row r="64" spans="5:21" x14ac:dyDescent="0.2">
      <c r="G64" s="9"/>
      <c r="H64" s="500"/>
      <c r="I64" s="500"/>
      <c r="J64" s="500"/>
      <c r="K64" s="500"/>
      <c r="L64" s="501"/>
    </row>
    <row r="65" spans="7:12" x14ac:dyDescent="0.2">
      <c r="G65" s="9"/>
      <c r="H65" s="500"/>
      <c r="I65" s="500"/>
      <c r="J65" s="500"/>
      <c r="K65" s="500"/>
      <c r="L65" s="50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B1:AP503"/>
  <sheetViews>
    <sheetView showGridLines="0" zoomScale="75" zoomScaleNormal="75" workbookViewId="0">
      <pane ySplit="17" topLeftCell="A465" activePane="bottomLeft" state="frozen"/>
      <selection activeCell="K49" sqref="K49"/>
      <selection pane="bottomLeft"/>
    </sheetView>
  </sheetViews>
  <sheetFormatPr defaultColWidth="9" defaultRowHeight="12" x14ac:dyDescent="0.2"/>
  <cols>
    <col min="1" max="1" width="14.42578125" style="352" customWidth="1"/>
    <col min="2" max="2" width="39.42578125" style="352" customWidth="1"/>
    <col min="3" max="3" width="18.7109375" style="352" customWidth="1"/>
    <col min="4" max="4" width="18.7109375" style="679" customWidth="1"/>
    <col min="5" max="5" width="15.42578125" style="351" customWidth="1"/>
    <col min="6" max="6" width="30.7109375" style="352" customWidth="1"/>
    <col min="7" max="8" width="18.42578125" style="352" customWidth="1"/>
    <col min="9" max="9" width="25.42578125" style="352" customWidth="1"/>
    <col min="10" max="12" width="17.7109375" style="352" customWidth="1"/>
    <col min="13" max="14" width="14.7109375" style="352" customWidth="1"/>
    <col min="15" max="19" width="30.85546875" style="352" customWidth="1"/>
    <col min="20" max="20" width="18.7109375" style="352" customWidth="1"/>
    <col min="21" max="21" width="19.5703125" style="352" customWidth="1"/>
    <col min="22" max="22" width="27.5703125" style="352" customWidth="1"/>
    <col min="23" max="16384" width="9" style="352"/>
  </cols>
  <sheetData>
    <row r="1" spans="2:22" ht="18.600000000000001" customHeight="1" x14ac:dyDescent="0.2"/>
    <row r="2" spans="2:22" ht="18.600000000000001" customHeight="1" x14ac:dyDescent="0.2"/>
    <row r="3" spans="2:22" ht="18.600000000000001" customHeight="1" x14ac:dyDescent="0.2">
      <c r="F3" s="83"/>
      <c r="G3" s="28"/>
      <c r="H3" s="28"/>
      <c r="I3" s="28"/>
      <c r="J3" s="28"/>
      <c r="K3" s="28"/>
      <c r="L3" s="28"/>
      <c r="M3" s="28"/>
      <c r="N3" s="28"/>
      <c r="O3" s="28"/>
      <c r="P3" s="28"/>
      <c r="Q3" s="28"/>
      <c r="R3" s="28"/>
      <c r="S3" s="28"/>
      <c r="T3" s="28"/>
    </row>
    <row r="4" spans="2:22" ht="18.600000000000001" customHeight="1" x14ac:dyDescent="0.2">
      <c r="F4" s="28"/>
      <c r="G4" s="28"/>
      <c r="H4" s="28"/>
      <c r="I4" s="28"/>
      <c r="J4" s="28"/>
      <c r="K4" s="28"/>
      <c r="L4" s="28"/>
      <c r="M4" s="28"/>
      <c r="N4" s="28"/>
      <c r="O4" s="28"/>
      <c r="P4" s="28"/>
      <c r="Q4" s="28"/>
      <c r="R4" s="28"/>
      <c r="S4" s="28"/>
      <c r="T4" s="28"/>
    </row>
    <row r="5" spans="2:22" s="679" customFormat="1" ht="18.600000000000001" customHeight="1" x14ac:dyDescent="0.2">
      <c r="E5" s="351"/>
      <c r="F5" s="28"/>
      <c r="G5" s="28"/>
      <c r="H5" s="28"/>
      <c r="I5" s="28"/>
      <c r="J5" s="28"/>
      <c r="K5" s="28"/>
      <c r="L5" s="28"/>
      <c r="M5" s="28"/>
      <c r="N5" s="28"/>
      <c r="O5" s="28"/>
      <c r="P5" s="28"/>
      <c r="Q5" s="28"/>
      <c r="R5" s="28"/>
      <c r="S5" s="28"/>
      <c r="T5" s="28"/>
    </row>
    <row r="6" spans="2:22" ht="18.600000000000001" customHeight="1" x14ac:dyDescent="0.2">
      <c r="F6" s="28"/>
      <c r="G6" s="28"/>
      <c r="H6" s="28"/>
      <c r="I6" s="28"/>
      <c r="J6" s="28"/>
      <c r="K6" s="28"/>
      <c r="L6" s="369"/>
      <c r="M6" s="28"/>
      <c r="N6" s="28"/>
      <c r="O6" s="28"/>
      <c r="P6" s="28"/>
      <c r="Q6" s="28"/>
      <c r="R6" s="28"/>
      <c r="S6" s="28"/>
      <c r="T6" s="28"/>
    </row>
    <row r="7" spans="2:22" ht="18.600000000000001" customHeight="1" x14ac:dyDescent="0.2">
      <c r="F7" s="28"/>
      <c r="G7" s="28"/>
      <c r="H7" s="28"/>
      <c r="I7" s="28"/>
      <c r="J7" s="28"/>
      <c r="K7" s="28"/>
      <c r="L7" s="369"/>
      <c r="M7" s="28"/>
      <c r="N7" s="28"/>
      <c r="O7" s="28"/>
      <c r="P7" s="28"/>
      <c r="Q7" s="28"/>
      <c r="R7" s="28"/>
      <c r="S7" s="28"/>
      <c r="T7" s="28"/>
    </row>
    <row r="8" spans="2:22" ht="18.600000000000001" customHeight="1" x14ac:dyDescent="0.2">
      <c r="F8" s="28"/>
      <c r="G8" s="28"/>
      <c r="H8" s="28"/>
      <c r="I8" s="28"/>
      <c r="J8" s="28"/>
      <c r="K8" s="28"/>
      <c r="L8" s="369"/>
      <c r="M8" s="28"/>
      <c r="N8" s="28"/>
      <c r="O8" s="28"/>
      <c r="P8" s="28"/>
      <c r="Q8" s="28"/>
      <c r="R8" s="28"/>
      <c r="S8" s="28"/>
      <c r="T8" s="28"/>
    </row>
    <row r="9" spans="2:22" ht="18.600000000000001" customHeight="1" x14ac:dyDescent="0.3">
      <c r="B9" s="578"/>
      <c r="C9" s="578"/>
      <c r="D9" s="578"/>
      <c r="F9" s="28"/>
      <c r="G9" s="28"/>
      <c r="H9" s="28"/>
      <c r="I9" s="28"/>
      <c r="J9" s="28"/>
      <c r="K9" s="28"/>
      <c r="L9" s="369"/>
      <c r="M9" s="28"/>
      <c r="N9" s="28"/>
      <c r="O9" s="28"/>
      <c r="P9" s="28"/>
      <c r="Q9" s="28"/>
      <c r="R9" s="28"/>
      <c r="S9" s="28"/>
      <c r="T9" s="28"/>
    </row>
    <row r="10" spans="2:22" ht="18.600000000000001" customHeight="1" x14ac:dyDescent="0.2">
      <c r="F10" s="28"/>
      <c r="G10" s="28"/>
      <c r="H10" s="28"/>
      <c r="I10" s="28"/>
      <c r="J10" s="28"/>
      <c r="K10" s="28"/>
      <c r="L10" s="369"/>
      <c r="M10" s="28"/>
      <c r="N10" s="28"/>
      <c r="O10" s="28"/>
      <c r="P10" s="28"/>
      <c r="Q10" s="28"/>
      <c r="R10" s="28"/>
      <c r="S10" s="28"/>
      <c r="T10" s="28"/>
    </row>
    <row r="11" spans="2:22" s="268" customFormat="1" ht="18.600000000000001" customHeight="1" x14ac:dyDescent="0.3">
      <c r="B11" s="382" t="s">
        <v>981</v>
      </c>
      <c r="E11" s="1051"/>
      <c r="F11" s="76"/>
      <c r="G11" s="76"/>
      <c r="H11" s="76"/>
      <c r="I11" s="76"/>
      <c r="J11" s="76"/>
      <c r="K11" s="76"/>
      <c r="L11" s="269"/>
      <c r="M11" s="76"/>
      <c r="N11" s="76"/>
      <c r="O11" s="76"/>
      <c r="P11" s="76"/>
      <c r="Q11" s="76"/>
      <c r="R11" s="76"/>
      <c r="S11" s="76"/>
      <c r="T11" s="76"/>
    </row>
    <row r="12" spans="2:22" s="77" customFormat="1" ht="18.600000000000001" customHeight="1" x14ac:dyDescent="0.3">
      <c r="C12" s="383"/>
      <c r="D12" s="383"/>
      <c r="E12" s="1052"/>
    </row>
    <row r="16" spans="2:22" ht="15" x14ac:dyDescent="0.2">
      <c r="B16" s="37" t="s">
        <v>980</v>
      </c>
      <c r="C16" s="39"/>
      <c r="D16" s="39"/>
      <c r="E16" s="39"/>
      <c r="F16" s="1322" t="s">
        <v>235</v>
      </c>
      <c r="G16" s="39" t="s">
        <v>236</v>
      </c>
      <c r="H16" s="39"/>
      <c r="I16" s="39"/>
      <c r="J16" s="39"/>
      <c r="K16" s="39"/>
      <c r="L16" s="39"/>
      <c r="M16" s="39"/>
      <c r="N16" s="39"/>
      <c r="O16" s="39"/>
      <c r="P16" s="39"/>
      <c r="Q16" s="39"/>
      <c r="R16" s="39"/>
      <c r="S16" s="39"/>
      <c r="T16" s="39"/>
      <c r="U16" s="39"/>
      <c r="V16" s="38"/>
    </row>
    <row r="17" spans="2:22" ht="30" x14ac:dyDescent="0.2">
      <c r="B17" s="40"/>
      <c r="C17" s="42"/>
      <c r="D17" s="42"/>
      <c r="E17" s="42" t="s">
        <v>795</v>
      </c>
      <c r="F17" s="1323"/>
      <c r="G17" s="42" t="s">
        <v>40</v>
      </c>
      <c r="H17" s="42"/>
      <c r="I17" s="42" t="s">
        <v>41</v>
      </c>
      <c r="J17" s="42"/>
      <c r="K17" s="42"/>
      <c r="L17" s="42"/>
      <c r="M17" s="42" t="s">
        <v>36</v>
      </c>
      <c r="N17" s="42" t="s">
        <v>122</v>
      </c>
      <c r="O17" s="42" t="s">
        <v>38</v>
      </c>
      <c r="P17" s="42"/>
      <c r="Q17" s="42"/>
      <c r="R17" s="42"/>
      <c r="S17" s="42"/>
      <c r="T17" s="42" t="s">
        <v>37</v>
      </c>
      <c r="U17" s="42"/>
      <c r="V17" s="41" t="s">
        <v>417</v>
      </c>
    </row>
    <row r="18" spans="2:22" s="679" customFormat="1" ht="15" x14ac:dyDescent="0.2">
      <c r="B18" s="40"/>
      <c r="C18" s="42"/>
      <c r="D18" s="42"/>
      <c r="E18" s="42"/>
      <c r="F18" s="1303"/>
      <c r="G18" s="42"/>
      <c r="H18" s="42"/>
      <c r="I18" s="42"/>
      <c r="J18" s="42"/>
      <c r="K18" s="42"/>
      <c r="L18" s="42"/>
      <c r="M18" s="42"/>
      <c r="N18" s="42"/>
      <c r="O18" s="1296"/>
      <c r="P18" s="1296"/>
      <c r="Q18" s="1296"/>
      <c r="R18" s="42"/>
      <c r="S18" s="42"/>
      <c r="T18" s="42"/>
      <c r="U18" s="42"/>
      <c r="V18" s="41"/>
    </row>
    <row r="19" spans="2:22" s="679" customFormat="1" ht="24.75" x14ac:dyDescent="0.25">
      <c r="B19" s="1252" t="s">
        <v>939</v>
      </c>
      <c r="C19" s="42"/>
      <c r="D19" s="42"/>
      <c r="E19" s="294" t="s">
        <v>796</v>
      </c>
      <c r="F19" s="1049" t="s">
        <v>797</v>
      </c>
      <c r="G19" s="42"/>
      <c r="H19" s="42"/>
      <c r="I19" s="42"/>
      <c r="J19" s="42"/>
      <c r="K19" s="42"/>
      <c r="L19" s="42"/>
      <c r="M19" s="42"/>
      <c r="N19" s="42"/>
      <c r="O19" s="1296"/>
      <c r="P19" s="1296"/>
      <c r="Q19" s="1296"/>
      <c r="R19" s="42"/>
      <c r="S19" s="42"/>
      <c r="T19" s="42"/>
      <c r="U19" s="42"/>
      <c r="V19" s="41"/>
    </row>
    <row r="20" spans="2:22" s="679" customFormat="1" ht="15" x14ac:dyDescent="0.2">
      <c r="B20" s="40"/>
      <c r="C20" s="42"/>
      <c r="D20" s="42"/>
      <c r="E20" s="42"/>
      <c r="F20" s="1303"/>
      <c r="G20" s="42"/>
      <c r="H20" s="42"/>
      <c r="I20" s="42"/>
      <c r="J20" s="42"/>
      <c r="K20" s="42"/>
      <c r="L20" s="42"/>
      <c r="M20" s="42"/>
      <c r="N20" s="42"/>
      <c r="O20" s="1296"/>
      <c r="P20" s="1296"/>
      <c r="Q20" s="1296"/>
      <c r="R20" s="42"/>
      <c r="S20" s="42"/>
      <c r="T20" s="42"/>
      <c r="U20" s="42"/>
      <c r="V20" s="41"/>
    </row>
    <row r="21" spans="2:22" s="679" customFormat="1" ht="15" x14ac:dyDescent="0.2">
      <c r="B21" s="40"/>
      <c r="C21" s="42"/>
      <c r="D21" s="42"/>
      <c r="E21" s="42"/>
      <c r="F21" s="1303"/>
      <c r="G21" s="42"/>
      <c r="H21" s="42"/>
      <c r="I21" s="42"/>
      <c r="J21" s="42"/>
      <c r="K21" s="42"/>
      <c r="L21" s="42"/>
      <c r="M21" s="42"/>
      <c r="N21" s="42"/>
      <c r="O21" s="1296"/>
      <c r="P21" s="1296"/>
      <c r="Q21" s="1296"/>
      <c r="R21" s="42"/>
      <c r="S21" s="42"/>
      <c r="T21" s="42"/>
      <c r="U21" s="42"/>
      <c r="V21" s="41"/>
    </row>
    <row r="22" spans="2:22" s="679" customFormat="1" ht="15" x14ac:dyDescent="0.2">
      <c r="B22" s="40"/>
      <c r="C22" s="42"/>
      <c r="D22" s="42"/>
      <c r="E22" s="42"/>
      <c r="F22" s="1303"/>
      <c r="G22" s="42"/>
      <c r="H22" s="42"/>
      <c r="I22" s="42"/>
      <c r="J22" s="42"/>
      <c r="K22" s="42"/>
      <c r="L22" s="42"/>
      <c r="M22" s="42"/>
      <c r="N22" s="42"/>
      <c r="O22" s="1296"/>
      <c r="P22" s="1296"/>
      <c r="Q22" s="1296"/>
      <c r="R22" s="42"/>
      <c r="S22" s="42"/>
      <c r="T22" s="42"/>
      <c r="U22" s="42"/>
      <c r="V22" s="41"/>
    </row>
    <row r="23" spans="2:22" s="679" customFormat="1" ht="15" x14ac:dyDescent="0.2">
      <c r="B23" s="40"/>
      <c r="C23" s="42"/>
      <c r="D23" s="42"/>
      <c r="E23" s="42"/>
      <c r="F23" s="1303"/>
      <c r="G23" s="42"/>
      <c r="H23" s="42"/>
      <c r="I23" s="42"/>
      <c r="J23" s="42"/>
      <c r="K23" s="42"/>
      <c r="L23" s="42"/>
      <c r="M23" s="42"/>
      <c r="N23" s="42"/>
      <c r="O23" s="1296"/>
      <c r="P23" s="1296"/>
      <c r="Q23" s="1296"/>
      <c r="R23" s="42"/>
      <c r="S23" s="42"/>
      <c r="T23" s="42"/>
      <c r="U23" s="42"/>
      <c r="V23" s="41"/>
    </row>
    <row r="24" spans="2:22" s="679" customFormat="1" ht="15" x14ac:dyDescent="0.2">
      <c r="B24" s="40"/>
      <c r="C24" s="42"/>
      <c r="D24" s="42"/>
      <c r="E24" s="42"/>
      <c r="F24" s="1303"/>
      <c r="G24" s="42"/>
      <c r="H24" s="42"/>
      <c r="I24" s="42"/>
      <c r="J24" s="42"/>
      <c r="K24" s="42"/>
      <c r="L24" s="42"/>
      <c r="M24" s="42"/>
      <c r="N24" s="42"/>
      <c r="O24" s="1296"/>
      <c r="P24" s="1296"/>
      <c r="Q24" s="1296"/>
      <c r="R24" s="42"/>
      <c r="S24" s="42"/>
      <c r="T24" s="42"/>
      <c r="U24" s="42"/>
      <c r="V24" s="41"/>
    </row>
    <row r="25" spans="2:22" s="679" customFormat="1" ht="15" x14ac:dyDescent="0.2">
      <c r="B25" s="40"/>
      <c r="C25" s="42"/>
      <c r="D25" s="42"/>
      <c r="E25" s="42"/>
      <c r="F25" s="1303"/>
      <c r="G25" s="42"/>
      <c r="H25" s="42"/>
      <c r="I25" s="42"/>
      <c r="J25" s="42"/>
      <c r="K25" s="42"/>
      <c r="L25" s="42"/>
      <c r="M25" s="42"/>
      <c r="N25" s="42"/>
      <c r="O25" s="1296"/>
      <c r="P25" s="1296"/>
      <c r="Q25" s="1296"/>
      <c r="R25" s="42"/>
      <c r="S25" s="42"/>
      <c r="T25" s="42"/>
      <c r="U25" s="42"/>
      <c r="V25" s="41"/>
    </row>
    <row r="26" spans="2:22" s="679" customFormat="1" ht="15" x14ac:dyDescent="0.2">
      <c r="B26" s="40"/>
      <c r="C26" s="42"/>
      <c r="D26" s="42"/>
      <c r="E26" s="42"/>
      <c r="F26" s="1303"/>
      <c r="G26" s="42"/>
      <c r="H26" s="42"/>
      <c r="I26" s="42"/>
      <c r="J26" s="42"/>
      <c r="K26" s="42"/>
      <c r="L26" s="42"/>
      <c r="M26" s="42"/>
      <c r="N26" s="42"/>
      <c r="O26" s="1296"/>
      <c r="P26" s="1296"/>
      <c r="Q26" s="1296"/>
      <c r="R26" s="42"/>
      <c r="S26" s="42"/>
      <c r="T26" s="42"/>
      <c r="U26" s="42"/>
      <c r="V26" s="41"/>
    </row>
    <row r="27" spans="2:22" s="679" customFormat="1" ht="15" x14ac:dyDescent="0.2">
      <c r="B27" s="40"/>
      <c r="C27" s="42"/>
      <c r="D27" s="42"/>
      <c r="E27" s="42"/>
      <c r="F27" s="1303"/>
      <c r="G27" s="42"/>
      <c r="H27" s="42"/>
      <c r="I27" s="42"/>
      <c r="J27" s="42"/>
      <c r="K27" s="42"/>
      <c r="L27" s="42"/>
      <c r="M27" s="42"/>
      <c r="N27" s="42"/>
      <c r="O27" s="1296"/>
      <c r="P27" s="1296"/>
      <c r="Q27" s="1296"/>
      <c r="R27" s="42"/>
      <c r="S27" s="42"/>
      <c r="T27" s="42"/>
      <c r="U27" s="42"/>
      <c r="V27" s="41"/>
    </row>
    <row r="28" spans="2:22" s="679" customFormat="1" ht="15" x14ac:dyDescent="0.2">
      <c r="B28" s="40"/>
      <c r="C28" s="42"/>
      <c r="D28" s="42"/>
      <c r="E28" s="42"/>
      <c r="F28" s="1303"/>
      <c r="G28" s="42"/>
      <c r="H28" s="42"/>
      <c r="I28" s="42"/>
      <c r="J28" s="42"/>
      <c r="K28" s="42"/>
      <c r="L28" s="42"/>
      <c r="M28" s="42"/>
      <c r="N28" s="42"/>
      <c r="O28" s="1296"/>
      <c r="P28" s="1296"/>
      <c r="Q28" s="1296"/>
      <c r="R28" s="42"/>
      <c r="S28" s="42"/>
      <c r="T28" s="42"/>
      <c r="U28" s="42"/>
      <c r="V28" s="41"/>
    </row>
    <row r="29" spans="2:22" s="679" customFormat="1" ht="15" x14ac:dyDescent="0.2">
      <c r="B29" s="40"/>
      <c r="C29" s="42"/>
      <c r="D29" s="42"/>
      <c r="E29" s="42"/>
      <c r="F29" s="1303"/>
      <c r="G29" s="42"/>
      <c r="H29" s="42"/>
      <c r="I29" s="42"/>
      <c r="J29" s="42"/>
      <c r="K29" s="42"/>
      <c r="L29" s="42"/>
      <c r="M29" s="42"/>
      <c r="N29" s="42"/>
      <c r="O29" s="1296"/>
      <c r="P29" s="1296"/>
      <c r="Q29" s="1296"/>
      <c r="R29" s="42"/>
      <c r="S29" s="42"/>
      <c r="T29" s="42"/>
      <c r="U29" s="42"/>
      <c r="V29" s="41"/>
    </row>
    <row r="30" spans="2:22" s="679" customFormat="1" ht="15" x14ac:dyDescent="0.2">
      <c r="B30" s="40"/>
      <c r="C30" s="42"/>
      <c r="D30" s="42"/>
      <c r="E30" s="42"/>
      <c r="F30" s="1303"/>
      <c r="G30" s="42"/>
      <c r="H30" s="42"/>
      <c r="I30" s="42"/>
      <c r="J30" s="42"/>
      <c r="K30" s="42"/>
      <c r="L30" s="42"/>
      <c r="M30" s="42"/>
      <c r="N30" s="42"/>
      <c r="O30" s="1296"/>
      <c r="P30" s="1296"/>
      <c r="Q30" s="1296"/>
      <c r="R30" s="42"/>
      <c r="S30" s="42"/>
      <c r="T30" s="42"/>
      <c r="U30" s="42"/>
      <c r="V30" s="41"/>
    </row>
    <row r="31" spans="2:22" s="679" customFormat="1" ht="15" x14ac:dyDescent="0.2">
      <c r="B31" s="40"/>
      <c r="C31" s="42"/>
      <c r="D31" s="42"/>
      <c r="E31" s="42"/>
      <c r="F31" s="1303"/>
      <c r="G31" s="42"/>
      <c r="H31" s="42"/>
      <c r="I31" s="42"/>
      <c r="J31" s="42"/>
      <c r="K31" s="42"/>
      <c r="L31" s="42"/>
      <c r="M31" s="42"/>
      <c r="N31" s="42"/>
      <c r="O31" s="1296"/>
      <c r="P31" s="1296"/>
      <c r="Q31" s="1296"/>
      <c r="R31" s="42"/>
      <c r="S31" s="42"/>
      <c r="T31" s="42"/>
      <c r="U31" s="42"/>
      <c r="V31" s="41"/>
    </row>
    <row r="32" spans="2:22" s="679" customFormat="1" ht="15" x14ac:dyDescent="0.2">
      <c r="B32" s="40"/>
      <c r="C32" s="42"/>
      <c r="D32" s="42"/>
      <c r="E32" s="42"/>
      <c r="F32" s="1303"/>
      <c r="G32" s="42"/>
      <c r="H32" s="42"/>
      <c r="I32" s="42"/>
      <c r="J32" s="42"/>
      <c r="K32" s="42"/>
      <c r="L32" s="42"/>
      <c r="M32" s="42"/>
      <c r="N32" s="42"/>
      <c r="O32" s="1296"/>
      <c r="P32" s="1296"/>
      <c r="Q32" s="1296"/>
      <c r="R32" s="42"/>
      <c r="S32" s="42"/>
      <c r="T32" s="42"/>
      <c r="U32" s="42"/>
      <c r="V32" s="41"/>
    </row>
    <row r="33" spans="2:22" s="679" customFormat="1" ht="15" x14ac:dyDescent="0.2">
      <c r="B33" s="40"/>
      <c r="C33" s="42"/>
      <c r="D33" s="42"/>
      <c r="E33" s="42"/>
      <c r="F33" s="1303"/>
      <c r="G33" s="42"/>
      <c r="H33" s="42"/>
      <c r="I33" s="42"/>
      <c r="J33" s="42"/>
      <c r="K33" s="42"/>
      <c r="L33" s="42"/>
      <c r="M33" s="42"/>
      <c r="N33" s="42"/>
      <c r="O33" s="1296"/>
      <c r="P33" s="1296"/>
      <c r="Q33" s="1296"/>
      <c r="R33" s="42"/>
      <c r="S33" s="42"/>
      <c r="T33" s="42"/>
      <c r="U33" s="42"/>
      <c r="V33" s="41"/>
    </row>
    <row r="34" spans="2:22" s="679" customFormat="1" ht="15" x14ac:dyDescent="0.2">
      <c r="B34" s="40"/>
      <c r="C34" s="42"/>
      <c r="D34" s="42"/>
      <c r="E34" s="42"/>
      <c r="F34" s="1303"/>
      <c r="G34" s="42"/>
      <c r="H34" s="42"/>
      <c r="I34" s="42"/>
      <c r="J34" s="42"/>
      <c r="K34" s="42"/>
      <c r="L34" s="42"/>
      <c r="M34" s="42"/>
      <c r="N34" s="42"/>
      <c r="O34" s="1296"/>
      <c r="P34" s="1296"/>
      <c r="Q34" s="1296"/>
      <c r="R34" s="42"/>
      <c r="S34" s="42"/>
      <c r="T34" s="42"/>
      <c r="U34" s="42"/>
      <c r="V34" s="41"/>
    </row>
    <row r="35" spans="2:22" s="679" customFormat="1" ht="15" x14ac:dyDescent="0.2">
      <c r="B35" s="43"/>
      <c r="C35" s="44"/>
      <c r="D35" s="44"/>
      <c r="E35" s="44"/>
      <c r="F35" s="1304"/>
      <c r="G35" s="44"/>
      <c r="H35" s="44"/>
      <c r="I35" s="44"/>
      <c r="J35" s="44"/>
      <c r="K35" s="44"/>
      <c r="L35" s="44"/>
      <c r="M35" s="44"/>
      <c r="N35" s="44"/>
      <c r="O35" s="1297"/>
      <c r="P35" s="1297"/>
      <c r="Q35" s="1297"/>
      <c r="R35" s="44"/>
      <c r="S35" s="44"/>
      <c r="T35" s="44"/>
      <c r="U35" s="44"/>
      <c r="V35" s="45"/>
    </row>
    <row r="36" spans="2:22" s="679" customFormat="1" ht="15" x14ac:dyDescent="0.2">
      <c r="B36" s="40"/>
      <c r="C36" s="42"/>
      <c r="D36" s="42"/>
      <c r="E36" s="42"/>
      <c r="F36" s="1303"/>
      <c r="G36" s="42"/>
      <c r="H36" s="42"/>
      <c r="I36" s="42"/>
      <c r="J36" s="42"/>
      <c r="K36" s="42"/>
      <c r="L36" s="42"/>
      <c r="M36" s="42"/>
      <c r="N36" s="42"/>
      <c r="O36" s="1296"/>
      <c r="P36" s="1296"/>
      <c r="Q36" s="1296"/>
      <c r="R36" s="42"/>
      <c r="S36" s="42"/>
      <c r="T36" s="42"/>
      <c r="U36" s="42"/>
      <c r="V36" s="41"/>
    </row>
    <row r="37" spans="2:22" s="679" customFormat="1" ht="24.75" x14ac:dyDescent="0.25">
      <c r="B37" s="1252" t="s">
        <v>940</v>
      </c>
      <c r="C37" s="42"/>
      <c r="D37" s="42"/>
      <c r="E37" s="294" t="s">
        <v>796</v>
      </c>
      <c r="F37" s="1053" t="s">
        <v>798</v>
      </c>
      <c r="G37" s="42"/>
      <c r="H37" s="42"/>
      <c r="I37" s="42"/>
      <c r="J37" s="42"/>
      <c r="K37" s="42"/>
      <c r="L37" s="42"/>
      <c r="M37" s="42"/>
      <c r="N37" s="42"/>
      <c r="O37" s="1296"/>
      <c r="P37" s="1296"/>
      <c r="Q37" s="1296"/>
      <c r="R37" s="42"/>
      <c r="S37" s="42"/>
      <c r="T37" s="42"/>
      <c r="U37" s="42"/>
      <c r="V37" s="41"/>
    </row>
    <row r="38" spans="2:22" s="679" customFormat="1" ht="15" x14ac:dyDescent="0.2">
      <c r="B38" s="40"/>
      <c r="C38" s="42"/>
      <c r="D38" s="42"/>
      <c r="E38" s="42"/>
      <c r="F38" s="1303"/>
      <c r="G38" s="42"/>
      <c r="H38" s="42"/>
      <c r="I38" s="42"/>
      <c r="J38" s="42"/>
      <c r="K38" s="42"/>
      <c r="L38" s="42"/>
      <c r="M38" s="42"/>
      <c r="N38" s="42"/>
      <c r="O38" s="1296"/>
      <c r="P38" s="1296"/>
      <c r="Q38" s="1296"/>
      <c r="R38" s="42"/>
      <c r="S38" s="42"/>
      <c r="T38" s="42"/>
      <c r="U38" s="42"/>
      <c r="V38" s="41"/>
    </row>
    <row r="39" spans="2:22" s="679" customFormat="1" ht="15" x14ac:dyDescent="0.2">
      <c r="B39" s="40"/>
      <c r="C39" s="42"/>
      <c r="D39" s="42"/>
      <c r="E39" s="42"/>
      <c r="F39" s="1303"/>
      <c r="G39" s="42"/>
      <c r="H39" s="42"/>
      <c r="I39" s="42"/>
      <c r="J39" s="42"/>
      <c r="K39" s="42"/>
      <c r="L39" s="42"/>
      <c r="M39" s="42"/>
      <c r="N39" s="42"/>
      <c r="O39" s="1296"/>
      <c r="P39" s="1296"/>
      <c r="Q39" s="1296"/>
      <c r="R39" s="42"/>
      <c r="S39" s="42"/>
      <c r="T39" s="42"/>
      <c r="U39" s="42"/>
      <c r="V39" s="41"/>
    </row>
    <row r="40" spans="2:22" s="679" customFormat="1" ht="15" x14ac:dyDescent="0.2">
      <c r="B40" s="40"/>
      <c r="C40" s="42"/>
      <c r="D40" s="42"/>
      <c r="E40" s="42"/>
      <c r="F40" s="1303"/>
      <c r="G40" s="42"/>
      <c r="H40" s="42"/>
      <c r="I40" s="42"/>
      <c r="J40" s="42"/>
      <c r="K40" s="42"/>
      <c r="L40" s="42"/>
      <c r="M40" s="42"/>
      <c r="N40" s="42"/>
      <c r="O40" s="1296"/>
      <c r="P40" s="1296"/>
      <c r="Q40" s="1296"/>
      <c r="R40" s="42"/>
      <c r="S40" s="42"/>
      <c r="T40" s="42"/>
      <c r="U40" s="42"/>
      <c r="V40" s="41"/>
    </row>
    <row r="41" spans="2:22" s="679" customFormat="1" ht="15" x14ac:dyDescent="0.2">
      <c r="B41" s="40"/>
      <c r="C41" s="42"/>
      <c r="D41" s="42"/>
      <c r="E41" s="42"/>
      <c r="F41" s="1303"/>
      <c r="G41" s="42"/>
      <c r="H41" s="42"/>
      <c r="I41" s="42"/>
      <c r="J41" s="42"/>
      <c r="K41" s="42"/>
      <c r="L41" s="42"/>
      <c r="M41" s="42"/>
      <c r="N41" s="42"/>
      <c r="O41" s="1296"/>
      <c r="P41" s="1296"/>
      <c r="Q41" s="1296"/>
      <c r="R41" s="42"/>
      <c r="S41" s="42"/>
      <c r="T41" s="42"/>
      <c r="U41" s="42"/>
      <c r="V41" s="41"/>
    </row>
    <row r="42" spans="2:22" s="679" customFormat="1" ht="15" x14ac:dyDescent="0.2">
      <c r="B42" s="40"/>
      <c r="C42" s="42"/>
      <c r="D42" s="42"/>
      <c r="E42" s="42"/>
      <c r="F42" s="1303"/>
      <c r="G42" s="42"/>
      <c r="H42" s="42"/>
      <c r="I42" s="42"/>
      <c r="J42" s="42"/>
      <c r="K42" s="42"/>
      <c r="L42" s="42"/>
      <c r="M42" s="42"/>
      <c r="N42" s="42"/>
      <c r="O42" s="1296"/>
      <c r="P42" s="1296"/>
      <c r="Q42" s="1296"/>
      <c r="R42" s="42"/>
      <c r="S42" s="42"/>
      <c r="T42" s="42"/>
      <c r="U42" s="42"/>
      <c r="V42" s="41"/>
    </row>
    <row r="43" spans="2:22" s="679" customFormat="1" ht="15" x14ac:dyDescent="0.2">
      <c r="B43" s="40"/>
      <c r="C43" s="42"/>
      <c r="D43" s="42"/>
      <c r="E43" s="42"/>
      <c r="F43" s="1303"/>
      <c r="G43" s="42"/>
      <c r="H43" s="42"/>
      <c r="I43" s="42"/>
      <c r="J43" s="42"/>
      <c r="K43" s="42"/>
      <c r="L43" s="42"/>
      <c r="M43" s="42"/>
      <c r="N43" s="42"/>
      <c r="O43" s="1296"/>
      <c r="P43" s="1296"/>
      <c r="Q43" s="1296"/>
      <c r="R43" s="42"/>
      <c r="S43" s="42"/>
      <c r="T43" s="42"/>
      <c r="U43" s="42"/>
      <c r="V43" s="41"/>
    </row>
    <row r="44" spans="2:22" s="679" customFormat="1" ht="15" x14ac:dyDescent="0.2">
      <c r="B44" s="40"/>
      <c r="C44" s="42"/>
      <c r="D44" s="42"/>
      <c r="E44" s="42"/>
      <c r="F44" s="1303"/>
      <c r="G44" s="42"/>
      <c r="H44" s="42"/>
      <c r="I44" s="42"/>
      <c r="J44" s="42"/>
      <c r="K44" s="42"/>
      <c r="L44" s="42"/>
      <c r="M44" s="42"/>
      <c r="N44" s="42"/>
      <c r="O44" s="1296"/>
      <c r="P44" s="1296"/>
      <c r="Q44" s="1296"/>
      <c r="R44" s="42"/>
      <c r="S44" s="42"/>
      <c r="T44" s="42"/>
      <c r="U44" s="42"/>
      <c r="V44" s="41"/>
    </row>
    <row r="45" spans="2:22" s="679" customFormat="1" ht="15" x14ac:dyDescent="0.2">
      <c r="B45" s="40"/>
      <c r="C45" s="42"/>
      <c r="D45" s="42"/>
      <c r="E45" s="42"/>
      <c r="F45" s="1303"/>
      <c r="G45" s="42"/>
      <c r="H45" s="42"/>
      <c r="I45" s="42"/>
      <c r="J45" s="42"/>
      <c r="K45" s="42"/>
      <c r="L45" s="42"/>
      <c r="M45" s="42"/>
      <c r="N45" s="42"/>
      <c r="O45" s="1296"/>
      <c r="P45" s="1296"/>
      <c r="Q45" s="1296"/>
      <c r="R45" s="42"/>
      <c r="S45" s="42"/>
      <c r="T45" s="42"/>
      <c r="U45" s="42"/>
      <c r="V45" s="41"/>
    </row>
    <row r="46" spans="2:22" s="679" customFormat="1" ht="15" x14ac:dyDescent="0.2">
      <c r="B46" s="40"/>
      <c r="C46" s="42"/>
      <c r="D46" s="42"/>
      <c r="E46" s="42"/>
      <c r="F46" s="1303"/>
      <c r="G46" s="42"/>
      <c r="H46" s="42"/>
      <c r="I46" s="42"/>
      <c r="J46" s="42"/>
      <c r="K46" s="42"/>
      <c r="L46" s="42"/>
      <c r="M46" s="42"/>
      <c r="N46" s="42"/>
      <c r="O46" s="1296"/>
      <c r="P46" s="1296"/>
      <c r="Q46" s="1296"/>
      <c r="R46" s="42"/>
      <c r="S46" s="42"/>
      <c r="T46" s="42"/>
      <c r="U46" s="42"/>
      <c r="V46" s="41"/>
    </row>
    <row r="47" spans="2:22" s="679" customFormat="1" ht="15" x14ac:dyDescent="0.2">
      <c r="B47" s="40"/>
      <c r="C47" s="42"/>
      <c r="D47" s="42"/>
      <c r="E47" s="42"/>
      <c r="F47" s="1303"/>
      <c r="G47" s="42"/>
      <c r="H47" s="42"/>
      <c r="I47" s="42"/>
      <c r="J47" s="42"/>
      <c r="K47" s="42"/>
      <c r="L47" s="42"/>
      <c r="M47" s="42"/>
      <c r="N47" s="42"/>
      <c r="O47" s="1296"/>
      <c r="P47" s="1296"/>
      <c r="Q47" s="1296"/>
      <c r="R47" s="42"/>
      <c r="S47" s="42"/>
      <c r="T47" s="42"/>
      <c r="U47" s="42"/>
      <c r="V47" s="41"/>
    </row>
    <row r="48" spans="2:22" s="679" customFormat="1" ht="15" x14ac:dyDescent="0.2">
      <c r="B48" s="40"/>
      <c r="C48" s="42"/>
      <c r="D48" s="42"/>
      <c r="E48" s="42"/>
      <c r="F48" s="1303"/>
      <c r="G48" s="42"/>
      <c r="H48" s="42"/>
      <c r="I48" s="42"/>
      <c r="J48" s="42"/>
      <c r="K48" s="42"/>
      <c r="L48" s="42"/>
      <c r="M48" s="42"/>
      <c r="N48" s="42"/>
      <c r="O48" s="1296"/>
      <c r="P48" s="1296"/>
      <c r="Q48" s="1296"/>
      <c r="R48" s="42"/>
      <c r="S48" s="42"/>
      <c r="T48" s="42"/>
      <c r="U48" s="42"/>
      <c r="V48" s="41"/>
    </row>
    <row r="49" spans="2:22" s="679" customFormat="1" ht="15" x14ac:dyDescent="0.2">
      <c r="B49" s="40"/>
      <c r="C49" s="42"/>
      <c r="D49" s="42"/>
      <c r="E49" s="42"/>
      <c r="F49" s="1303"/>
      <c r="G49" s="42"/>
      <c r="H49" s="42"/>
      <c r="I49" s="42"/>
      <c r="J49" s="42"/>
      <c r="K49" s="42"/>
      <c r="L49" s="42"/>
      <c r="M49" s="42"/>
      <c r="N49" s="42"/>
      <c r="O49" s="1296"/>
      <c r="P49" s="1296"/>
      <c r="Q49" s="1296"/>
      <c r="R49" s="42"/>
      <c r="S49" s="42"/>
      <c r="T49" s="42"/>
      <c r="U49" s="42"/>
      <c r="V49" s="41"/>
    </row>
    <row r="50" spans="2:22" s="679" customFormat="1" ht="15" x14ac:dyDescent="0.2">
      <c r="B50" s="40"/>
      <c r="C50" s="42"/>
      <c r="D50" s="42"/>
      <c r="E50" s="42"/>
      <c r="F50" s="1303"/>
      <c r="G50" s="42"/>
      <c r="H50" s="42"/>
      <c r="I50" s="42"/>
      <c r="J50" s="42"/>
      <c r="K50" s="42"/>
      <c r="L50" s="42"/>
      <c r="M50" s="42"/>
      <c r="N50" s="42"/>
      <c r="O50" s="1296"/>
      <c r="P50" s="1296"/>
      <c r="Q50" s="1296"/>
      <c r="R50" s="42"/>
      <c r="S50" s="42"/>
      <c r="T50" s="42"/>
      <c r="U50" s="42"/>
      <c r="V50" s="41"/>
    </row>
    <row r="51" spans="2:22" s="679" customFormat="1" ht="15" x14ac:dyDescent="0.2">
      <c r="B51" s="40"/>
      <c r="C51" s="42"/>
      <c r="D51" s="42"/>
      <c r="E51" s="42"/>
      <c r="F51" s="1303"/>
      <c r="G51" s="42"/>
      <c r="H51" s="42"/>
      <c r="I51" s="42"/>
      <c r="J51" s="42"/>
      <c r="K51" s="42"/>
      <c r="L51" s="42"/>
      <c r="M51" s="42"/>
      <c r="N51" s="42"/>
      <c r="O51" s="1296"/>
      <c r="P51" s="1296"/>
      <c r="Q51" s="1296"/>
      <c r="R51" s="42"/>
      <c r="S51" s="42"/>
      <c r="T51" s="42"/>
      <c r="U51" s="42"/>
      <c r="V51" s="41"/>
    </row>
    <row r="52" spans="2:22" s="679" customFormat="1" ht="15" x14ac:dyDescent="0.2">
      <c r="B52" s="40"/>
      <c r="C52" s="42"/>
      <c r="D52" s="42"/>
      <c r="E52" s="42"/>
      <c r="F52" s="1303"/>
      <c r="G52" s="42"/>
      <c r="H52" s="42"/>
      <c r="I52" s="42"/>
      <c r="J52" s="42"/>
      <c r="K52" s="42"/>
      <c r="L52" s="42"/>
      <c r="M52" s="42"/>
      <c r="N52" s="42"/>
      <c r="O52" s="1296"/>
      <c r="P52" s="1296"/>
      <c r="Q52" s="1296"/>
      <c r="R52" s="42"/>
      <c r="S52" s="42"/>
      <c r="T52" s="42"/>
      <c r="U52" s="42"/>
      <c r="V52" s="41"/>
    </row>
    <row r="53" spans="2:22" s="679" customFormat="1" ht="15" x14ac:dyDescent="0.2">
      <c r="B53" s="40"/>
      <c r="C53" s="42"/>
      <c r="D53" s="42"/>
      <c r="E53" s="42"/>
      <c r="F53" s="1303"/>
      <c r="G53" s="42"/>
      <c r="H53" s="42"/>
      <c r="I53" s="42"/>
      <c r="J53" s="42"/>
      <c r="K53" s="42"/>
      <c r="L53" s="42"/>
      <c r="M53" s="42"/>
      <c r="N53" s="42"/>
      <c r="O53" s="1296"/>
      <c r="P53" s="1296"/>
      <c r="Q53" s="1296"/>
      <c r="R53" s="42"/>
      <c r="S53" s="42"/>
      <c r="T53" s="42"/>
      <c r="U53" s="42"/>
      <c r="V53" s="41"/>
    </row>
    <row r="54" spans="2:22" ht="15" x14ac:dyDescent="0.2">
      <c r="B54" s="43"/>
      <c r="C54" s="44"/>
      <c r="D54" s="44"/>
      <c r="E54" s="1050"/>
      <c r="F54" s="1305"/>
      <c r="G54" s="44"/>
      <c r="H54" s="44"/>
      <c r="I54" s="44"/>
      <c r="J54" s="44"/>
      <c r="K54" s="44"/>
      <c r="L54" s="44"/>
      <c r="M54" s="44"/>
      <c r="N54" s="44"/>
      <c r="O54" s="1297"/>
      <c r="P54" s="1297"/>
      <c r="Q54" s="1297"/>
      <c r="R54" s="44"/>
      <c r="S54" s="44"/>
      <c r="T54" s="44"/>
      <c r="U54" s="44"/>
      <c r="V54" s="45"/>
    </row>
    <row r="55" spans="2:22" s="679" customFormat="1" ht="15" x14ac:dyDescent="0.2">
      <c r="B55" s="40"/>
      <c r="C55" s="42"/>
      <c r="D55" s="42"/>
      <c r="E55" s="42"/>
      <c r="F55" s="1303"/>
      <c r="G55" s="42"/>
      <c r="H55" s="42"/>
      <c r="I55" s="42"/>
      <c r="J55" s="42"/>
      <c r="K55" s="42"/>
      <c r="L55" s="42"/>
      <c r="M55" s="42"/>
      <c r="N55" s="42"/>
      <c r="O55" s="1296"/>
      <c r="P55" s="1296"/>
      <c r="Q55" s="1296"/>
      <c r="R55" s="42"/>
      <c r="S55" s="42"/>
      <c r="T55" s="42"/>
      <c r="U55" s="42"/>
      <c r="V55" s="41"/>
    </row>
    <row r="56" spans="2:22" s="679" customFormat="1" ht="36.75" x14ac:dyDescent="0.25">
      <c r="B56" s="1252" t="s">
        <v>947</v>
      </c>
      <c r="C56" s="42"/>
      <c r="D56" s="42"/>
      <c r="E56" s="294" t="s">
        <v>806</v>
      </c>
      <c r="F56" s="1049" t="s">
        <v>166</v>
      </c>
      <c r="G56" s="42"/>
      <c r="H56" s="42"/>
      <c r="I56" s="42"/>
      <c r="J56" s="42"/>
      <c r="K56" s="42"/>
      <c r="L56" s="42"/>
      <c r="M56" s="42"/>
      <c r="N56" s="42"/>
      <c r="O56" s="1296"/>
      <c r="P56" s="1296"/>
      <c r="Q56" s="1296"/>
      <c r="R56" s="42"/>
      <c r="S56" s="42"/>
      <c r="T56" s="42"/>
      <c r="U56" s="42"/>
      <c r="V56" s="41"/>
    </row>
    <row r="57" spans="2:22" s="679" customFormat="1" ht="15" x14ac:dyDescent="0.2">
      <c r="B57" s="40"/>
      <c r="C57" s="42"/>
      <c r="D57" s="42"/>
      <c r="E57" s="42"/>
      <c r="F57" s="1303"/>
      <c r="G57" s="42"/>
      <c r="H57" s="42"/>
      <c r="I57" s="42"/>
      <c r="J57" s="42"/>
      <c r="K57" s="42"/>
      <c r="L57" s="42"/>
      <c r="M57" s="42"/>
      <c r="N57" s="42"/>
      <c r="O57" s="1296"/>
      <c r="P57" s="1296"/>
      <c r="Q57" s="1296"/>
      <c r="R57" s="42"/>
      <c r="S57" s="42"/>
      <c r="T57" s="42"/>
      <c r="U57" s="42"/>
      <c r="V57" s="41"/>
    </row>
    <row r="58" spans="2:22" s="679" customFormat="1" ht="15" x14ac:dyDescent="0.2">
      <c r="B58" s="40"/>
      <c r="C58" s="42"/>
      <c r="D58" s="42"/>
      <c r="E58" s="42"/>
      <c r="F58" s="1303"/>
      <c r="G58" s="42"/>
      <c r="H58" s="42"/>
      <c r="I58" s="42"/>
      <c r="J58" s="42"/>
      <c r="K58" s="42"/>
      <c r="L58" s="42"/>
      <c r="M58" s="42"/>
      <c r="N58" s="42"/>
      <c r="O58" s="1296"/>
      <c r="P58" s="1296"/>
      <c r="Q58" s="1296"/>
      <c r="R58" s="42"/>
      <c r="S58" s="42"/>
      <c r="T58" s="42"/>
      <c r="U58" s="42"/>
      <c r="V58" s="41"/>
    </row>
    <row r="59" spans="2:22" s="679" customFormat="1" ht="15" x14ac:dyDescent="0.2">
      <c r="B59" s="40"/>
      <c r="C59" s="42"/>
      <c r="D59" s="42"/>
      <c r="E59" s="42"/>
      <c r="F59" s="1303"/>
      <c r="G59" s="42"/>
      <c r="H59" s="42"/>
      <c r="I59" s="42"/>
      <c r="J59" s="42"/>
      <c r="K59" s="42"/>
      <c r="L59" s="42"/>
      <c r="M59" s="42"/>
      <c r="N59" s="42"/>
      <c r="O59" s="1296"/>
      <c r="P59" s="1296"/>
      <c r="Q59" s="1296"/>
      <c r="R59" s="42"/>
      <c r="S59" s="42"/>
      <c r="T59" s="42"/>
      <c r="U59" s="42"/>
      <c r="V59" s="41"/>
    </row>
    <row r="60" spans="2:22" s="679" customFormat="1" ht="15" x14ac:dyDescent="0.2">
      <c r="B60" s="40"/>
      <c r="C60" s="42"/>
      <c r="D60" s="42"/>
      <c r="E60" s="42"/>
      <c r="F60" s="1303"/>
      <c r="G60" s="42"/>
      <c r="H60" s="42"/>
      <c r="I60" s="42"/>
      <c r="J60" s="42"/>
      <c r="K60" s="42"/>
      <c r="L60" s="42"/>
      <c r="M60" s="42"/>
      <c r="N60" s="42"/>
      <c r="O60" s="1296"/>
      <c r="P60" s="1296"/>
      <c r="Q60" s="1296"/>
      <c r="R60" s="42"/>
      <c r="S60" s="42"/>
      <c r="T60" s="42"/>
      <c r="U60" s="42"/>
      <c r="V60" s="41"/>
    </row>
    <row r="61" spans="2:22" s="679" customFormat="1" ht="15" x14ac:dyDescent="0.2">
      <c r="B61" s="40"/>
      <c r="C61" s="42"/>
      <c r="D61" s="42"/>
      <c r="E61" s="42"/>
      <c r="F61" s="1303"/>
      <c r="G61" s="42"/>
      <c r="H61" s="42"/>
      <c r="I61" s="42"/>
      <c r="J61" s="42"/>
      <c r="K61" s="42"/>
      <c r="L61" s="42"/>
      <c r="M61" s="42"/>
      <c r="N61" s="42"/>
      <c r="O61" s="1296"/>
      <c r="P61" s="1296"/>
      <c r="Q61" s="1296"/>
      <c r="R61" s="42"/>
      <c r="S61" s="42"/>
      <c r="T61" s="42"/>
      <c r="U61" s="42"/>
      <c r="V61" s="41"/>
    </row>
    <row r="62" spans="2:22" s="679" customFormat="1" ht="15" x14ac:dyDescent="0.2">
      <c r="B62" s="40"/>
      <c r="C62" s="42"/>
      <c r="D62" s="42"/>
      <c r="E62" s="42"/>
      <c r="F62" s="1303"/>
      <c r="G62" s="42"/>
      <c r="H62" s="42"/>
      <c r="I62" s="42"/>
      <c r="J62" s="42"/>
      <c r="K62" s="42"/>
      <c r="L62" s="42"/>
      <c r="M62" s="42"/>
      <c r="N62" s="42"/>
      <c r="O62" s="1296"/>
      <c r="P62" s="1296"/>
      <c r="Q62" s="1296"/>
      <c r="R62" s="42"/>
      <c r="S62" s="42"/>
      <c r="T62" s="42"/>
      <c r="U62" s="42"/>
      <c r="V62" s="41"/>
    </row>
    <row r="63" spans="2:22" s="679" customFormat="1" ht="15" x14ac:dyDescent="0.2">
      <c r="B63" s="40"/>
      <c r="C63" s="42"/>
      <c r="D63" s="42"/>
      <c r="E63" s="42"/>
      <c r="F63" s="1303"/>
      <c r="G63" s="42"/>
      <c r="H63" s="42"/>
      <c r="I63" s="42"/>
      <c r="J63" s="42"/>
      <c r="K63" s="42"/>
      <c r="L63" s="42"/>
      <c r="M63" s="42"/>
      <c r="N63" s="42"/>
      <c r="O63" s="1296"/>
      <c r="P63" s="1296"/>
      <c r="Q63" s="1296"/>
      <c r="R63" s="42"/>
      <c r="S63" s="42"/>
      <c r="T63" s="42"/>
      <c r="U63" s="42"/>
      <c r="V63" s="41"/>
    </row>
    <row r="64" spans="2:22" s="679" customFormat="1" ht="15" x14ac:dyDescent="0.2">
      <c r="B64" s="40"/>
      <c r="C64" s="42"/>
      <c r="D64" s="42"/>
      <c r="E64" s="42"/>
      <c r="F64" s="1303"/>
      <c r="G64" s="42"/>
      <c r="H64" s="42"/>
      <c r="I64" s="42"/>
      <c r="J64" s="42"/>
      <c r="K64" s="42"/>
      <c r="L64" s="42"/>
      <c r="M64" s="42"/>
      <c r="N64" s="42"/>
      <c r="O64" s="1296"/>
      <c r="P64" s="1296"/>
      <c r="Q64" s="1296"/>
      <c r="R64" s="42"/>
      <c r="S64" s="42"/>
      <c r="T64" s="42"/>
      <c r="U64" s="42"/>
      <c r="V64" s="41"/>
    </row>
    <row r="65" spans="2:22" s="679" customFormat="1" ht="15" x14ac:dyDescent="0.2">
      <c r="B65" s="40"/>
      <c r="C65" s="42"/>
      <c r="D65" s="42"/>
      <c r="E65" s="42"/>
      <c r="F65" s="1303"/>
      <c r="G65" s="42"/>
      <c r="H65" s="42"/>
      <c r="I65" s="42"/>
      <c r="J65" s="42"/>
      <c r="K65" s="42"/>
      <c r="L65" s="42"/>
      <c r="M65" s="42"/>
      <c r="N65" s="42"/>
      <c r="O65" s="1296"/>
      <c r="P65" s="1296"/>
      <c r="Q65" s="1296"/>
      <c r="R65" s="42"/>
      <c r="S65" s="42"/>
      <c r="T65" s="42"/>
      <c r="U65" s="42"/>
      <c r="V65" s="41"/>
    </row>
    <row r="66" spans="2:22" s="679" customFormat="1" ht="15" x14ac:dyDescent="0.2">
      <c r="B66" s="40"/>
      <c r="C66" s="42"/>
      <c r="D66" s="42"/>
      <c r="E66" s="42"/>
      <c r="F66" s="1303"/>
      <c r="G66" s="42"/>
      <c r="H66" s="42"/>
      <c r="I66" s="42"/>
      <c r="J66" s="42"/>
      <c r="K66" s="42"/>
      <c r="L66" s="42"/>
      <c r="M66" s="42"/>
      <c r="N66" s="42"/>
      <c r="O66" s="1296"/>
      <c r="P66" s="1296"/>
      <c r="Q66" s="1296"/>
      <c r="R66" s="42"/>
      <c r="S66" s="42"/>
      <c r="T66" s="42"/>
      <c r="U66" s="42"/>
      <c r="V66" s="41"/>
    </row>
    <row r="67" spans="2:22" s="679" customFormat="1" ht="15" x14ac:dyDescent="0.2">
      <c r="B67" s="40"/>
      <c r="C67" s="42"/>
      <c r="D67" s="42"/>
      <c r="E67" s="42"/>
      <c r="F67" s="1303"/>
      <c r="G67" s="42"/>
      <c r="H67" s="42"/>
      <c r="I67" s="42"/>
      <c r="J67" s="42"/>
      <c r="K67" s="42"/>
      <c r="L67" s="42"/>
      <c r="M67" s="42"/>
      <c r="N67" s="42"/>
      <c r="O67" s="1296"/>
      <c r="P67" s="1296"/>
      <c r="Q67" s="1296"/>
      <c r="R67" s="42"/>
      <c r="S67" s="42"/>
      <c r="T67" s="42"/>
      <c r="U67" s="42"/>
      <c r="V67" s="41"/>
    </row>
    <row r="68" spans="2:22" s="679" customFormat="1" ht="15" x14ac:dyDescent="0.2">
      <c r="B68" s="40"/>
      <c r="C68" s="42"/>
      <c r="D68" s="42"/>
      <c r="E68" s="42"/>
      <c r="F68" s="1303"/>
      <c r="G68" s="42"/>
      <c r="H68" s="42"/>
      <c r="I68" s="42"/>
      <c r="J68" s="42"/>
      <c r="K68" s="42"/>
      <c r="L68" s="42"/>
      <c r="M68" s="42"/>
      <c r="N68" s="42"/>
      <c r="O68" s="1296"/>
      <c r="P68" s="1296"/>
      <c r="Q68" s="1296"/>
      <c r="R68" s="42"/>
      <c r="S68" s="42"/>
      <c r="T68" s="42"/>
      <c r="U68" s="42"/>
      <c r="V68" s="41"/>
    </row>
    <row r="69" spans="2:22" s="679" customFormat="1" ht="15" x14ac:dyDescent="0.2">
      <c r="B69" s="40"/>
      <c r="C69" s="42"/>
      <c r="D69" s="42"/>
      <c r="E69" s="42"/>
      <c r="F69" s="1303"/>
      <c r="G69" s="42"/>
      <c r="H69" s="42"/>
      <c r="I69" s="42"/>
      <c r="J69" s="42"/>
      <c r="K69" s="42"/>
      <c r="L69" s="42"/>
      <c r="M69" s="42"/>
      <c r="N69" s="42"/>
      <c r="O69" s="1296"/>
      <c r="P69" s="1296"/>
      <c r="Q69" s="1296"/>
      <c r="R69" s="42"/>
      <c r="S69" s="42"/>
      <c r="T69" s="42"/>
      <c r="U69" s="42"/>
      <c r="V69" s="41"/>
    </row>
    <row r="70" spans="2:22" s="679" customFormat="1" ht="15" x14ac:dyDescent="0.2">
      <c r="B70" s="40"/>
      <c r="C70" s="42"/>
      <c r="D70" s="42"/>
      <c r="E70" s="42"/>
      <c r="F70" s="1303"/>
      <c r="G70" s="42"/>
      <c r="H70" s="42"/>
      <c r="I70" s="42"/>
      <c r="J70" s="42"/>
      <c r="K70" s="42"/>
      <c r="L70" s="42"/>
      <c r="M70" s="42"/>
      <c r="N70" s="42"/>
      <c r="O70" s="1296"/>
      <c r="P70" s="1296"/>
      <c r="Q70" s="1296"/>
      <c r="R70" s="42"/>
      <c r="S70" s="42"/>
      <c r="T70" s="42"/>
      <c r="U70" s="42"/>
      <c r="V70" s="41"/>
    </row>
    <row r="71" spans="2:22" s="679" customFormat="1" ht="15" x14ac:dyDescent="0.2">
      <c r="B71" s="40"/>
      <c r="C71" s="42"/>
      <c r="D71" s="42"/>
      <c r="E71" s="42"/>
      <c r="F71" s="1303"/>
      <c r="G71" s="42"/>
      <c r="H71" s="42"/>
      <c r="I71" s="42"/>
      <c r="J71" s="42"/>
      <c r="K71" s="42"/>
      <c r="L71" s="42"/>
      <c r="M71" s="42"/>
      <c r="N71" s="42"/>
      <c r="O71" s="1296"/>
      <c r="P71" s="1296"/>
      <c r="Q71" s="1296"/>
      <c r="R71" s="42"/>
      <c r="S71" s="42"/>
      <c r="T71" s="42"/>
      <c r="U71" s="42"/>
      <c r="V71" s="41"/>
    </row>
    <row r="72" spans="2:22" s="679" customFormat="1" ht="15" x14ac:dyDescent="0.2">
      <c r="B72" s="40"/>
      <c r="C72" s="42"/>
      <c r="D72" s="42"/>
      <c r="E72" s="42"/>
      <c r="F72" s="1303"/>
      <c r="G72" s="42"/>
      <c r="H72" s="42"/>
      <c r="I72" s="42"/>
      <c r="J72" s="42"/>
      <c r="K72" s="42"/>
      <c r="L72" s="42"/>
      <c r="M72" s="42"/>
      <c r="N72" s="42"/>
      <c r="O72" s="1296"/>
      <c r="P72" s="1296"/>
      <c r="Q72" s="1296"/>
      <c r="R72" s="42"/>
      <c r="S72" s="42"/>
      <c r="T72" s="42"/>
      <c r="U72" s="42"/>
      <c r="V72" s="41"/>
    </row>
    <row r="73" spans="2:22" s="679" customFormat="1" ht="15" x14ac:dyDescent="0.2">
      <c r="B73" s="40"/>
      <c r="C73" s="42"/>
      <c r="D73" s="42"/>
      <c r="E73" s="42"/>
      <c r="F73" s="1303"/>
      <c r="G73" s="42"/>
      <c r="H73" s="42"/>
      <c r="I73" s="42"/>
      <c r="J73" s="42"/>
      <c r="K73" s="42"/>
      <c r="L73" s="42"/>
      <c r="M73" s="42"/>
      <c r="N73" s="42"/>
      <c r="O73" s="1296"/>
      <c r="P73" s="1296"/>
      <c r="Q73" s="1296"/>
      <c r="R73" s="42"/>
      <c r="S73" s="42"/>
      <c r="T73" s="42"/>
      <c r="U73" s="42"/>
      <c r="V73" s="41"/>
    </row>
    <row r="74" spans="2:22" s="679" customFormat="1" ht="15" x14ac:dyDescent="0.2">
      <c r="B74" s="40"/>
      <c r="C74" s="42"/>
      <c r="D74" s="42"/>
      <c r="E74" s="42"/>
      <c r="F74" s="1303"/>
      <c r="G74" s="42"/>
      <c r="H74" s="42"/>
      <c r="I74" s="42"/>
      <c r="J74" s="42"/>
      <c r="K74" s="42"/>
      <c r="L74" s="42"/>
      <c r="M74" s="42"/>
      <c r="N74" s="42"/>
      <c r="O74" s="1296"/>
      <c r="P74" s="1296"/>
      <c r="Q74" s="1296"/>
      <c r="R74" s="42"/>
      <c r="S74" s="42"/>
      <c r="T74" s="42"/>
      <c r="U74" s="42"/>
      <c r="V74" s="41"/>
    </row>
    <row r="75" spans="2:22" s="679" customFormat="1" ht="15" x14ac:dyDescent="0.2">
      <c r="B75" s="40"/>
      <c r="C75" s="42"/>
      <c r="D75" s="42"/>
      <c r="E75" s="42"/>
      <c r="F75" s="1303"/>
      <c r="G75" s="42"/>
      <c r="H75" s="42"/>
      <c r="I75" s="42"/>
      <c r="J75" s="42"/>
      <c r="K75" s="42"/>
      <c r="L75" s="42"/>
      <c r="M75" s="42"/>
      <c r="N75" s="42"/>
      <c r="O75" s="1296"/>
      <c r="P75" s="1296"/>
      <c r="Q75" s="1296"/>
      <c r="R75" s="42"/>
      <c r="S75" s="42"/>
      <c r="T75" s="42"/>
      <c r="U75" s="42"/>
      <c r="V75" s="41"/>
    </row>
    <row r="76" spans="2:22" s="679" customFormat="1" ht="15" x14ac:dyDescent="0.2">
      <c r="B76" s="40"/>
      <c r="C76" s="42"/>
      <c r="D76" s="42"/>
      <c r="E76" s="42"/>
      <c r="F76" s="1303"/>
      <c r="G76" s="42"/>
      <c r="H76" s="42"/>
      <c r="I76" s="42"/>
      <c r="J76" s="42"/>
      <c r="K76" s="42"/>
      <c r="L76" s="42"/>
      <c r="M76" s="42"/>
      <c r="N76" s="42"/>
      <c r="O76" s="1296"/>
      <c r="P76" s="1296"/>
      <c r="Q76" s="1296"/>
      <c r="R76" s="42"/>
      <c r="S76" s="42"/>
      <c r="T76" s="42"/>
      <c r="U76" s="42"/>
      <c r="V76" s="41"/>
    </row>
    <row r="77" spans="2:22" s="679" customFormat="1" ht="15" x14ac:dyDescent="0.2">
      <c r="B77" s="40"/>
      <c r="C77" s="42"/>
      <c r="D77" s="42"/>
      <c r="E77" s="42"/>
      <c r="F77" s="1303"/>
      <c r="G77" s="42"/>
      <c r="H77" s="42"/>
      <c r="I77" s="42"/>
      <c r="J77" s="42"/>
      <c r="K77" s="42"/>
      <c r="L77" s="42"/>
      <c r="M77" s="42"/>
      <c r="N77" s="42"/>
      <c r="O77" s="1296"/>
      <c r="P77" s="1296"/>
      <c r="Q77" s="1296"/>
      <c r="R77" s="42"/>
      <c r="S77" s="42"/>
      <c r="T77" s="42"/>
      <c r="U77" s="42"/>
      <c r="V77" s="41"/>
    </row>
    <row r="78" spans="2:22" s="679" customFormat="1" ht="15" x14ac:dyDescent="0.2">
      <c r="B78" s="40"/>
      <c r="C78" s="42"/>
      <c r="D78" s="42"/>
      <c r="E78" s="42"/>
      <c r="F78" s="1303"/>
      <c r="G78" s="42"/>
      <c r="H78" s="42"/>
      <c r="I78" s="42"/>
      <c r="J78" s="42"/>
      <c r="K78" s="42"/>
      <c r="L78" s="42"/>
      <c r="M78" s="42"/>
      <c r="N78" s="42"/>
      <c r="O78" s="1296"/>
      <c r="P78" s="1296"/>
      <c r="Q78" s="1296"/>
      <c r="R78" s="42"/>
      <c r="S78" s="42"/>
      <c r="T78" s="42"/>
      <c r="U78" s="42"/>
      <c r="V78" s="41"/>
    </row>
    <row r="79" spans="2:22" s="679" customFormat="1" ht="15" x14ac:dyDescent="0.2">
      <c r="B79" s="40"/>
      <c r="C79" s="42"/>
      <c r="D79" s="42"/>
      <c r="E79" s="42"/>
      <c r="F79" s="1303"/>
      <c r="G79" s="42"/>
      <c r="H79" s="42"/>
      <c r="I79" s="42"/>
      <c r="J79" s="42"/>
      <c r="K79" s="42"/>
      <c r="L79" s="42"/>
      <c r="M79" s="42"/>
      <c r="N79" s="42"/>
      <c r="O79" s="1296"/>
      <c r="P79" s="1296"/>
      <c r="Q79" s="1296"/>
      <c r="R79" s="42"/>
      <c r="S79" s="42"/>
      <c r="T79" s="42"/>
      <c r="U79" s="42"/>
      <c r="V79" s="41"/>
    </row>
    <row r="80" spans="2:22" s="679" customFormat="1" ht="15" x14ac:dyDescent="0.2">
      <c r="B80" s="40"/>
      <c r="C80" s="42"/>
      <c r="D80" s="42"/>
      <c r="E80" s="42"/>
      <c r="F80" s="1303"/>
      <c r="G80" s="42"/>
      <c r="H80" s="42"/>
      <c r="I80" s="42"/>
      <c r="J80" s="42"/>
      <c r="K80" s="42"/>
      <c r="L80" s="42"/>
      <c r="M80" s="42"/>
      <c r="N80" s="42"/>
      <c r="O80" s="1296"/>
      <c r="P80" s="1296"/>
      <c r="Q80" s="1296"/>
      <c r="R80" s="42"/>
      <c r="S80" s="42"/>
      <c r="T80" s="42"/>
      <c r="U80" s="42"/>
      <c r="V80" s="41"/>
    </row>
    <row r="81" spans="2:22" s="679" customFormat="1" ht="15" x14ac:dyDescent="0.2">
      <c r="B81" s="40"/>
      <c r="C81" s="42"/>
      <c r="D81" s="42"/>
      <c r="E81" s="42"/>
      <c r="F81" s="1303"/>
      <c r="G81" s="42"/>
      <c r="H81" s="42"/>
      <c r="I81" s="42"/>
      <c r="J81" s="42"/>
      <c r="K81" s="42"/>
      <c r="L81" s="42"/>
      <c r="M81" s="42"/>
      <c r="N81" s="42"/>
      <c r="O81" s="1296"/>
      <c r="P81" s="1296"/>
      <c r="Q81" s="1296"/>
      <c r="R81" s="42"/>
      <c r="S81" s="42"/>
      <c r="T81" s="42"/>
      <c r="U81" s="42"/>
      <c r="V81" s="41"/>
    </row>
    <row r="82" spans="2:22" s="679" customFormat="1" ht="15" x14ac:dyDescent="0.2">
      <c r="B82" s="40"/>
      <c r="C82" s="42"/>
      <c r="D82" s="42"/>
      <c r="E82" s="42"/>
      <c r="F82" s="1303"/>
      <c r="G82" s="42"/>
      <c r="H82" s="42"/>
      <c r="I82" s="42"/>
      <c r="J82" s="42"/>
      <c r="K82" s="42"/>
      <c r="L82" s="42"/>
      <c r="M82" s="42"/>
      <c r="N82" s="42"/>
      <c r="O82" s="1296"/>
      <c r="P82" s="1296"/>
      <c r="Q82" s="1296"/>
      <c r="R82" s="42"/>
      <c r="S82" s="42"/>
      <c r="T82" s="42"/>
      <c r="U82" s="42"/>
      <c r="V82" s="41"/>
    </row>
    <row r="83" spans="2:22" s="679" customFormat="1" ht="15" x14ac:dyDescent="0.2">
      <c r="B83" s="40"/>
      <c r="C83" s="42"/>
      <c r="D83" s="42"/>
      <c r="E83" s="42"/>
      <c r="F83" s="1303"/>
      <c r="G83" s="42"/>
      <c r="H83" s="42"/>
      <c r="I83" s="42"/>
      <c r="J83" s="42"/>
      <c r="K83" s="42"/>
      <c r="L83" s="42"/>
      <c r="M83" s="42"/>
      <c r="N83" s="42"/>
      <c r="O83" s="1296"/>
      <c r="P83" s="1296"/>
      <c r="Q83" s="1296"/>
      <c r="R83" s="42"/>
      <c r="S83" s="42"/>
      <c r="T83" s="42"/>
      <c r="U83" s="42"/>
      <c r="V83" s="41"/>
    </row>
    <row r="84" spans="2:22" s="679" customFormat="1" ht="15" x14ac:dyDescent="0.2">
      <c r="B84" s="40"/>
      <c r="C84" s="42"/>
      <c r="D84" s="42"/>
      <c r="E84" s="42"/>
      <c r="F84" s="1303"/>
      <c r="G84" s="42"/>
      <c r="H84" s="42"/>
      <c r="I84" s="42"/>
      <c r="J84" s="42"/>
      <c r="K84" s="42"/>
      <c r="L84" s="42"/>
      <c r="M84" s="42"/>
      <c r="N84" s="42"/>
      <c r="O84" s="1296"/>
      <c r="P84" s="1296"/>
      <c r="Q84" s="1296"/>
      <c r="R84" s="42"/>
      <c r="S84" s="42"/>
      <c r="T84" s="42"/>
      <c r="U84" s="42"/>
      <c r="V84" s="41"/>
    </row>
    <row r="85" spans="2:22" s="679" customFormat="1" ht="15" x14ac:dyDescent="0.2">
      <c r="B85" s="43"/>
      <c r="C85" s="44"/>
      <c r="D85" s="44"/>
      <c r="E85" s="1050"/>
      <c r="F85" s="1305"/>
      <c r="G85" s="44"/>
      <c r="H85" s="44"/>
      <c r="I85" s="44"/>
      <c r="J85" s="44"/>
      <c r="K85" s="44"/>
      <c r="L85" s="44"/>
      <c r="M85" s="44"/>
      <c r="N85" s="44"/>
      <c r="O85" s="1297"/>
      <c r="P85" s="1297"/>
      <c r="Q85" s="1297"/>
      <c r="R85" s="44"/>
      <c r="S85" s="44"/>
      <c r="T85" s="44"/>
      <c r="U85" s="44"/>
      <c r="V85" s="45"/>
    </row>
    <row r="86" spans="2:22" s="679" customFormat="1" ht="15" x14ac:dyDescent="0.2">
      <c r="B86" s="37"/>
      <c r="C86" s="39"/>
      <c r="D86" s="39"/>
      <c r="E86" s="39"/>
      <c r="F86" s="1303"/>
      <c r="G86" s="42"/>
      <c r="H86" s="42"/>
      <c r="I86" s="42"/>
      <c r="J86" s="42"/>
      <c r="K86" s="42"/>
      <c r="L86" s="42"/>
      <c r="M86" s="42"/>
      <c r="N86" s="42"/>
      <c r="O86" s="1296"/>
      <c r="P86" s="1296"/>
      <c r="Q86" s="1296"/>
      <c r="R86" s="42"/>
      <c r="S86" s="42"/>
      <c r="T86" s="42"/>
      <c r="U86" s="42"/>
      <c r="V86" s="41"/>
    </row>
    <row r="87" spans="2:22" s="679" customFormat="1" ht="38.450000000000003" customHeight="1" x14ac:dyDescent="0.25">
      <c r="B87" s="1327" t="s">
        <v>950</v>
      </c>
      <c r="C87" s="1328"/>
      <c r="D87" s="42"/>
      <c r="E87" s="294" t="s">
        <v>799</v>
      </c>
      <c r="F87" s="1049" t="s">
        <v>165</v>
      </c>
      <c r="G87" s="42"/>
      <c r="H87" s="42"/>
      <c r="I87" s="42"/>
      <c r="J87" s="42"/>
      <c r="K87" s="42"/>
      <c r="L87" s="42"/>
      <c r="M87" s="42"/>
      <c r="N87" s="42"/>
      <c r="O87" s="1296"/>
      <c r="P87" s="1296"/>
      <c r="Q87" s="1296"/>
      <c r="R87" s="42"/>
      <c r="S87" s="42"/>
      <c r="T87" s="42"/>
      <c r="U87" s="42"/>
      <c r="V87" s="41"/>
    </row>
    <row r="88" spans="2:22" s="679" customFormat="1" ht="15" x14ac:dyDescent="0.2">
      <c r="B88" s="40"/>
      <c r="C88" s="42"/>
      <c r="D88" s="42"/>
      <c r="E88" s="42"/>
      <c r="F88" s="1303"/>
      <c r="G88" s="42"/>
      <c r="H88" s="42"/>
      <c r="I88" s="42"/>
      <c r="J88" s="42"/>
      <c r="K88" s="42"/>
      <c r="L88" s="42"/>
      <c r="M88" s="42"/>
      <c r="N88" s="42"/>
      <c r="O88" s="1296"/>
      <c r="P88" s="1296"/>
      <c r="Q88" s="1296"/>
      <c r="R88" s="42"/>
      <c r="S88" s="42"/>
      <c r="T88" s="42"/>
      <c r="U88" s="42"/>
      <c r="V88" s="41"/>
    </row>
    <row r="89" spans="2:22" s="679" customFormat="1" ht="15" x14ac:dyDescent="0.2">
      <c r="B89" s="40"/>
      <c r="C89" s="42"/>
      <c r="D89" s="42"/>
      <c r="E89" s="42"/>
      <c r="F89" s="1303"/>
      <c r="G89" s="42"/>
      <c r="H89" s="42"/>
      <c r="I89" s="42"/>
      <c r="J89" s="42"/>
      <c r="K89" s="42"/>
      <c r="L89" s="42"/>
      <c r="M89" s="42"/>
      <c r="N89" s="42"/>
      <c r="O89" s="1296"/>
      <c r="P89" s="1296"/>
      <c r="Q89" s="1296"/>
      <c r="R89" s="42"/>
      <c r="S89" s="42"/>
      <c r="T89" s="42"/>
      <c r="U89" s="42"/>
      <c r="V89" s="41"/>
    </row>
    <row r="90" spans="2:22" s="679" customFormat="1" ht="15" x14ac:dyDescent="0.2">
      <c r="B90" s="40"/>
      <c r="C90" s="42"/>
      <c r="D90" s="42"/>
      <c r="E90" s="42"/>
      <c r="F90" s="1303"/>
      <c r="G90" s="42"/>
      <c r="H90" s="42"/>
      <c r="I90" s="42"/>
      <c r="J90" s="42"/>
      <c r="K90" s="42"/>
      <c r="L90" s="42"/>
      <c r="M90" s="42"/>
      <c r="N90" s="42"/>
      <c r="O90" s="1296"/>
      <c r="P90" s="1296"/>
      <c r="Q90" s="1296"/>
      <c r="R90" s="42"/>
      <c r="S90" s="42"/>
      <c r="T90" s="42"/>
      <c r="U90" s="42"/>
      <c r="V90" s="41"/>
    </row>
    <row r="91" spans="2:22" s="679" customFormat="1" ht="15" x14ac:dyDescent="0.2">
      <c r="B91" s="40"/>
      <c r="C91" s="42"/>
      <c r="D91" s="42"/>
      <c r="E91" s="42"/>
      <c r="F91" s="1303"/>
      <c r="G91" s="42"/>
      <c r="H91" s="42"/>
      <c r="I91" s="42"/>
      <c r="J91" s="42"/>
      <c r="K91" s="42"/>
      <c r="L91" s="42"/>
      <c r="M91" s="42"/>
      <c r="N91" s="42"/>
      <c r="O91" s="1296"/>
      <c r="P91" s="1296"/>
      <c r="Q91" s="1296"/>
      <c r="R91" s="42"/>
      <c r="S91" s="42"/>
      <c r="T91" s="42"/>
      <c r="U91" s="42"/>
      <c r="V91" s="41"/>
    </row>
    <row r="92" spans="2:22" s="679" customFormat="1" ht="15" x14ac:dyDescent="0.2">
      <c r="B92" s="40"/>
      <c r="C92" s="42"/>
      <c r="D92" s="42"/>
      <c r="E92" s="42"/>
      <c r="F92" s="1303"/>
      <c r="G92" s="42"/>
      <c r="H92" s="42"/>
      <c r="I92" s="42"/>
      <c r="J92" s="42"/>
      <c r="K92" s="42"/>
      <c r="L92" s="42"/>
      <c r="M92" s="42"/>
      <c r="N92" s="42"/>
      <c r="O92" s="1296"/>
      <c r="P92" s="1296"/>
      <c r="Q92" s="1296"/>
      <c r="R92" s="42"/>
      <c r="S92" s="42"/>
      <c r="T92" s="42"/>
      <c r="U92" s="42"/>
      <c r="V92" s="41"/>
    </row>
    <row r="93" spans="2:22" s="679" customFormat="1" ht="15" x14ac:dyDescent="0.2">
      <c r="B93" s="40"/>
      <c r="C93" s="42"/>
      <c r="D93" s="42"/>
      <c r="E93" s="42"/>
      <c r="F93" s="1303"/>
      <c r="G93" s="42"/>
      <c r="H93" s="42"/>
      <c r="I93" s="42"/>
      <c r="J93" s="42"/>
      <c r="K93" s="42"/>
      <c r="L93" s="42"/>
      <c r="M93" s="42"/>
      <c r="N93" s="42"/>
      <c r="O93" s="1296"/>
      <c r="P93" s="1296"/>
      <c r="Q93" s="1296"/>
      <c r="R93" s="42"/>
      <c r="S93" s="42"/>
      <c r="T93" s="42"/>
      <c r="U93" s="42"/>
      <c r="V93" s="41"/>
    </row>
    <row r="94" spans="2:22" s="679" customFormat="1" ht="15" x14ac:dyDescent="0.2">
      <c r="B94" s="40"/>
      <c r="C94" s="42"/>
      <c r="D94" s="42"/>
      <c r="E94" s="42"/>
      <c r="F94" s="1303"/>
      <c r="G94" s="42"/>
      <c r="H94" s="42"/>
      <c r="I94" s="42"/>
      <c r="J94" s="42"/>
      <c r="K94" s="42"/>
      <c r="L94" s="42"/>
      <c r="M94" s="42"/>
      <c r="N94" s="42"/>
      <c r="O94" s="1296"/>
      <c r="P94" s="1296"/>
      <c r="Q94" s="1296"/>
      <c r="R94" s="42"/>
      <c r="S94" s="42"/>
      <c r="T94" s="42"/>
      <c r="U94" s="42"/>
      <c r="V94" s="41"/>
    </row>
    <row r="95" spans="2:22" s="679" customFormat="1" ht="15" x14ac:dyDescent="0.2">
      <c r="B95" s="40"/>
      <c r="C95" s="42"/>
      <c r="D95" s="42"/>
      <c r="E95" s="42"/>
      <c r="F95" s="1303"/>
      <c r="G95" s="42"/>
      <c r="H95" s="42"/>
      <c r="I95" s="42"/>
      <c r="J95" s="42"/>
      <c r="K95" s="42"/>
      <c r="L95" s="42"/>
      <c r="M95" s="42"/>
      <c r="N95" s="42"/>
      <c r="O95" s="1296"/>
      <c r="P95" s="1296"/>
      <c r="Q95" s="1296"/>
      <c r="R95" s="42"/>
      <c r="S95" s="42"/>
      <c r="T95" s="42"/>
      <c r="U95" s="42"/>
      <c r="V95" s="41"/>
    </row>
    <row r="96" spans="2:22" s="679" customFormat="1" ht="15" x14ac:dyDescent="0.2">
      <c r="B96" s="40"/>
      <c r="C96" s="42"/>
      <c r="D96" s="42"/>
      <c r="E96" s="42"/>
      <c r="F96" s="1303"/>
      <c r="G96" s="42"/>
      <c r="H96" s="42"/>
      <c r="I96" s="42"/>
      <c r="J96" s="42"/>
      <c r="K96" s="42"/>
      <c r="L96" s="42"/>
      <c r="M96" s="42"/>
      <c r="N96" s="42"/>
      <c r="O96" s="1296"/>
      <c r="P96" s="1296"/>
      <c r="Q96" s="1296"/>
      <c r="R96" s="42"/>
      <c r="S96" s="42"/>
      <c r="T96" s="42"/>
      <c r="U96" s="42"/>
      <c r="V96" s="41"/>
    </row>
    <row r="97" spans="2:26" s="679" customFormat="1" ht="15" x14ac:dyDescent="0.2">
      <c r="B97" s="40"/>
      <c r="C97" s="42"/>
      <c r="D97" s="42"/>
      <c r="E97" s="42"/>
      <c r="F97" s="1303"/>
      <c r="G97" s="42"/>
      <c r="H97" s="42"/>
      <c r="I97" s="42"/>
      <c r="J97" s="42"/>
      <c r="K97" s="42"/>
      <c r="L97" s="42"/>
      <c r="M97" s="42"/>
      <c r="N97" s="42"/>
      <c r="O97" s="1296"/>
      <c r="P97" s="1296"/>
      <c r="Q97" s="1296"/>
      <c r="R97" s="42"/>
      <c r="S97" s="42"/>
      <c r="T97" s="42"/>
      <c r="U97" s="42"/>
      <c r="V97" s="41"/>
    </row>
    <row r="98" spans="2:26" s="679" customFormat="1" ht="15" x14ac:dyDescent="0.2">
      <c r="B98" s="40"/>
      <c r="C98" s="42"/>
      <c r="D98" s="42"/>
      <c r="E98" s="42"/>
      <c r="F98" s="1303"/>
      <c r="G98" s="42"/>
      <c r="H98" s="42"/>
      <c r="I98" s="42"/>
      <c r="J98" s="42"/>
      <c r="K98" s="42"/>
      <c r="L98" s="42"/>
      <c r="M98" s="42"/>
      <c r="N98" s="42"/>
      <c r="O98" s="1296"/>
      <c r="P98" s="1296"/>
      <c r="Q98" s="1296"/>
      <c r="R98" s="42"/>
      <c r="S98" s="42"/>
      <c r="T98" s="42"/>
      <c r="U98" s="42"/>
      <c r="V98" s="41"/>
    </row>
    <row r="99" spans="2:26" s="679" customFormat="1" ht="15" x14ac:dyDescent="0.2">
      <c r="B99" s="40"/>
      <c r="C99" s="42"/>
      <c r="D99" s="42"/>
      <c r="E99" s="42"/>
      <c r="F99" s="1303"/>
      <c r="G99" s="42"/>
      <c r="H99" s="42"/>
      <c r="I99" s="42"/>
      <c r="J99" s="42"/>
      <c r="K99" s="42"/>
      <c r="L99" s="42"/>
      <c r="M99" s="42"/>
      <c r="N99" s="42"/>
      <c r="O99" s="1296"/>
      <c r="P99" s="1296"/>
      <c r="Q99" s="1296"/>
      <c r="R99" s="42"/>
      <c r="S99" s="42"/>
      <c r="T99" s="42"/>
      <c r="U99" s="42"/>
      <c r="V99" s="41"/>
    </row>
    <row r="100" spans="2:26" s="679" customFormat="1" ht="15" x14ac:dyDescent="0.2">
      <c r="B100" s="40"/>
      <c r="C100" s="42"/>
      <c r="D100" s="42"/>
      <c r="E100" s="42"/>
      <c r="F100" s="1303"/>
      <c r="G100" s="42"/>
      <c r="H100" s="42"/>
      <c r="I100" s="42"/>
      <c r="J100" s="42"/>
      <c r="K100" s="42"/>
      <c r="L100" s="42"/>
      <c r="M100" s="42"/>
      <c r="N100" s="42"/>
      <c r="O100" s="1296"/>
      <c r="P100" s="1296"/>
      <c r="Q100" s="1296"/>
      <c r="R100" s="42"/>
      <c r="S100" s="42"/>
      <c r="T100" s="42"/>
      <c r="U100" s="42"/>
      <c r="V100" s="41"/>
    </row>
    <row r="101" spans="2:26" s="679" customFormat="1" ht="15" x14ac:dyDescent="0.2">
      <c r="B101" s="40"/>
      <c r="C101" s="42"/>
      <c r="D101" s="42"/>
      <c r="E101" s="42"/>
      <c r="F101" s="1303"/>
      <c r="G101" s="42"/>
      <c r="H101" s="42"/>
      <c r="I101" s="42"/>
      <c r="J101" s="42"/>
      <c r="K101" s="42"/>
      <c r="L101" s="42"/>
      <c r="M101" s="42"/>
      <c r="N101" s="42"/>
      <c r="O101" s="1296"/>
      <c r="P101" s="1296"/>
      <c r="Q101" s="1296"/>
      <c r="R101" s="42"/>
      <c r="S101" s="42"/>
      <c r="T101" s="42"/>
      <c r="U101" s="42"/>
      <c r="V101" s="41"/>
    </row>
    <row r="102" spans="2:26" s="679" customFormat="1" ht="15" x14ac:dyDescent="0.2">
      <c r="B102" s="40"/>
      <c r="C102" s="42"/>
      <c r="D102" s="42"/>
      <c r="E102" s="42"/>
      <c r="F102" s="1303"/>
      <c r="G102" s="42"/>
      <c r="H102" s="42"/>
      <c r="I102" s="42"/>
      <c r="J102" s="42"/>
      <c r="K102" s="42"/>
      <c r="L102" s="42"/>
      <c r="M102" s="42"/>
      <c r="N102" s="42"/>
      <c r="O102" s="1296"/>
      <c r="P102" s="1296"/>
      <c r="Q102" s="1296"/>
      <c r="R102" s="42"/>
      <c r="S102" s="42"/>
      <c r="T102" s="42"/>
      <c r="U102" s="42"/>
      <c r="V102" s="41"/>
    </row>
    <row r="103" spans="2:26" s="679" customFormat="1" ht="15" x14ac:dyDescent="0.2">
      <c r="B103" s="40"/>
      <c r="C103" s="42"/>
      <c r="D103" s="42"/>
      <c r="E103" s="42"/>
      <c r="F103" s="1303"/>
      <c r="G103" s="42"/>
      <c r="H103" s="42"/>
      <c r="I103" s="42"/>
      <c r="J103" s="42"/>
      <c r="K103" s="42"/>
      <c r="L103" s="42"/>
      <c r="M103" s="42"/>
      <c r="N103" s="42"/>
      <c r="O103" s="1296"/>
      <c r="P103" s="1296"/>
      <c r="Q103" s="1296"/>
      <c r="R103" s="42"/>
      <c r="S103" s="42"/>
      <c r="T103" s="42"/>
      <c r="U103" s="42"/>
      <c r="V103" s="41"/>
    </row>
    <row r="104" spans="2:26" s="679" customFormat="1" ht="15" x14ac:dyDescent="0.2">
      <c r="B104" s="43"/>
      <c r="C104" s="44"/>
      <c r="D104" s="44"/>
      <c r="E104" s="1050"/>
      <c r="F104" s="1305"/>
      <c r="G104" s="42"/>
      <c r="H104" s="42"/>
      <c r="I104" s="42"/>
      <c r="J104" s="42"/>
      <c r="K104" s="42"/>
      <c r="L104" s="42"/>
      <c r="M104" s="42"/>
      <c r="N104" s="42"/>
      <c r="O104" s="1296"/>
      <c r="P104" s="1296"/>
      <c r="Q104" s="1296"/>
      <c r="R104" s="42"/>
      <c r="S104" s="42"/>
      <c r="T104" s="42"/>
      <c r="U104" s="42"/>
      <c r="V104" s="41"/>
    </row>
    <row r="105" spans="2:26" s="679" customFormat="1" ht="15" x14ac:dyDescent="0.2">
      <c r="B105" s="37"/>
      <c r="C105" s="39"/>
      <c r="D105" s="39"/>
      <c r="E105" s="54"/>
      <c r="F105" s="1306"/>
      <c r="G105" s="37"/>
      <c r="H105" s="39"/>
      <c r="I105" s="39"/>
      <c r="J105" s="39"/>
      <c r="K105" s="39"/>
      <c r="L105" s="39"/>
      <c r="M105" s="39"/>
      <c r="N105" s="39"/>
      <c r="O105" s="1298"/>
      <c r="P105" s="1298"/>
      <c r="Q105" s="1298"/>
      <c r="R105" s="39"/>
      <c r="S105" s="39"/>
      <c r="T105" s="39"/>
      <c r="U105" s="39"/>
      <c r="V105" s="38"/>
    </row>
    <row r="106" spans="2:26" ht="24.75" x14ac:dyDescent="0.25">
      <c r="B106" s="1329" t="s">
        <v>951</v>
      </c>
      <c r="C106" s="1330"/>
      <c r="D106" s="42"/>
      <c r="E106" s="56" t="s">
        <v>796</v>
      </c>
      <c r="F106" s="1307"/>
      <c r="G106" s="22" t="s">
        <v>34</v>
      </c>
      <c r="H106" s="9"/>
      <c r="I106" s="9" t="s">
        <v>800</v>
      </c>
      <c r="J106" s="9"/>
      <c r="K106" s="9"/>
      <c r="L106" s="9"/>
      <c r="M106" s="504">
        <v>43586</v>
      </c>
      <c r="N106" s="1191">
        <v>3</v>
      </c>
      <c r="O106" s="1186" t="s">
        <v>801</v>
      </c>
      <c r="P106" s="1186"/>
      <c r="Q106" s="1186"/>
      <c r="R106" s="42"/>
      <c r="S106" s="42"/>
      <c r="T106" s="42"/>
      <c r="U106" s="42"/>
      <c r="V106" s="41"/>
      <c r="W106" s="679"/>
      <c r="X106" s="679"/>
      <c r="Y106" s="679"/>
      <c r="Z106" s="679"/>
    </row>
    <row r="107" spans="2:26" ht="15" x14ac:dyDescent="0.2">
      <c r="B107" s="22"/>
      <c r="C107" s="9"/>
      <c r="D107" s="42"/>
      <c r="E107" s="55"/>
      <c r="F107" s="1308"/>
      <c r="G107" s="40"/>
      <c r="H107" s="42"/>
      <c r="I107" s="42"/>
      <c r="J107" s="42"/>
      <c r="K107" s="42"/>
      <c r="L107" s="42"/>
      <c r="M107" s="42"/>
      <c r="N107" s="42"/>
      <c r="O107" s="1296"/>
      <c r="P107" s="1296"/>
      <c r="Q107" s="1296"/>
      <c r="R107" s="42"/>
      <c r="S107" s="42"/>
      <c r="T107" s="42"/>
      <c r="U107" s="42"/>
      <c r="V107" s="41"/>
    </row>
    <row r="108" spans="2:26" ht="15" x14ac:dyDescent="0.2">
      <c r="B108" s="40"/>
      <c r="C108" s="42"/>
      <c r="D108" s="42"/>
      <c r="E108" s="56"/>
      <c r="F108" s="1306"/>
      <c r="G108" s="40"/>
      <c r="H108" s="42"/>
      <c r="I108" s="42"/>
      <c r="J108" s="42"/>
      <c r="K108" s="42"/>
      <c r="L108" s="42"/>
      <c r="M108" s="42"/>
      <c r="N108" s="42"/>
      <c r="O108" s="1296"/>
      <c r="P108" s="1296"/>
      <c r="Q108" s="1296"/>
      <c r="R108" s="42"/>
      <c r="S108" s="42"/>
      <c r="T108" s="42"/>
      <c r="U108" s="42"/>
      <c r="V108" s="41"/>
    </row>
    <row r="109" spans="2:26" ht="15" x14ac:dyDescent="0.2">
      <c r="B109" s="40"/>
      <c r="C109" s="42"/>
      <c r="D109" s="42"/>
      <c r="E109" s="55"/>
      <c r="F109" s="1306"/>
      <c r="G109" s="40"/>
      <c r="H109" s="42"/>
      <c r="I109" s="42"/>
      <c r="J109" s="42"/>
      <c r="K109" s="42"/>
      <c r="L109" s="42"/>
      <c r="M109" s="42"/>
      <c r="N109" s="42"/>
      <c r="O109" s="1296"/>
      <c r="P109" s="1296"/>
      <c r="Q109" s="1296"/>
      <c r="R109" s="42"/>
      <c r="S109" s="42"/>
      <c r="T109" s="42"/>
      <c r="U109" s="42"/>
      <c r="V109" s="41"/>
    </row>
    <row r="110" spans="2:26" ht="15" x14ac:dyDescent="0.2">
      <c r="B110" s="40"/>
      <c r="C110" s="42"/>
      <c r="D110" s="42"/>
      <c r="E110" s="55"/>
      <c r="F110" s="1306"/>
      <c r="G110" s="40"/>
      <c r="H110" s="42"/>
      <c r="I110" s="42"/>
      <c r="J110" s="42"/>
      <c r="K110" s="42"/>
      <c r="L110" s="42"/>
      <c r="M110" s="42"/>
      <c r="N110" s="42"/>
      <c r="O110" s="1296"/>
      <c r="P110" s="1296"/>
      <c r="Q110" s="1296"/>
      <c r="R110" s="42"/>
      <c r="S110" s="42"/>
      <c r="T110" s="42"/>
      <c r="U110" s="42"/>
      <c r="V110" s="41"/>
    </row>
    <row r="111" spans="2:26" ht="15" x14ac:dyDescent="0.2">
      <c r="B111" s="40"/>
      <c r="C111" s="42"/>
      <c r="D111" s="42"/>
      <c r="E111" s="55"/>
      <c r="F111" s="1306"/>
      <c r="G111" s="40"/>
      <c r="H111" s="42"/>
      <c r="I111" s="42"/>
      <c r="J111" s="42"/>
      <c r="K111" s="42"/>
      <c r="L111" s="42"/>
      <c r="M111" s="42"/>
      <c r="N111" s="42"/>
      <c r="O111" s="1296"/>
      <c r="P111" s="1296"/>
      <c r="Q111" s="1296"/>
      <c r="R111" s="42"/>
      <c r="S111" s="42"/>
      <c r="T111" s="42"/>
      <c r="U111" s="42"/>
      <c r="V111" s="41"/>
    </row>
    <row r="112" spans="2:26" ht="15" x14ac:dyDescent="0.2">
      <c r="B112" s="40"/>
      <c r="C112" s="42"/>
      <c r="D112" s="42"/>
      <c r="E112" s="55"/>
      <c r="F112" s="1306"/>
      <c r="G112" s="40"/>
      <c r="H112" s="42"/>
      <c r="I112" s="42"/>
      <c r="J112" s="42"/>
      <c r="K112" s="42"/>
      <c r="L112" s="42"/>
      <c r="M112" s="42"/>
      <c r="N112" s="42"/>
      <c r="O112" s="1296"/>
      <c r="P112" s="1296"/>
      <c r="Q112" s="1296"/>
      <c r="R112" s="42"/>
      <c r="S112" s="42"/>
      <c r="T112" s="42"/>
      <c r="U112" s="42"/>
      <c r="V112" s="41"/>
    </row>
    <row r="113" spans="2:22" ht="15" x14ac:dyDescent="0.2">
      <c r="B113" s="40"/>
      <c r="C113" s="42"/>
      <c r="D113" s="42"/>
      <c r="E113" s="55"/>
      <c r="F113" s="1306"/>
      <c r="G113" s="40"/>
      <c r="H113" s="42"/>
      <c r="I113" s="42"/>
      <c r="J113" s="42"/>
      <c r="K113" s="42"/>
      <c r="L113" s="42"/>
      <c r="M113" s="42"/>
      <c r="N113" s="42"/>
      <c r="O113" s="1296"/>
      <c r="P113" s="1296"/>
      <c r="Q113" s="1296"/>
      <c r="R113" s="42"/>
      <c r="S113" s="42"/>
      <c r="T113" s="42"/>
      <c r="U113" s="42"/>
      <c r="V113" s="41"/>
    </row>
    <row r="114" spans="2:22" ht="15" x14ac:dyDescent="0.2">
      <c r="B114" s="40"/>
      <c r="C114" s="42"/>
      <c r="D114" s="42"/>
      <c r="E114" s="55"/>
      <c r="F114" s="1306"/>
      <c r="G114" s="40"/>
      <c r="H114" s="42"/>
      <c r="I114" s="42"/>
      <c r="J114" s="42"/>
      <c r="K114" s="42"/>
      <c r="L114" s="42"/>
      <c r="M114" s="42"/>
      <c r="N114" s="42"/>
      <c r="O114" s="1296"/>
      <c r="P114" s="1296"/>
      <c r="Q114" s="1296"/>
      <c r="R114" s="42"/>
      <c r="S114" s="42"/>
      <c r="T114" s="42"/>
      <c r="U114" s="42"/>
      <c r="V114" s="41"/>
    </row>
    <row r="115" spans="2:22" ht="15" x14ac:dyDescent="0.2">
      <c r="B115" s="40"/>
      <c r="C115" s="42"/>
      <c r="D115" s="42"/>
      <c r="E115" s="55"/>
      <c r="F115" s="1306"/>
      <c r="G115" s="40"/>
      <c r="H115" s="42"/>
      <c r="I115" s="42"/>
      <c r="J115" s="42"/>
      <c r="K115" s="42"/>
      <c r="L115" s="42"/>
      <c r="M115" s="42"/>
      <c r="N115" s="42"/>
      <c r="O115" s="1296"/>
      <c r="P115" s="1296"/>
      <c r="Q115" s="1296"/>
      <c r="R115" s="42"/>
      <c r="S115" s="42"/>
      <c r="T115" s="42"/>
      <c r="U115" s="42"/>
      <c r="V115" s="41"/>
    </row>
    <row r="116" spans="2:22" ht="15" x14ac:dyDescent="0.2">
      <c r="B116" s="40"/>
      <c r="C116" s="42"/>
      <c r="D116" s="42"/>
      <c r="E116" s="55"/>
      <c r="F116" s="1306"/>
      <c r="G116" s="40"/>
      <c r="H116" s="42"/>
      <c r="I116" s="42"/>
      <c r="J116" s="42"/>
      <c r="K116" s="42"/>
      <c r="L116" s="42"/>
      <c r="M116" s="42"/>
      <c r="N116" s="42"/>
      <c r="O116" s="1296"/>
      <c r="P116" s="1296"/>
      <c r="Q116" s="1296"/>
      <c r="R116" s="42"/>
      <c r="S116" s="42"/>
      <c r="T116" s="42"/>
      <c r="U116" s="42"/>
      <c r="V116" s="41"/>
    </row>
    <row r="117" spans="2:22" ht="15" x14ac:dyDescent="0.2">
      <c r="B117" s="40"/>
      <c r="C117" s="42"/>
      <c r="D117" s="42"/>
      <c r="E117" s="55"/>
      <c r="F117" s="1306"/>
      <c r="G117" s="40"/>
      <c r="H117" s="42"/>
      <c r="I117" s="42"/>
      <c r="J117" s="42"/>
      <c r="K117" s="42"/>
      <c r="L117" s="42"/>
      <c r="M117" s="42"/>
      <c r="N117" s="42"/>
      <c r="O117" s="1296"/>
      <c r="P117" s="1296"/>
      <c r="Q117" s="1296"/>
      <c r="R117" s="42"/>
      <c r="S117" s="42"/>
      <c r="T117" s="42"/>
      <c r="U117" s="42"/>
      <c r="V117" s="41"/>
    </row>
    <row r="118" spans="2:22" ht="15" x14ac:dyDescent="0.2">
      <c r="B118" s="40"/>
      <c r="C118" s="42"/>
      <c r="D118" s="42"/>
      <c r="E118" s="55"/>
      <c r="F118" s="1306"/>
      <c r="G118" s="40"/>
      <c r="H118" s="42"/>
      <c r="I118" s="42"/>
      <c r="J118" s="42"/>
      <c r="K118" s="42"/>
      <c r="L118" s="42"/>
      <c r="M118" s="42"/>
      <c r="N118" s="42"/>
      <c r="O118" s="1296"/>
      <c r="P118" s="1296"/>
      <c r="Q118" s="1296"/>
      <c r="R118" s="42"/>
      <c r="S118" s="42"/>
      <c r="T118" s="42"/>
      <c r="U118" s="42"/>
      <c r="V118" s="41"/>
    </row>
    <row r="119" spans="2:22" ht="15" x14ac:dyDescent="0.2">
      <c r="B119" s="40"/>
      <c r="C119" s="42"/>
      <c r="D119" s="42"/>
      <c r="E119" s="55"/>
      <c r="F119" s="1306"/>
      <c r="G119" s="40"/>
      <c r="H119" s="42"/>
      <c r="I119" s="42"/>
      <c r="J119" s="42"/>
      <c r="K119" s="42"/>
      <c r="L119" s="42"/>
      <c r="M119" s="42"/>
      <c r="N119" s="42"/>
      <c r="O119" s="1296"/>
      <c r="P119" s="1296"/>
      <c r="Q119" s="1296"/>
      <c r="R119" s="42"/>
      <c r="S119" s="42"/>
      <c r="T119" s="42"/>
      <c r="U119" s="42"/>
      <c r="V119" s="41"/>
    </row>
    <row r="120" spans="2:22" ht="15" x14ac:dyDescent="0.2">
      <c r="B120" s="40"/>
      <c r="C120" s="42"/>
      <c r="D120" s="42"/>
      <c r="E120" s="55"/>
      <c r="F120" s="1309"/>
      <c r="G120" s="42"/>
      <c r="H120" s="42"/>
      <c r="I120" s="42"/>
      <c r="J120" s="42"/>
      <c r="K120" s="42"/>
      <c r="L120" s="42"/>
      <c r="M120" s="42"/>
      <c r="N120" s="42"/>
      <c r="O120" s="1296"/>
      <c r="P120" s="1296"/>
      <c r="Q120" s="1296"/>
      <c r="R120" s="42"/>
      <c r="S120" s="42"/>
      <c r="T120" s="42"/>
      <c r="U120" s="42"/>
      <c r="V120" s="41"/>
    </row>
    <row r="121" spans="2:22" ht="15" x14ac:dyDescent="0.2">
      <c r="B121" s="40"/>
      <c r="C121" s="42"/>
      <c r="D121" s="42"/>
      <c r="E121" s="55"/>
      <c r="F121" s="1309"/>
      <c r="G121" s="42"/>
      <c r="H121" s="42"/>
      <c r="I121" s="42"/>
      <c r="J121" s="42"/>
      <c r="K121" s="42"/>
      <c r="L121" s="42"/>
      <c r="M121" s="42"/>
      <c r="N121" s="42"/>
      <c r="O121" s="1296"/>
      <c r="P121" s="1296"/>
      <c r="Q121" s="1296"/>
      <c r="R121" s="42"/>
      <c r="S121" s="42"/>
      <c r="T121" s="42"/>
      <c r="U121" s="42"/>
      <c r="V121" s="41"/>
    </row>
    <row r="122" spans="2:22" ht="15" x14ac:dyDescent="0.2">
      <c r="B122" s="43"/>
      <c r="C122" s="44"/>
      <c r="D122" s="44"/>
      <c r="E122" s="1193"/>
      <c r="F122" s="1309"/>
      <c r="G122" s="42"/>
      <c r="H122" s="42"/>
      <c r="I122" s="42"/>
      <c r="J122" s="42"/>
      <c r="K122" s="42"/>
      <c r="L122" s="42"/>
      <c r="M122" s="42"/>
      <c r="N122" s="42"/>
      <c r="O122" s="1296"/>
      <c r="P122" s="1296"/>
      <c r="Q122" s="1296"/>
      <c r="R122" s="42"/>
      <c r="S122" s="42"/>
      <c r="T122" s="42"/>
      <c r="U122" s="42"/>
      <c r="V122" s="41"/>
    </row>
    <row r="123" spans="2:22" s="679" customFormat="1" ht="15" x14ac:dyDescent="0.2">
      <c r="B123" s="37"/>
      <c r="C123" s="39"/>
      <c r="D123" s="39"/>
      <c r="E123" s="1192"/>
      <c r="F123" s="1310"/>
      <c r="G123" s="39"/>
      <c r="H123" s="39"/>
      <c r="I123" s="39"/>
      <c r="J123" s="39"/>
      <c r="K123" s="39"/>
      <c r="L123" s="39"/>
      <c r="M123" s="39"/>
      <c r="N123" s="39"/>
      <c r="O123" s="1298"/>
      <c r="P123" s="1298"/>
      <c r="Q123" s="1298"/>
      <c r="R123" s="39"/>
      <c r="S123" s="39"/>
      <c r="T123" s="39"/>
      <c r="U123" s="39"/>
      <c r="V123" s="38"/>
    </row>
    <row r="124" spans="2:22" s="679" customFormat="1" ht="24.75" x14ac:dyDescent="0.25">
      <c r="B124" s="1329" t="s">
        <v>952</v>
      </c>
      <c r="C124" s="1330"/>
      <c r="D124" s="42"/>
      <c r="E124" s="294" t="s">
        <v>911</v>
      </c>
      <c r="F124" s="1049" t="s">
        <v>912</v>
      </c>
      <c r="G124" s="42"/>
      <c r="H124" s="42"/>
      <c r="I124" s="42"/>
      <c r="J124" s="42"/>
      <c r="K124" s="42"/>
      <c r="L124" s="42"/>
      <c r="M124" s="42"/>
      <c r="N124" s="42"/>
      <c r="O124" s="1296"/>
      <c r="P124" s="1296"/>
      <c r="Q124" s="1296"/>
      <c r="R124" s="42"/>
      <c r="S124" s="42"/>
      <c r="T124" s="42"/>
      <c r="U124" s="42"/>
      <c r="V124" s="41"/>
    </row>
    <row r="125" spans="2:22" s="679" customFormat="1" ht="15" x14ac:dyDescent="0.2">
      <c r="B125" s="40"/>
      <c r="C125" s="42"/>
      <c r="D125" s="42"/>
      <c r="E125" s="53"/>
      <c r="F125" s="1309"/>
      <c r="G125" s="42"/>
      <c r="H125" s="42"/>
      <c r="I125" s="42"/>
      <c r="J125" s="42"/>
      <c r="K125" s="42"/>
      <c r="L125" s="42"/>
      <c r="M125" s="42"/>
      <c r="N125" s="42"/>
      <c r="O125" s="1296"/>
      <c r="P125" s="1296"/>
      <c r="Q125" s="1296"/>
      <c r="R125" s="42"/>
      <c r="S125" s="42"/>
      <c r="T125" s="42"/>
      <c r="U125" s="42"/>
      <c r="V125" s="41"/>
    </row>
    <row r="126" spans="2:22" s="679" customFormat="1" ht="15" x14ac:dyDescent="0.2">
      <c r="B126" s="40"/>
      <c r="C126" s="42"/>
      <c r="D126" s="42"/>
      <c r="E126" s="53"/>
      <c r="F126" s="1049"/>
      <c r="G126" s="42"/>
      <c r="H126" s="42"/>
      <c r="I126" s="42"/>
      <c r="J126" s="42"/>
      <c r="K126" s="42"/>
      <c r="L126" s="42"/>
      <c r="M126" s="42"/>
      <c r="N126" s="42"/>
      <c r="O126" s="1296"/>
      <c r="P126" s="1296"/>
      <c r="Q126" s="1296"/>
      <c r="R126" s="42"/>
      <c r="S126" s="42"/>
      <c r="T126" s="42"/>
      <c r="U126" s="42"/>
      <c r="V126" s="41"/>
    </row>
    <row r="127" spans="2:22" s="679" customFormat="1" ht="15" x14ac:dyDescent="0.2">
      <c r="B127" s="40"/>
      <c r="C127" s="42"/>
      <c r="D127" s="42"/>
      <c r="E127" s="53"/>
      <c r="F127" s="1309"/>
      <c r="G127" s="42"/>
      <c r="H127" s="42"/>
      <c r="I127" s="42"/>
      <c r="J127" s="42"/>
      <c r="K127" s="42"/>
      <c r="L127" s="42"/>
      <c r="M127" s="42"/>
      <c r="N127" s="42"/>
      <c r="O127" s="1296"/>
      <c r="P127" s="1296"/>
      <c r="Q127" s="1296"/>
      <c r="R127" s="42"/>
      <c r="S127" s="42"/>
      <c r="T127" s="42"/>
      <c r="U127" s="42"/>
      <c r="V127" s="41"/>
    </row>
    <row r="128" spans="2:22" s="679" customFormat="1" ht="15" x14ac:dyDescent="0.2">
      <c r="B128" s="40"/>
      <c r="C128" s="42"/>
      <c r="D128" s="42"/>
      <c r="E128" s="53"/>
      <c r="F128" s="1309"/>
      <c r="G128" s="42"/>
      <c r="H128" s="42"/>
      <c r="I128" s="42"/>
      <c r="J128" s="42"/>
      <c r="K128" s="42"/>
      <c r="L128" s="42"/>
      <c r="M128" s="42"/>
      <c r="N128" s="42"/>
      <c r="O128" s="1296"/>
      <c r="P128" s="1296"/>
      <c r="Q128" s="1296"/>
      <c r="R128" s="42"/>
      <c r="S128" s="42"/>
      <c r="T128" s="42"/>
      <c r="U128" s="42"/>
      <c r="V128" s="41"/>
    </row>
    <row r="129" spans="2:22" s="679" customFormat="1" ht="15" x14ac:dyDescent="0.2">
      <c r="B129" s="40"/>
      <c r="C129" s="42"/>
      <c r="D129" s="42"/>
      <c r="E129" s="53"/>
      <c r="F129" s="1309"/>
      <c r="G129" s="42"/>
      <c r="H129" s="42"/>
      <c r="I129" s="42"/>
      <c r="J129" s="42"/>
      <c r="K129" s="42"/>
      <c r="L129" s="42"/>
      <c r="M129" s="42"/>
      <c r="N129" s="42"/>
      <c r="O129" s="1296"/>
      <c r="P129" s="1296"/>
      <c r="Q129" s="1296"/>
      <c r="R129" s="42"/>
      <c r="S129" s="42"/>
      <c r="T129" s="42"/>
      <c r="U129" s="42"/>
      <c r="V129" s="41"/>
    </row>
    <row r="130" spans="2:22" s="679" customFormat="1" ht="15" x14ac:dyDescent="0.2">
      <c r="B130" s="40"/>
      <c r="C130" s="42"/>
      <c r="D130" s="42"/>
      <c r="E130" s="53"/>
      <c r="F130" s="1309"/>
      <c r="G130" s="42"/>
      <c r="H130" s="42"/>
      <c r="I130" s="42"/>
      <c r="J130" s="42"/>
      <c r="K130" s="42"/>
      <c r="L130" s="42"/>
      <c r="M130" s="42"/>
      <c r="N130" s="42"/>
      <c r="O130" s="1296"/>
      <c r="P130" s="1296"/>
      <c r="Q130" s="1296"/>
      <c r="R130" s="42"/>
      <c r="S130" s="42"/>
      <c r="T130" s="42"/>
      <c r="U130" s="42"/>
      <c r="V130" s="41"/>
    </row>
    <row r="131" spans="2:22" s="679" customFormat="1" ht="15" x14ac:dyDescent="0.2">
      <c r="B131" s="40"/>
      <c r="C131" s="42"/>
      <c r="D131" s="42"/>
      <c r="E131" s="53"/>
      <c r="F131" s="1309"/>
      <c r="G131" s="42"/>
      <c r="H131" s="42"/>
      <c r="I131" s="42"/>
      <c r="J131" s="42"/>
      <c r="K131" s="42"/>
      <c r="L131" s="42"/>
      <c r="M131" s="42"/>
      <c r="N131" s="42"/>
      <c r="O131" s="1296"/>
      <c r="P131" s="1296"/>
      <c r="Q131" s="1296"/>
      <c r="R131" s="42"/>
      <c r="S131" s="42"/>
      <c r="T131" s="42"/>
      <c r="U131" s="42"/>
      <c r="V131" s="41"/>
    </row>
    <row r="132" spans="2:22" s="679" customFormat="1" ht="15" x14ac:dyDescent="0.2">
      <c r="B132" s="40"/>
      <c r="C132" s="42"/>
      <c r="D132" s="42"/>
      <c r="E132" s="53"/>
      <c r="F132" s="1309"/>
      <c r="G132" s="42"/>
      <c r="H132" s="42"/>
      <c r="I132" s="42"/>
      <c r="J132" s="42"/>
      <c r="K132" s="42"/>
      <c r="L132" s="42"/>
      <c r="M132" s="42"/>
      <c r="N132" s="42"/>
      <c r="O132" s="1296"/>
      <c r="P132" s="1296"/>
      <c r="Q132" s="1296"/>
      <c r="R132" s="42"/>
      <c r="S132" s="42"/>
      <c r="T132" s="42"/>
      <c r="U132" s="42"/>
      <c r="V132" s="41"/>
    </row>
    <row r="133" spans="2:22" s="679" customFormat="1" ht="15" x14ac:dyDescent="0.2">
      <c r="B133" s="40"/>
      <c r="C133" s="42"/>
      <c r="D133" s="42"/>
      <c r="E133" s="53"/>
      <c r="F133" s="1309"/>
      <c r="G133" s="42"/>
      <c r="H133" s="42"/>
      <c r="I133" s="42"/>
      <c r="J133" s="42"/>
      <c r="K133" s="42"/>
      <c r="L133" s="42"/>
      <c r="M133" s="42"/>
      <c r="N133" s="42"/>
      <c r="O133" s="1296"/>
      <c r="P133" s="1296"/>
      <c r="Q133" s="1296"/>
      <c r="R133" s="42"/>
      <c r="S133" s="42"/>
      <c r="T133" s="42"/>
      <c r="U133" s="42"/>
      <c r="V133" s="41"/>
    </row>
    <row r="134" spans="2:22" s="679" customFormat="1" ht="15" x14ac:dyDescent="0.2">
      <c r="B134" s="40"/>
      <c r="C134" s="42"/>
      <c r="D134" s="42"/>
      <c r="E134" s="53"/>
      <c r="F134" s="1309"/>
      <c r="G134" s="42"/>
      <c r="H134" s="42"/>
      <c r="I134" s="42"/>
      <c r="J134" s="42"/>
      <c r="K134" s="42"/>
      <c r="L134" s="42"/>
      <c r="M134" s="42"/>
      <c r="N134" s="42"/>
      <c r="O134" s="1296"/>
      <c r="P134" s="1296"/>
      <c r="Q134" s="1296"/>
      <c r="R134" s="42"/>
      <c r="S134" s="42"/>
      <c r="T134" s="42"/>
      <c r="U134" s="42"/>
      <c r="V134" s="41"/>
    </row>
    <row r="135" spans="2:22" s="679" customFormat="1" ht="15" x14ac:dyDescent="0.2">
      <c r="B135" s="40"/>
      <c r="C135" s="42"/>
      <c r="D135" s="42"/>
      <c r="E135" s="53"/>
      <c r="F135" s="1309"/>
      <c r="G135" s="42"/>
      <c r="H135" s="42"/>
      <c r="I135" s="42"/>
      <c r="J135" s="42"/>
      <c r="K135" s="42"/>
      <c r="L135" s="42"/>
      <c r="M135" s="42"/>
      <c r="N135" s="42"/>
      <c r="O135" s="1296"/>
      <c r="P135" s="1296"/>
      <c r="Q135" s="1296"/>
      <c r="R135" s="42"/>
      <c r="S135" s="42"/>
      <c r="T135" s="42"/>
      <c r="U135" s="42"/>
      <c r="V135" s="41"/>
    </row>
    <row r="136" spans="2:22" s="679" customFormat="1" ht="15" x14ac:dyDescent="0.2">
      <c r="B136" s="40"/>
      <c r="C136" s="42"/>
      <c r="D136" s="42"/>
      <c r="E136" s="53"/>
      <c r="F136" s="1309"/>
      <c r="G136" s="42"/>
      <c r="H136" s="42"/>
      <c r="I136" s="42"/>
      <c r="J136" s="42"/>
      <c r="K136" s="42"/>
      <c r="L136" s="42"/>
      <c r="M136" s="42"/>
      <c r="N136" s="42"/>
      <c r="O136" s="1296"/>
      <c r="P136" s="1296"/>
      <c r="Q136" s="1296"/>
      <c r="R136" s="42"/>
      <c r="S136" s="42"/>
      <c r="T136" s="42"/>
      <c r="U136" s="42"/>
      <c r="V136" s="41"/>
    </row>
    <row r="137" spans="2:22" s="679" customFormat="1" ht="15" x14ac:dyDescent="0.2">
      <c r="B137" s="40"/>
      <c r="C137" s="42"/>
      <c r="D137" s="42"/>
      <c r="E137" s="53"/>
      <c r="F137" s="1309"/>
      <c r="G137" s="42"/>
      <c r="H137" s="42"/>
      <c r="I137" s="42"/>
      <c r="J137" s="42"/>
      <c r="K137" s="42"/>
      <c r="L137" s="42"/>
      <c r="M137" s="42"/>
      <c r="N137" s="42"/>
      <c r="O137" s="1296"/>
      <c r="P137" s="1296"/>
      <c r="Q137" s="1296"/>
      <c r="R137" s="42"/>
      <c r="S137" s="42"/>
      <c r="T137" s="42"/>
      <c r="U137" s="42"/>
      <c r="V137" s="41"/>
    </row>
    <row r="138" spans="2:22" s="679" customFormat="1" ht="15" x14ac:dyDescent="0.2">
      <c r="B138" s="40"/>
      <c r="C138" s="42"/>
      <c r="D138" s="42"/>
      <c r="E138" s="53"/>
      <c r="F138" s="1309"/>
      <c r="G138" s="42"/>
      <c r="H138" s="42"/>
      <c r="I138" s="42"/>
      <c r="J138" s="42"/>
      <c r="K138" s="42"/>
      <c r="L138" s="42"/>
      <c r="M138" s="42"/>
      <c r="N138" s="42"/>
      <c r="O138" s="1296"/>
      <c r="P138" s="1296"/>
      <c r="Q138" s="1296"/>
      <c r="R138" s="42"/>
      <c r="S138" s="42"/>
      <c r="T138" s="42"/>
      <c r="U138" s="42"/>
      <c r="V138" s="41"/>
    </row>
    <row r="139" spans="2:22" s="679" customFormat="1" ht="15" x14ac:dyDescent="0.2">
      <c r="B139" s="40"/>
      <c r="C139" s="42"/>
      <c r="D139" s="42"/>
      <c r="E139" s="53"/>
      <c r="F139" s="1309"/>
      <c r="G139" s="42"/>
      <c r="H139" s="42"/>
      <c r="I139" s="42"/>
      <c r="J139" s="42"/>
      <c r="K139" s="42"/>
      <c r="L139" s="42"/>
      <c r="M139" s="42"/>
      <c r="N139" s="42"/>
      <c r="O139" s="1296"/>
      <c r="P139" s="1296"/>
      <c r="Q139" s="1296"/>
      <c r="R139" s="42"/>
      <c r="S139" s="42"/>
      <c r="T139" s="42"/>
      <c r="U139" s="42"/>
      <c r="V139" s="41"/>
    </row>
    <row r="140" spans="2:22" s="679" customFormat="1" ht="15" x14ac:dyDescent="0.2">
      <c r="B140" s="43"/>
      <c r="C140" s="44"/>
      <c r="D140" s="44"/>
      <c r="E140" s="1050"/>
      <c r="F140" s="1305"/>
      <c r="G140" s="44"/>
      <c r="H140" s="44"/>
      <c r="I140" s="44"/>
      <c r="J140" s="44"/>
      <c r="K140" s="44"/>
      <c r="L140" s="44"/>
      <c r="M140" s="44"/>
      <c r="N140" s="44"/>
      <c r="O140" s="1297"/>
      <c r="P140" s="1297"/>
      <c r="Q140" s="1297"/>
      <c r="R140" s="44"/>
      <c r="S140" s="44"/>
      <c r="T140" s="44"/>
      <c r="U140" s="44"/>
      <c r="V140" s="45"/>
    </row>
    <row r="141" spans="2:22" s="679" customFormat="1" ht="15" x14ac:dyDescent="0.2">
      <c r="B141" s="37"/>
      <c r="C141" s="39"/>
      <c r="D141" s="39"/>
      <c r="E141" s="1192"/>
      <c r="F141" s="1310"/>
      <c r="G141" s="39"/>
      <c r="H141" s="39"/>
      <c r="I141" s="39"/>
      <c r="J141" s="39"/>
      <c r="K141" s="39"/>
      <c r="L141" s="39"/>
      <c r="M141" s="39"/>
      <c r="N141" s="39"/>
      <c r="O141" s="1298"/>
      <c r="P141" s="1298"/>
      <c r="Q141" s="1298"/>
      <c r="R141" s="39"/>
      <c r="S141" s="39"/>
      <c r="T141" s="39"/>
      <c r="U141" s="39"/>
      <c r="V141" s="38"/>
    </row>
    <row r="142" spans="2:22" s="679" customFormat="1" ht="29.45" customHeight="1" x14ac:dyDescent="0.25">
      <c r="B142" s="1329" t="s">
        <v>953</v>
      </c>
      <c r="C142" s="1330"/>
      <c r="D142" s="42"/>
      <c r="E142" s="294" t="s">
        <v>911</v>
      </c>
      <c r="F142" s="1049" t="s">
        <v>912</v>
      </c>
      <c r="G142" s="42"/>
      <c r="H142" s="42"/>
      <c r="I142" s="42"/>
      <c r="J142" s="42"/>
      <c r="K142" s="42"/>
      <c r="L142" s="42"/>
      <c r="M142" s="42"/>
      <c r="N142" s="42"/>
      <c r="O142" s="1296"/>
      <c r="P142" s="1296"/>
      <c r="Q142" s="1296"/>
      <c r="R142" s="42"/>
      <c r="S142" s="42"/>
      <c r="T142" s="42"/>
      <c r="U142" s="42"/>
      <c r="V142" s="41"/>
    </row>
    <row r="143" spans="2:22" s="679" customFormat="1" ht="15" x14ac:dyDescent="0.2">
      <c r="B143" s="40"/>
      <c r="C143" s="42"/>
      <c r="D143" s="42"/>
      <c r="E143" s="53"/>
      <c r="F143" s="1309"/>
      <c r="G143" s="42"/>
      <c r="H143" s="42"/>
      <c r="I143" s="42"/>
      <c r="J143" s="42"/>
      <c r="K143" s="42"/>
      <c r="L143" s="42"/>
      <c r="M143" s="42"/>
      <c r="N143" s="42"/>
      <c r="O143" s="1296"/>
      <c r="P143" s="1296"/>
      <c r="Q143" s="1296"/>
      <c r="R143" s="42"/>
      <c r="S143" s="42"/>
      <c r="T143" s="42"/>
      <c r="U143" s="42"/>
      <c r="V143" s="41"/>
    </row>
    <row r="144" spans="2:22" s="679" customFormat="1" ht="15" x14ac:dyDescent="0.2">
      <c r="B144" s="40"/>
      <c r="C144" s="42"/>
      <c r="D144" s="42"/>
      <c r="E144" s="53"/>
      <c r="F144" s="1049"/>
      <c r="G144" s="42"/>
      <c r="H144" s="42"/>
      <c r="I144" s="42"/>
      <c r="J144" s="42"/>
      <c r="K144" s="42"/>
      <c r="L144" s="42"/>
      <c r="M144" s="42"/>
      <c r="N144" s="42"/>
      <c r="O144" s="1296"/>
      <c r="P144" s="1296"/>
      <c r="Q144" s="1296"/>
      <c r="R144" s="42"/>
      <c r="S144" s="42"/>
      <c r="T144" s="42"/>
      <c r="U144" s="42"/>
      <c r="V144" s="41"/>
    </row>
    <row r="145" spans="2:22" s="679" customFormat="1" ht="15" x14ac:dyDescent="0.2">
      <c r="B145" s="40"/>
      <c r="C145" s="42"/>
      <c r="D145" s="42"/>
      <c r="E145" s="53"/>
      <c r="F145" s="1309"/>
      <c r="G145" s="42"/>
      <c r="H145" s="42"/>
      <c r="I145" s="42"/>
      <c r="J145" s="42"/>
      <c r="K145" s="42"/>
      <c r="L145" s="42"/>
      <c r="M145" s="42"/>
      <c r="N145" s="42"/>
      <c r="O145" s="1296"/>
      <c r="P145" s="1296"/>
      <c r="Q145" s="1296"/>
      <c r="R145" s="42"/>
      <c r="S145" s="42"/>
      <c r="T145" s="42"/>
      <c r="U145" s="42"/>
      <c r="V145" s="41"/>
    </row>
    <row r="146" spans="2:22" s="679" customFormat="1" ht="15" x14ac:dyDescent="0.2">
      <c r="B146" s="40"/>
      <c r="C146" s="42"/>
      <c r="D146" s="42"/>
      <c r="E146" s="53"/>
      <c r="F146" s="1309"/>
      <c r="G146" s="42"/>
      <c r="H146" s="42"/>
      <c r="I146" s="42"/>
      <c r="J146" s="42"/>
      <c r="K146" s="42"/>
      <c r="L146" s="42"/>
      <c r="M146" s="42"/>
      <c r="N146" s="42"/>
      <c r="O146" s="1296"/>
      <c r="P146" s="1296"/>
      <c r="Q146" s="1296"/>
      <c r="R146" s="42"/>
      <c r="S146" s="42"/>
      <c r="T146" s="42"/>
      <c r="U146" s="42"/>
      <c r="V146" s="41"/>
    </row>
    <row r="147" spans="2:22" s="679" customFormat="1" ht="15" x14ac:dyDescent="0.2">
      <c r="B147" s="40"/>
      <c r="C147" s="42"/>
      <c r="D147" s="42"/>
      <c r="E147" s="53"/>
      <c r="F147" s="1309"/>
      <c r="G147" s="42"/>
      <c r="H147" s="42"/>
      <c r="I147" s="42"/>
      <c r="J147" s="42"/>
      <c r="K147" s="42"/>
      <c r="L147" s="42"/>
      <c r="M147" s="42"/>
      <c r="N147" s="42"/>
      <c r="O147" s="1296"/>
      <c r="P147" s="1296"/>
      <c r="Q147" s="1296"/>
      <c r="R147" s="42"/>
      <c r="S147" s="42"/>
      <c r="T147" s="42"/>
      <c r="U147" s="42"/>
      <c r="V147" s="41"/>
    </row>
    <row r="148" spans="2:22" s="679" customFormat="1" ht="15" x14ac:dyDescent="0.2">
      <c r="B148" s="40"/>
      <c r="C148" s="42"/>
      <c r="D148" s="42"/>
      <c r="E148" s="53"/>
      <c r="F148" s="1309"/>
      <c r="G148" s="42"/>
      <c r="H148" s="42"/>
      <c r="I148" s="42"/>
      <c r="J148" s="42"/>
      <c r="K148" s="42"/>
      <c r="L148" s="42"/>
      <c r="M148" s="42"/>
      <c r="N148" s="42"/>
      <c r="O148" s="1296"/>
      <c r="P148" s="1296"/>
      <c r="Q148" s="1296"/>
      <c r="R148" s="42"/>
      <c r="S148" s="42"/>
      <c r="T148" s="42"/>
      <c r="U148" s="42"/>
      <c r="V148" s="41"/>
    </row>
    <row r="149" spans="2:22" s="679" customFormat="1" ht="15" x14ac:dyDescent="0.2">
      <c r="B149" s="40"/>
      <c r="C149" s="42"/>
      <c r="D149" s="42"/>
      <c r="E149" s="53"/>
      <c r="F149" s="1309"/>
      <c r="G149" s="42"/>
      <c r="H149" s="42"/>
      <c r="I149" s="42"/>
      <c r="J149" s="42"/>
      <c r="K149" s="42"/>
      <c r="L149" s="42"/>
      <c r="M149" s="42"/>
      <c r="N149" s="42"/>
      <c r="O149" s="1296"/>
      <c r="P149" s="1296"/>
      <c r="Q149" s="1296"/>
      <c r="R149" s="42"/>
      <c r="S149" s="42"/>
      <c r="T149" s="42"/>
      <c r="U149" s="42"/>
      <c r="V149" s="41"/>
    </row>
    <row r="150" spans="2:22" s="679" customFormat="1" ht="15" x14ac:dyDescent="0.2">
      <c r="B150" s="40"/>
      <c r="C150" s="42"/>
      <c r="D150" s="42"/>
      <c r="E150" s="53"/>
      <c r="F150" s="1309"/>
      <c r="G150" s="42"/>
      <c r="H150" s="42"/>
      <c r="I150" s="42"/>
      <c r="J150" s="42"/>
      <c r="K150" s="42"/>
      <c r="L150" s="42"/>
      <c r="M150" s="42"/>
      <c r="N150" s="42"/>
      <c r="O150" s="1296"/>
      <c r="P150" s="1296"/>
      <c r="Q150" s="1296"/>
      <c r="R150" s="42"/>
      <c r="S150" s="42"/>
      <c r="T150" s="42"/>
      <c r="U150" s="42"/>
      <c r="V150" s="41"/>
    </row>
    <row r="151" spans="2:22" s="679" customFormat="1" ht="15" x14ac:dyDescent="0.2">
      <c r="B151" s="40"/>
      <c r="C151" s="42"/>
      <c r="D151" s="42"/>
      <c r="E151" s="53"/>
      <c r="F151" s="1309"/>
      <c r="G151" s="42"/>
      <c r="H151" s="42"/>
      <c r="I151" s="42"/>
      <c r="J151" s="42"/>
      <c r="K151" s="42"/>
      <c r="L151" s="42"/>
      <c r="M151" s="42"/>
      <c r="N151" s="42"/>
      <c r="O151" s="1296"/>
      <c r="P151" s="1296"/>
      <c r="Q151" s="1296"/>
      <c r="R151" s="42"/>
      <c r="S151" s="42"/>
      <c r="T151" s="42"/>
      <c r="U151" s="42"/>
      <c r="V151" s="41"/>
    </row>
    <row r="152" spans="2:22" s="679" customFormat="1" ht="15" x14ac:dyDescent="0.2">
      <c r="B152" s="40"/>
      <c r="C152" s="42"/>
      <c r="D152" s="42"/>
      <c r="E152" s="53"/>
      <c r="F152" s="1309"/>
      <c r="G152" s="42"/>
      <c r="H152" s="42"/>
      <c r="I152" s="42"/>
      <c r="J152" s="42"/>
      <c r="K152" s="42"/>
      <c r="L152" s="42"/>
      <c r="M152" s="42"/>
      <c r="N152" s="42"/>
      <c r="O152" s="1296"/>
      <c r="P152" s="1296"/>
      <c r="Q152" s="1296"/>
      <c r="R152" s="42"/>
      <c r="S152" s="42"/>
      <c r="T152" s="42"/>
      <c r="U152" s="42"/>
      <c r="V152" s="41"/>
    </row>
    <row r="153" spans="2:22" s="679" customFormat="1" ht="15" x14ac:dyDescent="0.2">
      <c r="B153" s="40"/>
      <c r="C153" s="42"/>
      <c r="D153" s="42"/>
      <c r="E153" s="53"/>
      <c r="F153" s="1309"/>
      <c r="G153" s="42"/>
      <c r="H153" s="42"/>
      <c r="I153" s="42"/>
      <c r="J153" s="42"/>
      <c r="K153" s="42"/>
      <c r="L153" s="42"/>
      <c r="M153" s="42"/>
      <c r="N153" s="42"/>
      <c r="O153" s="1296"/>
      <c r="P153" s="1296"/>
      <c r="Q153" s="1296"/>
      <c r="R153" s="42"/>
      <c r="S153" s="42"/>
      <c r="T153" s="42"/>
      <c r="U153" s="42"/>
      <c r="V153" s="41"/>
    </row>
    <row r="154" spans="2:22" s="679" customFormat="1" ht="15" x14ac:dyDescent="0.2">
      <c r="B154" s="40"/>
      <c r="C154" s="42"/>
      <c r="D154" s="42"/>
      <c r="E154" s="53"/>
      <c r="F154" s="1309"/>
      <c r="G154" s="42"/>
      <c r="H154" s="42"/>
      <c r="I154" s="42"/>
      <c r="J154" s="42"/>
      <c r="K154" s="42"/>
      <c r="L154" s="42"/>
      <c r="M154" s="42"/>
      <c r="N154" s="42"/>
      <c r="O154" s="1296"/>
      <c r="P154" s="1296"/>
      <c r="Q154" s="1296"/>
      <c r="R154" s="42"/>
      <c r="S154" s="42"/>
      <c r="T154" s="42"/>
      <c r="U154" s="42"/>
      <c r="V154" s="41"/>
    </row>
    <row r="155" spans="2:22" s="679" customFormat="1" ht="15" x14ac:dyDescent="0.2">
      <c r="B155" s="40"/>
      <c r="C155" s="42"/>
      <c r="D155" s="42"/>
      <c r="E155" s="53"/>
      <c r="F155" s="1309"/>
      <c r="G155" s="42"/>
      <c r="H155" s="42"/>
      <c r="I155" s="42"/>
      <c r="J155" s="42"/>
      <c r="K155" s="42"/>
      <c r="L155" s="42"/>
      <c r="M155" s="42"/>
      <c r="N155" s="42"/>
      <c r="O155" s="1296"/>
      <c r="P155" s="1296"/>
      <c r="Q155" s="1296"/>
      <c r="R155" s="42"/>
      <c r="S155" s="42"/>
      <c r="T155" s="42"/>
      <c r="U155" s="42"/>
      <c r="V155" s="41"/>
    </row>
    <row r="156" spans="2:22" s="679" customFormat="1" ht="15" x14ac:dyDescent="0.2">
      <c r="B156" s="40"/>
      <c r="C156" s="42"/>
      <c r="D156" s="42"/>
      <c r="E156" s="53"/>
      <c r="F156" s="1309"/>
      <c r="G156" s="42"/>
      <c r="H156" s="42"/>
      <c r="I156" s="42"/>
      <c r="J156" s="42"/>
      <c r="K156" s="42"/>
      <c r="L156" s="42"/>
      <c r="M156" s="42"/>
      <c r="N156" s="42"/>
      <c r="O156" s="1296"/>
      <c r="P156" s="1296"/>
      <c r="Q156" s="1296"/>
      <c r="R156" s="42"/>
      <c r="S156" s="42"/>
      <c r="T156" s="42"/>
      <c r="U156" s="42"/>
      <c r="V156" s="41"/>
    </row>
    <row r="157" spans="2:22" s="679" customFormat="1" ht="15" x14ac:dyDescent="0.2">
      <c r="B157" s="40"/>
      <c r="C157" s="42"/>
      <c r="D157" s="42"/>
      <c r="E157" s="53"/>
      <c r="F157" s="1309"/>
      <c r="G157" s="42"/>
      <c r="H157" s="42"/>
      <c r="I157" s="42"/>
      <c r="J157" s="42"/>
      <c r="K157" s="42"/>
      <c r="L157" s="42"/>
      <c r="M157" s="42"/>
      <c r="N157" s="42"/>
      <c r="O157" s="1296"/>
      <c r="P157" s="1296"/>
      <c r="Q157" s="1296"/>
      <c r="R157" s="42"/>
      <c r="S157" s="42"/>
      <c r="T157" s="42"/>
      <c r="U157" s="42"/>
      <c r="V157" s="41"/>
    </row>
    <row r="158" spans="2:22" s="679" customFormat="1" ht="15" x14ac:dyDescent="0.2">
      <c r="B158" s="43"/>
      <c r="C158" s="44"/>
      <c r="D158" s="44"/>
      <c r="E158" s="1050"/>
      <c r="F158" s="1305"/>
      <c r="G158" s="44"/>
      <c r="H158" s="44"/>
      <c r="I158" s="44"/>
      <c r="J158" s="44"/>
      <c r="K158" s="44"/>
      <c r="L158" s="44"/>
      <c r="M158" s="44"/>
      <c r="N158" s="44"/>
      <c r="O158" s="1297"/>
      <c r="P158" s="1297"/>
      <c r="Q158" s="1297"/>
      <c r="R158" s="44"/>
      <c r="S158" s="44"/>
      <c r="T158" s="44"/>
      <c r="U158" s="44"/>
      <c r="V158" s="45"/>
    </row>
    <row r="159" spans="2:22" s="679" customFormat="1" ht="15" x14ac:dyDescent="0.2">
      <c r="B159" s="37"/>
      <c r="C159" s="39"/>
      <c r="D159" s="39"/>
      <c r="E159" s="1192"/>
      <c r="F159" s="1310"/>
      <c r="G159" s="39"/>
      <c r="H159" s="39"/>
      <c r="I159" s="39"/>
      <c r="J159" s="39"/>
      <c r="K159" s="39"/>
      <c r="L159" s="39"/>
      <c r="M159" s="39"/>
      <c r="N159" s="39"/>
      <c r="O159" s="1298"/>
      <c r="P159" s="1298"/>
      <c r="Q159" s="1298"/>
      <c r="R159" s="39"/>
      <c r="S159" s="39"/>
      <c r="T159" s="39"/>
      <c r="U159" s="39"/>
      <c r="V159" s="38"/>
    </row>
    <row r="160" spans="2:22" s="679" customFormat="1" ht="24.75" x14ac:dyDescent="0.25">
      <c r="B160" s="1329" t="s">
        <v>954</v>
      </c>
      <c r="C160" s="1330"/>
      <c r="D160" s="42"/>
      <c r="E160" s="294" t="s">
        <v>916</v>
      </c>
      <c r="F160" s="1049" t="s">
        <v>917</v>
      </c>
      <c r="G160" s="42"/>
      <c r="H160" s="42"/>
      <c r="I160" s="42"/>
      <c r="J160" s="42"/>
      <c r="K160" s="42"/>
      <c r="L160" s="42"/>
      <c r="M160" s="42"/>
      <c r="N160" s="42"/>
      <c r="O160" s="1296"/>
      <c r="P160" s="1296"/>
      <c r="Q160" s="1296"/>
      <c r="R160" s="42"/>
      <c r="S160" s="42"/>
      <c r="T160" s="42"/>
      <c r="U160" s="42"/>
      <c r="V160" s="41"/>
    </row>
    <row r="161" spans="2:22" s="679" customFormat="1" ht="15" x14ac:dyDescent="0.2">
      <c r="B161" s="40"/>
      <c r="C161" s="42"/>
      <c r="D161" s="42"/>
      <c r="E161" s="53"/>
      <c r="F161" s="1309"/>
      <c r="G161" s="42"/>
      <c r="H161" s="42"/>
      <c r="I161" s="42"/>
      <c r="J161" s="42"/>
      <c r="K161" s="42"/>
      <c r="L161" s="42"/>
      <c r="M161" s="42"/>
      <c r="N161" s="42"/>
      <c r="O161" s="1296"/>
      <c r="P161" s="1296"/>
      <c r="Q161" s="1296"/>
      <c r="R161" s="42"/>
      <c r="S161" s="42"/>
      <c r="T161" s="42"/>
      <c r="U161" s="42"/>
      <c r="V161" s="41"/>
    </row>
    <row r="162" spans="2:22" s="679" customFormat="1" ht="15" x14ac:dyDescent="0.2">
      <c r="B162" s="40"/>
      <c r="C162" s="42"/>
      <c r="D162" s="42"/>
      <c r="E162" s="53"/>
      <c r="F162" s="1309"/>
      <c r="G162" s="42"/>
      <c r="H162" s="42"/>
      <c r="I162" s="42"/>
      <c r="J162" s="42"/>
      <c r="K162" s="42"/>
      <c r="L162" s="42"/>
      <c r="M162" s="42"/>
      <c r="N162" s="42"/>
      <c r="O162" s="1296"/>
      <c r="P162" s="1296"/>
      <c r="Q162" s="1296"/>
      <c r="R162" s="42"/>
      <c r="S162" s="42"/>
      <c r="T162" s="42"/>
      <c r="U162" s="42"/>
      <c r="V162" s="41"/>
    </row>
    <row r="163" spans="2:22" s="679" customFormat="1" ht="15" x14ac:dyDescent="0.2">
      <c r="B163" s="40"/>
      <c r="C163" s="42"/>
      <c r="D163" s="42"/>
      <c r="E163" s="53"/>
      <c r="F163" s="1309"/>
      <c r="G163" s="42"/>
      <c r="H163" s="42"/>
      <c r="I163" s="42"/>
      <c r="J163" s="42"/>
      <c r="K163" s="42"/>
      <c r="L163" s="42"/>
      <c r="M163" s="42"/>
      <c r="N163" s="42"/>
      <c r="O163" s="1296"/>
      <c r="P163" s="1296"/>
      <c r="Q163" s="1296"/>
      <c r="R163" s="42"/>
      <c r="S163" s="42"/>
      <c r="T163" s="42"/>
      <c r="U163" s="42"/>
      <c r="V163" s="41"/>
    </row>
    <row r="164" spans="2:22" s="679" customFormat="1" ht="15" x14ac:dyDescent="0.2">
      <c r="B164" s="40"/>
      <c r="C164" s="42"/>
      <c r="D164" s="42"/>
      <c r="E164" s="53"/>
      <c r="F164" s="1309"/>
      <c r="G164" s="42"/>
      <c r="H164" s="42"/>
      <c r="I164" s="42"/>
      <c r="J164" s="42"/>
      <c r="K164" s="42"/>
      <c r="L164" s="42"/>
      <c r="M164" s="42"/>
      <c r="N164" s="42"/>
      <c r="O164" s="1296"/>
      <c r="P164" s="1296"/>
      <c r="Q164" s="1296"/>
      <c r="R164" s="42"/>
      <c r="S164" s="42"/>
      <c r="T164" s="42"/>
      <c r="U164" s="42"/>
      <c r="V164" s="41"/>
    </row>
    <row r="165" spans="2:22" s="679" customFormat="1" ht="15" x14ac:dyDescent="0.2">
      <c r="B165" s="40"/>
      <c r="C165" s="42"/>
      <c r="D165" s="42"/>
      <c r="E165" s="53"/>
      <c r="F165" s="1309"/>
      <c r="G165" s="42"/>
      <c r="H165" s="42"/>
      <c r="I165" s="42"/>
      <c r="J165" s="42"/>
      <c r="K165" s="42"/>
      <c r="L165" s="42"/>
      <c r="M165" s="42"/>
      <c r="N165" s="42"/>
      <c r="O165" s="1296"/>
      <c r="P165" s="1296"/>
      <c r="Q165" s="1296"/>
      <c r="R165" s="42"/>
      <c r="S165" s="42"/>
      <c r="T165" s="42"/>
      <c r="U165" s="42"/>
      <c r="V165" s="41"/>
    </row>
    <row r="166" spans="2:22" s="679" customFormat="1" ht="15" x14ac:dyDescent="0.2">
      <c r="B166" s="40"/>
      <c r="C166" s="42"/>
      <c r="D166" s="42"/>
      <c r="E166" s="53"/>
      <c r="F166" s="1309"/>
      <c r="G166" s="42"/>
      <c r="H166" s="42"/>
      <c r="I166" s="42"/>
      <c r="J166" s="42"/>
      <c r="K166" s="42"/>
      <c r="L166" s="42"/>
      <c r="M166" s="42"/>
      <c r="N166" s="42"/>
      <c r="O166" s="1296"/>
      <c r="P166" s="1296"/>
      <c r="Q166" s="1296"/>
      <c r="R166" s="42"/>
      <c r="S166" s="42"/>
      <c r="T166" s="42"/>
      <c r="U166" s="42"/>
      <c r="V166" s="41"/>
    </row>
    <row r="167" spans="2:22" s="679" customFormat="1" ht="15" x14ac:dyDescent="0.2">
      <c r="B167" s="40"/>
      <c r="C167" s="42"/>
      <c r="D167" s="42"/>
      <c r="E167" s="53"/>
      <c r="F167" s="1309"/>
      <c r="G167" s="42"/>
      <c r="H167" s="42"/>
      <c r="I167" s="42"/>
      <c r="J167" s="42"/>
      <c r="K167" s="42"/>
      <c r="L167" s="42"/>
      <c r="M167" s="42"/>
      <c r="N167" s="42"/>
      <c r="O167" s="1296"/>
      <c r="P167" s="1296"/>
      <c r="Q167" s="1296"/>
      <c r="R167" s="42"/>
      <c r="S167" s="42"/>
      <c r="T167" s="42"/>
      <c r="U167" s="42"/>
      <c r="V167" s="41"/>
    </row>
    <row r="168" spans="2:22" s="679" customFormat="1" ht="15" x14ac:dyDescent="0.2">
      <c r="B168" s="40"/>
      <c r="C168" s="42"/>
      <c r="D168" s="42"/>
      <c r="E168" s="53"/>
      <c r="F168" s="1309"/>
      <c r="G168" s="42"/>
      <c r="H168" s="42"/>
      <c r="I168" s="42"/>
      <c r="J168" s="42"/>
      <c r="K168" s="42"/>
      <c r="L168" s="42"/>
      <c r="M168" s="42"/>
      <c r="N168" s="42"/>
      <c r="O168" s="1296"/>
      <c r="P168" s="1296"/>
      <c r="Q168" s="1296"/>
      <c r="R168" s="42"/>
      <c r="S168" s="42"/>
      <c r="T168" s="42"/>
      <c r="U168" s="42"/>
      <c r="V168" s="41"/>
    </row>
    <row r="169" spans="2:22" s="679" customFormat="1" ht="15" x14ac:dyDescent="0.2">
      <c r="B169" s="40"/>
      <c r="C169" s="42"/>
      <c r="D169" s="42"/>
      <c r="E169" s="53"/>
      <c r="F169" s="1309"/>
      <c r="G169" s="42"/>
      <c r="H169" s="42"/>
      <c r="I169" s="42"/>
      <c r="J169" s="42"/>
      <c r="K169" s="42"/>
      <c r="L169" s="42"/>
      <c r="M169" s="42"/>
      <c r="N169" s="42"/>
      <c r="O169" s="1296"/>
      <c r="P169" s="1296"/>
      <c r="Q169" s="1296"/>
      <c r="R169" s="42"/>
      <c r="S169" s="42"/>
      <c r="T169" s="42"/>
      <c r="U169" s="42"/>
      <c r="V169" s="41"/>
    </row>
    <row r="170" spans="2:22" s="679" customFormat="1" ht="15" x14ac:dyDescent="0.2">
      <c r="B170" s="40"/>
      <c r="C170" s="42"/>
      <c r="D170" s="42"/>
      <c r="E170" s="53"/>
      <c r="F170" s="1309"/>
      <c r="G170" s="42"/>
      <c r="H170" s="42"/>
      <c r="I170" s="42"/>
      <c r="J170" s="42"/>
      <c r="K170" s="42"/>
      <c r="L170" s="42"/>
      <c r="M170" s="42"/>
      <c r="N170" s="42"/>
      <c r="O170" s="1296"/>
      <c r="P170" s="1296"/>
      <c r="Q170" s="1296"/>
      <c r="R170" s="42"/>
      <c r="S170" s="42"/>
      <c r="T170" s="42"/>
      <c r="U170" s="42"/>
      <c r="V170" s="41"/>
    </row>
    <row r="171" spans="2:22" s="679" customFormat="1" ht="15" x14ac:dyDescent="0.2">
      <c r="B171" s="40"/>
      <c r="C171" s="42"/>
      <c r="D171" s="42"/>
      <c r="E171" s="53"/>
      <c r="F171" s="1309"/>
      <c r="G171" s="42"/>
      <c r="H171" s="42"/>
      <c r="I171" s="42"/>
      <c r="J171" s="42"/>
      <c r="K171" s="42"/>
      <c r="L171" s="42"/>
      <c r="M171" s="42"/>
      <c r="N171" s="42"/>
      <c r="O171" s="1296"/>
      <c r="P171" s="1296"/>
      <c r="Q171" s="1296"/>
      <c r="R171" s="42"/>
      <c r="S171" s="42"/>
      <c r="T171" s="42"/>
      <c r="U171" s="42"/>
      <c r="V171" s="41"/>
    </row>
    <row r="172" spans="2:22" s="679" customFormat="1" ht="15" x14ac:dyDescent="0.2">
      <c r="B172" s="40"/>
      <c r="C172" s="42"/>
      <c r="D172" s="42"/>
      <c r="E172" s="53"/>
      <c r="F172" s="1309"/>
      <c r="G172" s="42"/>
      <c r="H172" s="42"/>
      <c r="I172" s="42"/>
      <c r="J172" s="42"/>
      <c r="K172" s="42"/>
      <c r="L172" s="42"/>
      <c r="M172" s="42"/>
      <c r="N172" s="42"/>
      <c r="O172" s="1296"/>
      <c r="P172" s="1296"/>
      <c r="Q172" s="1296"/>
      <c r="R172" s="42"/>
      <c r="S172" s="42"/>
      <c r="T172" s="42"/>
      <c r="U172" s="42"/>
      <c r="V172" s="41"/>
    </row>
    <row r="173" spans="2:22" s="679" customFormat="1" ht="15" x14ac:dyDescent="0.2">
      <c r="B173" s="40"/>
      <c r="C173" s="42"/>
      <c r="D173" s="42"/>
      <c r="E173" s="53"/>
      <c r="F173" s="1309"/>
      <c r="G173" s="42"/>
      <c r="H173" s="42"/>
      <c r="I173" s="42"/>
      <c r="J173" s="42"/>
      <c r="K173" s="42"/>
      <c r="L173" s="42"/>
      <c r="M173" s="42"/>
      <c r="N173" s="42"/>
      <c r="O173" s="1296"/>
      <c r="P173" s="1296"/>
      <c r="Q173" s="1296"/>
      <c r="R173" s="42"/>
      <c r="S173" s="42"/>
      <c r="T173" s="42"/>
      <c r="U173" s="42"/>
      <c r="V173" s="41"/>
    </row>
    <row r="174" spans="2:22" s="679" customFormat="1" ht="15" x14ac:dyDescent="0.2">
      <c r="B174" s="40"/>
      <c r="C174" s="42"/>
      <c r="D174" s="42"/>
      <c r="E174" s="53"/>
      <c r="F174" s="1309"/>
      <c r="G174" s="42"/>
      <c r="H174" s="42"/>
      <c r="I174" s="42"/>
      <c r="J174" s="42"/>
      <c r="K174" s="42"/>
      <c r="L174" s="42"/>
      <c r="M174" s="42"/>
      <c r="N174" s="42"/>
      <c r="O174" s="1296"/>
      <c r="P174" s="1296"/>
      <c r="Q174" s="1296"/>
      <c r="R174" s="42"/>
      <c r="S174" s="42"/>
      <c r="T174" s="42"/>
      <c r="U174" s="42"/>
      <c r="V174" s="41"/>
    </row>
    <row r="175" spans="2:22" s="679" customFormat="1" ht="15" x14ac:dyDescent="0.2">
      <c r="B175" s="40"/>
      <c r="C175" s="42"/>
      <c r="D175" s="42"/>
      <c r="E175" s="53"/>
      <c r="F175" s="1309"/>
      <c r="G175" s="42"/>
      <c r="H175" s="42"/>
      <c r="I175" s="42"/>
      <c r="J175" s="42"/>
      <c r="K175" s="42"/>
      <c r="L175" s="42"/>
      <c r="M175" s="42"/>
      <c r="N175" s="42"/>
      <c r="O175" s="1296"/>
      <c r="P175" s="1296"/>
      <c r="Q175" s="1296"/>
      <c r="R175" s="42"/>
      <c r="S175" s="42"/>
      <c r="T175" s="42"/>
      <c r="U175" s="42"/>
      <c r="V175" s="41"/>
    </row>
    <row r="176" spans="2:22" s="679" customFormat="1" ht="15" x14ac:dyDescent="0.2">
      <c r="B176" s="43"/>
      <c r="C176" s="44"/>
      <c r="D176" s="44"/>
      <c r="E176" s="1050"/>
      <c r="F176" s="1305"/>
      <c r="G176" s="44"/>
      <c r="H176" s="44"/>
      <c r="I176" s="44"/>
      <c r="J176" s="44"/>
      <c r="K176" s="44"/>
      <c r="L176" s="44"/>
      <c r="M176" s="44"/>
      <c r="N176" s="44"/>
      <c r="O176" s="1297"/>
      <c r="P176" s="1297"/>
      <c r="Q176" s="1297"/>
      <c r="R176" s="44"/>
      <c r="S176" s="44"/>
      <c r="T176" s="44"/>
      <c r="U176" s="44"/>
      <c r="V176" s="45"/>
    </row>
    <row r="177" spans="2:22" s="679" customFormat="1" ht="15" x14ac:dyDescent="0.2">
      <c r="B177" s="40"/>
      <c r="C177" s="42"/>
      <c r="D177" s="42"/>
      <c r="E177" s="53"/>
      <c r="F177" s="1309"/>
      <c r="G177" s="42"/>
      <c r="H177" s="42"/>
      <c r="I177" s="42"/>
      <c r="J177" s="42"/>
      <c r="K177" s="42"/>
      <c r="L177" s="42"/>
      <c r="M177" s="42"/>
      <c r="N177" s="42"/>
      <c r="O177" s="1296"/>
      <c r="P177" s="1296"/>
      <c r="Q177" s="1296"/>
      <c r="R177" s="42"/>
      <c r="S177" s="42"/>
      <c r="T177" s="42"/>
      <c r="U177" s="42"/>
      <c r="V177" s="41"/>
    </row>
    <row r="178" spans="2:22" s="679" customFormat="1" ht="24.75" x14ac:dyDescent="0.25">
      <c r="B178" s="1329" t="s">
        <v>967</v>
      </c>
      <c r="C178" s="1330"/>
      <c r="D178" s="42"/>
      <c r="E178" s="294" t="s">
        <v>918</v>
      </c>
      <c r="F178" s="1049" t="s">
        <v>919</v>
      </c>
      <c r="G178" s="42"/>
      <c r="H178" s="42"/>
      <c r="I178" s="42"/>
      <c r="J178" s="42"/>
      <c r="K178" s="42"/>
      <c r="L178" s="42"/>
      <c r="M178" s="42"/>
      <c r="N178" s="42"/>
      <c r="O178" s="1296"/>
      <c r="P178" s="1296"/>
      <c r="Q178" s="1296"/>
      <c r="R178" s="42"/>
      <c r="S178" s="42"/>
      <c r="T178" s="42"/>
      <c r="U178" s="42"/>
      <c r="V178" s="41"/>
    </row>
    <row r="179" spans="2:22" s="679" customFormat="1" ht="15" x14ac:dyDescent="0.2">
      <c r="B179" s="40"/>
      <c r="C179" s="42"/>
      <c r="D179" s="42"/>
      <c r="E179" s="53"/>
      <c r="F179" s="1309"/>
      <c r="G179" s="42"/>
      <c r="H179" s="42"/>
      <c r="I179" s="42"/>
      <c r="J179" s="42"/>
      <c r="K179" s="42"/>
      <c r="L179" s="42"/>
      <c r="M179" s="42"/>
      <c r="N179" s="42"/>
      <c r="O179" s="1296"/>
      <c r="P179" s="1296"/>
      <c r="Q179" s="1296"/>
      <c r="R179" s="42"/>
      <c r="S179" s="42"/>
      <c r="T179" s="42"/>
      <c r="U179" s="42"/>
      <c r="V179" s="41"/>
    </row>
    <row r="180" spans="2:22" s="679" customFormat="1" ht="15" x14ac:dyDescent="0.2">
      <c r="B180" s="40"/>
      <c r="C180" s="42"/>
      <c r="D180" s="42"/>
      <c r="E180" s="53"/>
      <c r="F180" s="1309"/>
      <c r="G180" s="42"/>
      <c r="H180" s="42"/>
      <c r="I180" s="42"/>
      <c r="J180" s="42"/>
      <c r="K180" s="42"/>
      <c r="L180" s="42"/>
      <c r="M180" s="42"/>
      <c r="N180" s="42"/>
      <c r="O180" s="1296"/>
      <c r="P180" s="1296"/>
      <c r="Q180" s="1296"/>
      <c r="R180" s="42"/>
      <c r="S180" s="42"/>
      <c r="T180" s="42"/>
      <c r="U180" s="42"/>
      <c r="V180" s="41"/>
    </row>
    <row r="181" spans="2:22" s="679" customFormat="1" ht="15" x14ac:dyDescent="0.2">
      <c r="B181" s="40"/>
      <c r="C181" s="42"/>
      <c r="D181" s="42"/>
      <c r="E181" s="53"/>
      <c r="F181" s="1309"/>
      <c r="G181" s="42"/>
      <c r="H181" s="42"/>
      <c r="I181" s="42"/>
      <c r="J181" s="42"/>
      <c r="K181" s="42"/>
      <c r="L181" s="42"/>
      <c r="M181" s="42"/>
      <c r="N181" s="42"/>
      <c r="O181" s="1296"/>
      <c r="P181" s="1296"/>
      <c r="Q181" s="1296"/>
      <c r="R181" s="42"/>
      <c r="S181" s="42"/>
      <c r="T181" s="42"/>
      <c r="U181" s="42"/>
      <c r="V181" s="41"/>
    </row>
    <row r="182" spans="2:22" s="679" customFormat="1" ht="15" x14ac:dyDescent="0.2">
      <c r="B182" s="40"/>
      <c r="C182" s="42"/>
      <c r="D182" s="42"/>
      <c r="E182" s="53"/>
      <c r="F182" s="1309"/>
      <c r="G182" s="42"/>
      <c r="H182" s="42"/>
      <c r="I182" s="42"/>
      <c r="J182" s="42"/>
      <c r="K182" s="42"/>
      <c r="L182" s="42"/>
      <c r="M182" s="42"/>
      <c r="N182" s="42"/>
      <c r="O182" s="1296"/>
      <c r="P182" s="1296"/>
      <c r="Q182" s="1296"/>
      <c r="R182" s="42"/>
      <c r="S182" s="42"/>
      <c r="T182" s="42"/>
      <c r="U182" s="42"/>
      <c r="V182" s="41"/>
    </row>
    <row r="183" spans="2:22" s="679" customFormat="1" ht="15" x14ac:dyDescent="0.2">
      <c r="B183" s="40"/>
      <c r="C183" s="42"/>
      <c r="D183" s="42"/>
      <c r="E183" s="53"/>
      <c r="F183" s="1309"/>
      <c r="G183" s="42"/>
      <c r="H183" s="42"/>
      <c r="I183" s="42"/>
      <c r="J183" s="42"/>
      <c r="K183" s="42"/>
      <c r="L183" s="42"/>
      <c r="M183" s="42"/>
      <c r="N183" s="42"/>
      <c r="O183" s="1296"/>
      <c r="P183" s="1296"/>
      <c r="Q183" s="1296"/>
      <c r="R183" s="42"/>
      <c r="S183" s="42"/>
      <c r="T183" s="42"/>
      <c r="U183" s="42"/>
      <c r="V183" s="41"/>
    </row>
    <row r="184" spans="2:22" s="679" customFormat="1" ht="15" x14ac:dyDescent="0.2">
      <c r="B184" s="40"/>
      <c r="C184" s="42"/>
      <c r="D184" s="42"/>
      <c r="E184" s="53"/>
      <c r="F184" s="1309"/>
      <c r="G184" s="42"/>
      <c r="H184" s="42"/>
      <c r="I184" s="42"/>
      <c r="J184" s="42"/>
      <c r="K184" s="42"/>
      <c r="L184" s="42"/>
      <c r="M184" s="42"/>
      <c r="N184" s="42"/>
      <c r="O184" s="1296"/>
      <c r="P184" s="1296"/>
      <c r="Q184" s="1296"/>
      <c r="R184" s="42"/>
      <c r="S184" s="42"/>
      <c r="T184" s="42"/>
      <c r="U184" s="42"/>
      <c r="V184" s="41"/>
    </row>
    <row r="185" spans="2:22" s="679" customFormat="1" ht="15" x14ac:dyDescent="0.2">
      <c r="B185" s="40"/>
      <c r="C185" s="42"/>
      <c r="D185" s="42"/>
      <c r="E185" s="53"/>
      <c r="F185" s="1309"/>
      <c r="G185" s="42"/>
      <c r="H185" s="42"/>
      <c r="I185" s="42"/>
      <c r="J185" s="42"/>
      <c r="K185" s="42"/>
      <c r="L185" s="42"/>
      <c r="M185" s="42"/>
      <c r="N185" s="42"/>
      <c r="O185" s="1296"/>
      <c r="P185" s="1296"/>
      <c r="Q185" s="1296"/>
      <c r="R185" s="42"/>
      <c r="S185" s="42"/>
      <c r="T185" s="42"/>
      <c r="U185" s="42"/>
      <c r="V185" s="41"/>
    </row>
    <row r="186" spans="2:22" s="679" customFormat="1" ht="15" x14ac:dyDescent="0.2">
      <c r="B186" s="40"/>
      <c r="C186" s="42"/>
      <c r="D186" s="42"/>
      <c r="E186" s="53"/>
      <c r="F186" s="1309"/>
      <c r="G186" s="42"/>
      <c r="H186" s="42"/>
      <c r="I186" s="42"/>
      <c r="J186" s="42"/>
      <c r="K186" s="42"/>
      <c r="L186" s="42"/>
      <c r="M186" s="42"/>
      <c r="N186" s="42"/>
      <c r="O186" s="1296"/>
      <c r="P186" s="1296"/>
      <c r="Q186" s="1296"/>
      <c r="R186" s="42"/>
      <c r="S186" s="42"/>
      <c r="T186" s="42"/>
      <c r="U186" s="42"/>
      <c r="V186" s="41"/>
    </row>
    <row r="187" spans="2:22" s="679" customFormat="1" ht="15" x14ac:dyDescent="0.2">
      <c r="B187" s="40"/>
      <c r="C187" s="42"/>
      <c r="D187" s="42"/>
      <c r="E187" s="53"/>
      <c r="F187" s="1309"/>
      <c r="G187" s="42"/>
      <c r="H187" s="42"/>
      <c r="I187" s="42"/>
      <c r="J187" s="42"/>
      <c r="K187" s="42"/>
      <c r="L187" s="42"/>
      <c r="M187" s="42"/>
      <c r="N187" s="42"/>
      <c r="O187" s="1296"/>
      <c r="P187" s="1296"/>
      <c r="Q187" s="1296"/>
      <c r="R187" s="42"/>
      <c r="S187" s="42"/>
      <c r="T187" s="42"/>
      <c r="U187" s="42"/>
      <c r="V187" s="41"/>
    </row>
    <row r="188" spans="2:22" s="679" customFormat="1" ht="15" x14ac:dyDescent="0.2">
      <c r="B188" s="40"/>
      <c r="C188" s="42"/>
      <c r="D188" s="42"/>
      <c r="E188" s="53"/>
      <c r="F188" s="1309"/>
      <c r="G188" s="42"/>
      <c r="H188" s="42"/>
      <c r="I188" s="42"/>
      <c r="J188" s="42"/>
      <c r="K188" s="42"/>
      <c r="L188" s="42"/>
      <c r="M188" s="42"/>
      <c r="N188" s="42"/>
      <c r="O188" s="1296"/>
      <c r="P188" s="1296"/>
      <c r="Q188" s="1296"/>
      <c r="R188" s="42"/>
      <c r="S188" s="42"/>
      <c r="T188" s="42"/>
      <c r="U188" s="42"/>
      <c r="V188" s="41"/>
    </row>
    <row r="189" spans="2:22" s="679" customFormat="1" ht="15" x14ac:dyDescent="0.2">
      <c r="B189" s="40"/>
      <c r="C189" s="42"/>
      <c r="D189" s="42"/>
      <c r="E189" s="53"/>
      <c r="F189" s="1309"/>
      <c r="G189" s="42"/>
      <c r="H189" s="42"/>
      <c r="I189" s="42"/>
      <c r="J189" s="42"/>
      <c r="K189" s="42"/>
      <c r="L189" s="42"/>
      <c r="M189" s="42"/>
      <c r="N189" s="42"/>
      <c r="O189" s="1296"/>
      <c r="P189" s="1296"/>
      <c r="Q189" s="1296"/>
      <c r="R189" s="42"/>
      <c r="S189" s="42"/>
      <c r="T189" s="42"/>
      <c r="U189" s="42"/>
      <c r="V189" s="41"/>
    </row>
    <row r="190" spans="2:22" s="679" customFormat="1" ht="15" x14ac:dyDescent="0.2">
      <c r="B190" s="40"/>
      <c r="C190" s="42"/>
      <c r="D190" s="42"/>
      <c r="E190" s="53"/>
      <c r="F190" s="1309"/>
      <c r="G190" s="42"/>
      <c r="H190" s="42"/>
      <c r="I190" s="42"/>
      <c r="J190" s="42"/>
      <c r="K190" s="42"/>
      <c r="L190" s="42"/>
      <c r="M190" s="42"/>
      <c r="N190" s="42"/>
      <c r="O190" s="1296"/>
      <c r="P190" s="1296"/>
      <c r="Q190" s="1296"/>
      <c r="R190" s="42"/>
      <c r="S190" s="42"/>
      <c r="T190" s="42"/>
      <c r="U190" s="42"/>
      <c r="V190" s="41"/>
    </row>
    <row r="191" spans="2:22" s="679" customFormat="1" ht="15" x14ac:dyDescent="0.2">
      <c r="B191" s="40"/>
      <c r="C191" s="42"/>
      <c r="D191" s="42"/>
      <c r="E191" s="53"/>
      <c r="F191" s="1309"/>
      <c r="G191" s="42"/>
      <c r="H191" s="42"/>
      <c r="I191" s="42"/>
      <c r="J191" s="42"/>
      <c r="K191" s="42"/>
      <c r="L191" s="42"/>
      <c r="M191" s="42"/>
      <c r="N191" s="42"/>
      <c r="O191" s="1296"/>
      <c r="P191" s="1296"/>
      <c r="Q191" s="1296"/>
      <c r="R191" s="42"/>
      <c r="S191" s="42"/>
      <c r="T191" s="42"/>
      <c r="U191" s="42"/>
      <c r="V191" s="41"/>
    </row>
    <row r="192" spans="2:22" s="679" customFormat="1" ht="15" x14ac:dyDescent="0.2">
      <c r="B192" s="40"/>
      <c r="C192" s="42"/>
      <c r="D192" s="42"/>
      <c r="E192" s="53"/>
      <c r="F192" s="1309"/>
      <c r="G192" s="42"/>
      <c r="H192" s="42"/>
      <c r="I192" s="42"/>
      <c r="J192" s="42"/>
      <c r="K192" s="42"/>
      <c r="L192" s="42"/>
      <c r="M192" s="42"/>
      <c r="N192" s="42"/>
      <c r="O192" s="1296"/>
      <c r="P192" s="1296"/>
      <c r="Q192" s="1296"/>
      <c r="R192" s="42"/>
      <c r="S192" s="42"/>
      <c r="T192" s="42"/>
      <c r="U192" s="42"/>
      <c r="V192" s="41"/>
    </row>
    <row r="193" spans="2:22" s="679" customFormat="1" ht="15" x14ac:dyDescent="0.2">
      <c r="B193" s="40"/>
      <c r="C193" s="42"/>
      <c r="D193" s="42"/>
      <c r="E193" s="53"/>
      <c r="F193" s="1309"/>
      <c r="G193" s="42"/>
      <c r="H193" s="42"/>
      <c r="I193" s="42"/>
      <c r="J193" s="42"/>
      <c r="K193" s="42"/>
      <c r="L193" s="42"/>
      <c r="M193" s="42"/>
      <c r="N193" s="42"/>
      <c r="O193" s="1296"/>
      <c r="P193" s="1296"/>
      <c r="Q193" s="1296"/>
      <c r="R193" s="42"/>
      <c r="S193" s="42"/>
      <c r="T193" s="42"/>
      <c r="U193" s="42"/>
      <c r="V193" s="41"/>
    </row>
    <row r="194" spans="2:22" s="679" customFormat="1" ht="15" x14ac:dyDescent="0.2">
      <c r="B194" s="40"/>
      <c r="C194" s="42"/>
      <c r="D194" s="42"/>
      <c r="E194" s="53"/>
      <c r="F194" s="1309"/>
      <c r="G194" s="42"/>
      <c r="H194" s="42"/>
      <c r="I194" s="42"/>
      <c r="J194" s="42"/>
      <c r="K194" s="42"/>
      <c r="L194" s="42"/>
      <c r="M194" s="42"/>
      <c r="N194" s="42"/>
      <c r="O194" s="1296"/>
      <c r="P194" s="1296"/>
      <c r="Q194" s="1296"/>
      <c r="R194" s="42"/>
      <c r="S194" s="42"/>
      <c r="T194" s="42"/>
      <c r="U194" s="42"/>
      <c r="V194" s="41"/>
    </row>
    <row r="195" spans="2:22" s="679" customFormat="1" ht="15" x14ac:dyDescent="0.2">
      <c r="B195" s="37"/>
      <c r="C195" s="39"/>
      <c r="D195" s="39"/>
      <c r="E195" s="1192"/>
      <c r="F195" s="1310"/>
      <c r="G195" s="39"/>
      <c r="H195" s="39"/>
      <c r="I195" s="39"/>
      <c r="J195" s="39"/>
      <c r="K195" s="39"/>
      <c r="L195" s="39"/>
      <c r="M195" s="39"/>
      <c r="N195" s="39"/>
      <c r="O195" s="1298"/>
      <c r="P195" s="1298"/>
      <c r="Q195" s="1298"/>
      <c r="R195" s="39"/>
      <c r="S195" s="39"/>
      <c r="T195" s="39"/>
      <c r="U195" s="39"/>
      <c r="V195" s="38"/>
    </row>
    <row r="196" spans="2:22" s="679" customFormat="1" ht="33" customHeight="1" x14ac:dyDescent="0.25">
      <c r="B196" s="1329" t="s">
        <v>955</v>
      </c>
      <c r="C196" s="1330"/>
      <c r="D196" s="42"/>
      <c r="E196" s="294" t="s">
        <v>913</v>
      </c>
      <c r="F196" s="1049" t="s">
        <v>915</v>
      </c>
      <c r="G196" s="42"/>
      <c r="H196" s="42"/>
      <c r="I196" s="42"/>
      <c r="J196" s="42"/>
      <c r="K196" s="42"/>
      <c r="L196" s="42"/>
      <c r="M196" s="42"/>
      <c r="N196" s="42"/>
      <c r="O196" s="1296"/>
      <c r="P196" s="1296"/>
      <c r="Q196" s="1296"/>
      <c r="R196" s="42"/>
      <c r="S196" s="42"/>
      <c r="T196" s="42"/>
      <c r="U196" s="42"/>
      <c r="V196" s="41"/>
    </row>
    <row r="197" spans="2:22" s="679" customFormat="1" ht="15" x14ac:dyDescent="0.2">
      <c r="B197" s="40"/>
      <c r="C197" s="42"/>
      <c r="D197" s="42"/>
      <c r="E197" s="53"/>
      <c r="F197" s="1309"/>
      <c r="G197" s="42"/>
      <c r="H197" s="42"/>
      <c r="I197" s="42"/>
      <c r="J197" s="42"/>
      <c r="K197" s="42"/>
      <c r="L197" s="42"/>
      <c r="M197" s="42"/>
      <c r="N197" s="42"/>
      <c r="O197" s="1296"/>
      <c r="P197" s="1296"/>
      <c r="Q197" s="1296"/>
      <c r="R197" s="42"/>
      <c r="S197" s="42"/>
      <c r="T197" s="42"/>
      <c r="U197" s="42"/>
      <c r="V197" s="41"/>
    </row>
    <row r="198" spans="2:22" s="679" customFormat="1" ht="15" x14ac:dyDescent="0.2">
      <c r="B198" s="40"/>
      <c r="C198" s="42"/>
      <c r="D198" s="42"/>
      <c r="E198" s="53"/>
      <c r="F198" s="1309"/>
      <c r="G198" s="42"/>
      <c r="H198" s="42"/>
      <c r="I198" s="42"/>
      <c r="J198" s="42"/>
      <c r="K198" s="42"/>
      <c r="L198" s="42"/>
      <c r="M198" s="42"/>
      <c r="N198" s="42"/>
      <c r="O198" s="1296"/>
      <c r="P198" s="1296"/>
      <c r="Q198" s="1296"/>
      <c r="R198" s="42"/>
      <c r="S198" s="42"/>
      <c r="T198" s="42"/>
      <c r="U198" s="42"/>
      <c r="V198" s="41"/>
    </row>
    <row r="199" spans="2:22" s="679" customFormat="1" ht="15" x14ac:dyDescent="0.2">
      <c r="B199" s="40"/>
      <c r="C199" s="42"/>
      <c r="D199" s="42"/>
      <c r="E199" s="53"/>
      <c r="F199" s="1309"/>
      <c r="G199" s="42"/>
      <c r="H199" s="42"/>
      <c r="I199" s="42"/>
      <c r="J199" s="42"/>
      <c r="K199" s="42"/>
      <c r="L199" s="42"/>
      <c r="M199" s="42"/>
      <c r="N199" s="42"/>
      <c r="O199" s="1296"/>
      <c r="P199" s="1296"/>
      <c r="Q199" s="1296"/>
      <c r="R199" s="42"/>
      <c r="S199" s="42"/>
      <c r="T199" s="42"/>
      <c r="U199" s="42"/>
      <c r="V199" s="41"/>
    </row>
    <row r="200" spans="2:22" s="679" customFormat="1" ht="15" x14ac:dyDescent="0.2">
      <c r="B200" s="40"/>
      <c r="C200" s="42"/>
      <c r="D200" s="42"/>
      <c r="E200" s="53"/>
      <c r="F200" s="1309"/>
      <c r="G200" s="42"/>
      <c r="H200" s="42"/>
      <c r="I200" s="42"/>
      <c r="J200" s="42"/>
      <c r="K200" s="42"/>
      <c r="L200" s="42"/>
      <c r="M200" s="42"/>
      <c r="N200" s="42"/>
      <c r="O200" s="1296"/>
      <c r="P200" s="1296"/>
      <c r="Q200" s="1296"/>
      <c r="R200" s="42"/>
      <c r="S200" s="42"/>
      <c r="T200" s="42"/>
      <c r="U200" s="42"/>
      <c r="V200" s="41"/>
    </row>
    <row r="201" spans="2:22" s="679" customFormat="1" ht="15" x14ac:dyDescent="0.2">
      <c r="B201" s="40"/>
      <c r="C201" s="42"/>
      <c r="D201" s="42"/>
      <c r="E201" s="53"/>
      <c r="F201" s="1309"/>
      <c r="G201" s="42"/>
      <c r="H201" s="42"/>
      <c r="I201" s="42"/>
      <c r="J201" s="42"/>
      <c r="K201" s="42"/>
      <c r="L201" s="42"/>
      <c r="M201" s="42"/>
      <c r="N201" s="42"/>
      <c r="O201" s="1296"/>
      <c r="P201" s="1296"/>
      <c r="Q201" s="1296"/>
      <c r="R201" s="42"/>
      <c r="S201" s="42"/>
      <c r="T201" s="42"/>
      <c r="U201" s="42"/>
      <c r="V201" s="41"/>
    </row>
    <row r="202" spans="2:22" s="679" customFormat="1" ht="15" x14ac:dyDescent="0.2">
      <c r="B202" s="40"/>
      <c r="C202" s="42"/>
      <c r="D202" s="42"/>
      <c r="E202" s="53"/>
      <c r="F202" s="1309"/>
      <c r="G202" s="42"/>
      <c r="H202" s="42"/>
      <c r="I202" s="42"/>
      <c r="J202" s="42"/>
      <c r="K202" s="42"/>
      <c r="L202" s="42"/>
      <c r="M202" s="42"/>
      <c r="N202" s="42"/>
      <c r="O202" s="1296"/>
      <c r="P202" s="1296"/>
      <c r="Q202" s="1296"/>
      <c r="R202" s="42"/>
      <c r="S202" s="42"/>
      <c r="T202" s="42"/>
      <c r="U202" s="42"/>
      <c r="V202" s="41"/>
    </row>
    <row r="203" spans="2:22" s="679" customFormat="1" ht="15" x14ac:dyDescent="0.2">
      <c r="B203" s="40"/>
      <c r="C203" s="42"/>
      <c r="D203" s="42"/>
      <c r="E203" s="53"/>
      <c r="F203" s="1309"/>
      <c r="G203" s="42"/>
      <c r="H203" s="42"/>
      <c r="I203" s="42"/>
      <c r="J203" s="42"/>
      <c r="K203" s="42"/>
      <c r="L203" s="42"/>
      <c r="M203" s="42"/>
      <c r="N203" s="42"/>
      <c r="O203" s="1296"/>
      <c r="P203" s="1296"/>
      <c r="Q203" s="1296"/>
      <c r="R203" s="42"/>
      <c r="S203" s="42"/>
      <c r="T203" s="42"/>
      <c r="U203" s="42"/>
      <c r="V203" s="41"/>
    </row>
    <row r="204" spans="2:22" s="679" customFormat="1" ht="15" x14ac:dyDescent="0.2">
      <c r="B204" s="40"/>
      <c r="C204" s="42"/>
      <c r="D204" s="42"/>
      <c r="E204" s="53"/>
      <c r="F204" s="1309"/>
      <c r="G204" s="42"/>
      <c r="H204" s="42"/>
      <c r="I204" s="42"/>
      <c r="J204" s="42"/>
      <c r="K204" s="42"/>
      <c r="L204" s="42"/>
      <c r="M204" s="42"/>
      <c r="N204" s="42"/>
      <c r="O204" s="1296"/>
      <c r="P204" s="1296"/>
      <c r="Q204" s="1296"/>
      <c r="R204" s="42"/>
      <c r="S204" s="42"/>
      <c r="T204" s="42"/>
      <c r="U204" s="42"/>
      <c r="V204" s="41"/>
    </row>
    <row r="205" spans="2:22" s="679" customFormat="1" ht="15" x14ac:dyDescent="0.2">
      <c r="B205" s="40"/>
      <c r="C205" s="42"/>
      <c r="D205" s="42"/>
      <c r="E205" s="53"/>
      <c r="F205" s="1309"/>
      <c r="G205" s="42"/>
      <c r="H205" s="42"/>
      <c r="I205" s="42"/>
      <c r="J205" s="42"/>
      <c r="K205" s="42"/>
      <c r="L205" s="42"/>
      <c r="M205" s="42"/>
      <c r="N205" s="42"/>
      <c r="O205" s="1296"/>
      <c r="P205" s="1296"/>
      <c r="Q205" s="1296"/>
      <c r="R205" s="42"/>
      <c r="S205" s="42"/>
      <c r="T205" s="42"/>
      <c r="U205" s="42"/>
      <c r="V205" s="41"/>
    </row>
    <row r="206" spans="2:22" s="679" customFormat="1" ht="15" x14ac:dyDescent="0.2">
      <c r="B206" s="40"/>
      <c r="C206" s="42"/>
      <c r="D206" s="42"/>
      <c r="E206" s="53"/>
      <c r="F206" s="1309"/>
      <c r="G206" s="42"/>
      <c r="H206" s="42"/>
      <c r="I206" s="42"/>
      <c r="J206" s="42"/>
      <c r="K206" s="42"/>
      <c r="L206" s="42"/>
      <c r="M206" s="42"/>
      <c r="N206" s="42"/>
      <c r="O206" s="1296"/>
      <c r="P206" s="1296"/>
      <c r="Q206" s="1296"/>
      <c r="R206" s="42"/>
      <c r="S206" s="42"/>
      <c r="T206" s="42"/>
      <c r="U206" s="42"/>
      <c r="V206" s="41"/>
    </row>
    <row r="207" spans="2:22" s="679" customFormat="1" ht="15" x14ac:dyDescent="0.2">
      <c r="B207" s="40"/>
      <c r="C207" s="42"/>
      <c r="D207" s="42"/>
      <c r="E207" s="53"/>
      <c r="F207" s="1309"/>
      <c r="G207" s="42"/>
      <c r="H207" s="42"/>
      <c r="I207" s="42"/>
      <c r="J207" s="42"/>
      <c r="K207" s="42"/>
      <c r="L207" s="42"/>
      <c r="M207" s="42"/>
      <c r="N207" s="42"/>
      <c r="O207" s="1296"/>
      <c r="P207" s="1296"/>
      <c r="Q207" s="1296"/>
      <c r="R207" s="42"/>
      <c r="S207" s="42"/>
      <c r="T207" s="42"/>
      <c r="U207" s="42"/>
      <c r="V207" s="41"/>
    </row>
    <row r="208" spans="2:22" s="679" customFormat="1" ht="15" x14ac:dyDescent="0.2">
      <c r="B208" s="40"/>
      <c r="C208" s="42"/>
      <c r="D208" s="42"/>
      <c r="E208" s="53"/>
      <c r="F208" s="1309"/>
      <c r="G208" s="42"/>
      <c r="H208" s="42"/>
      <c r="I208" s="42"/>
      <c r="J208" s="42"/>
      <c r="K208" s="42"/>
      <c r="L208" s="42"/>
      <c r="M208" s="42"/>
      <c r="N208" s="42"/>
      <c r="O208" s="1296"/>
      <c r="P208" s="1296"/>
      <c r="Q208" s="1296"/>
      <c r="R208" s="42"/>
      <c r="S208" s="42"/>
      <c r="T208" s="42"/>
      <c r="U208" s="42"/>
      <c r="V208" s="41"/>
    </row>
    <row r="209" spans="2:22" s="679" customFormat="1" ht="15" x14ac:dyDescent="0.2">
      <c r="B209" s="40"/>
      <c r="C209" s="42"/>
      <c r="D209" s="42"/>
      <c r="E209" s="53"/>
      <c r="F209" s="1309"/>
      <c r="G209" s="42"/>
      <c r="H209" s="42"/>
      <c r="I209" s="42"/>
      <c r="J209" s="42"/>
      <c r="K209" s="42"/>
      <c r="L209" s="42"/>
      <c r="M209" s="42"/>
      <c r="N209" s="42"/>
      <c r="O209" s="1296"/>
      <c r="P209" s="1296"/>
      <c r="Q209" s="1296"/>
      <c r="R209" s="42"/>
      <c r="S209" s="42"/>
      <c r="T209" s="42"/>
      <c r="U209" s="42"/>
      <c r="V209" s="41"/>
    </row>
    <row r="210" spans="2:22" s="679" customFormat="1" ht="15" x14ac:dyDescent="0.2">
      <c r="B210" s="40"/>
      <c r="C210" s="42"/>
      <c r="D210" s="42"/>
      <c r="E210" s="53"/>
      <c r="F210" s="1309"/>
      <c r="G210" s="42"/>
      <c r="H210" s="42"/>
      <c r="I210" s="42"/>
      <c r="J210" s="42"/>
      <c r="K210" s="42"/>
      <c r="L210" s="42"/>
      <c r="M210" s="42"/>
      <c r="N210" s="42"/>
      <c r="O210" s="1296"/>
      <c r="P210" s="1296"/>
      <c r="Q210" s="1296"/>
      <c r="R210" s="42"/>
      <c r="S210" s="42"/>
      <c r="T210" s="42"/>
      <c r="U210" s="42"/>
      <c r="V210" s="41"/>
    </row>
    <row r="211" spans="2:22" s="679" customFormat="1" ht="15" x14ac:dyDescent="0.2">
      <c r="B211" s="40"/>
      <c r="C211" s="42"/>
      <c r="D211" s="42"/>
      <c r="E211" s="53"/>
      <c r="F211" s="1309"/>
      <c r="G211" s="42"/>
      <c r="H211" s="42"/>
      <c r="I211" s="42"/>
      <c r="J211" s="42"/>
      <c r="K211" s="42"/>
      <c r="L211" s="42"/>
      <c r="M211" s="42"/>
      <c r="N211" s="42"/>
      <c r="O211" s="1296"/>
      <c r="P211" s="1296"/>
      <c r="Q211" s="1296"/>
      <c r="R211" s="42"/>
      <c r="S211" s="42"/>
      <c r="T211" s="42"/>
      <c r="U211" s="42"/>
      <c r="V211" s="41"/>
    </row>
    <row r="212" spans="2:22" s="679" customFormat="1" ht="15" x14ac:dyDescent="0.2">
      <c r="B212" s="43"/>
      <c r="C212" s="44"/>
      <c r="D212" s="44"/>
      <c r="E212" s="1050"/>
      <c r="F212" s="1305"/>
      <c r="G212" s="44"/>
      <c r="H212" s="44"/>
      <c r="I212" s="44"/>
      <c r="J212" s="44"/>
      <c r="K212" s="44"/>
      <c r="L212" s="44"/>
      <c r="M212" s="44"/>
      <c r="N212" s="44"/>
      <c r="O212" s="1297"/>
      <c r="P212" s="1297"/>
      <c r="Q212" s="1297"/>
      <c r="R212" s="44"/>
      <c r="S212" s="44"/>
      <c r="T212" s="44"/>
      <c r="U212" s="44"/>
      <c r="V212" s="45"/>
    </row>
    <row r="213" spans="2:22" s="679" customFormat="1" ht="15" x14ac:dyDescent="0.2">
      <c r="B213" s="37"/>
      <c r="C213" s="39"/>
      <c r="D213" s="39"/>
      <c r="E213" s="1192"/>
      <c r="F213" s="1310"/>
      <c r="G213" s="39"/>
      <c r="H213" s="39"/>
      <c r="I213" s="39"/>
      <c r="J213" s="39"/>
      <c r="K213" s="39"/>
      <c r="L213" s="39"/>
      <c r="M213" s="39"/>
      <c r="N213" s="39"/>
      <c r="O213" s="1298"/>
      <c r="P213" s="1298"/>
      <c r="Q213" s="1298"/>
      <c r="R213" s="39"/>
      <c r="S213" s="39"/>
      <c r="T213" s="39"/>
      <c r="U213" s="39"/>
      <c r="V213" s="38"/>
    </row>
    <row r="214" spans="2:22" s="679" customFormat="1" ht="33.75" customHeight="1" x14ac:dyDescent="0.25">
      <c r="B214" s="1329" t="s">
        <v>956</v>
      </c>
      <c r="C214" s="1330"/>
      <c r="D214" s="42"/>
      <c r="E214" s="294" t="s">
        <v>913</v>
      </c>
      <c r="F214" s="1049" t="s">
        <v>917</v>
      </c>
      <c r="G214" s="42"/>
      <c r="H214" s="42"/>
      <c r="I214" s="42"/>
      <c r="J214" s="42"/>
      <c r="K214" s="42"/>
      <c r="L214" s="42"/>
      <c r="M214" s="42"/>
      <c r="N214" s="42"/>
      <c r="O214" s="1296"/>
      <c r="P214" s="1296"/>
      <c r="Q214" s="1296"/>
      <c r="R214" s="42"/>
      <c r="S214" s="42"/>
      <c r="T214" s="42"/>
      <c r="U214" s="42"/>
      <c r="V214" s="41"/>
    </row>
    <row r="215" spans="2:22" s="679" customFormat="1" ht="15" x14ac:dyDescent="0.2">
      <c r="B215" s="40"/>
      <c r="C215" s="42"/>
      <c r="D215" s="42"/>
      <c r="E215" s="53"/>
      <c r="F215" s="1309"/>
      <c r="G215" s="42"/>
      <c r="H215" s="42"/>
      <c r="I215" s="42"/>
      <c r="J215" s="42"/>
      <c r="K215" s="42"/>
      <c r="L215" s="42"/>
      <c r="M215" s="42"/>
      <c r="N215" s="42"/>
      <c r="O215" s="1296"/>
      <c r="P215" s="1296"/>
      <c r="Q215" s="1296"/>
      <c r="R215" s="42"/>
      <c r="S215" s="42"/>
      <c r="T215" s="42"/>
      <c r="U215" s="42"/>
      <c r="V215" s="41"/>
    </row>
    <row r="216" spans="2:22" s="679" customFormat="1" ht="15" x14ac:dyDescent="0.2">
      <c r="B216" s="40"/>
      <c r="C216" s="42"/>
      <c r="D216" s="42"/>
      <c r="E216" s="53"/>
      <c r="F216" s="1309"/>
      <c r="G216" s="42"/>
      <c r="H216" s="42"/>
      <c r="I216" s="42"/>
      <c r="J216" s="42"/>
      <c r="K216" s="42"/>
      <c r="L216" s="42"/>
      <c r="M216" s="42"/>
      <c r="N216" s="42"/>
      <c r="O216" s="1296"/>
      <c r="P216" s="1296"/>
      <c r="Q216" s="1296"/>
      <c r="R216" s="42"/>
      <c r="S216" s="42"/>
      <c r="T216" s="42"/>
      <c r="U216" s="42"/>
      <c r="V216" s="41"/>
    </row>
    <row r="217" spans="2:22" s="679" customFormat="1" ht="15" x14ac:dyDescent="0.2">
      <c r="B217" s="40"/>
      <c r="C217" s="42"/>
      <c r="D217" s="42"/>
      <c r="E217" s="53"/>
      <c r="F217" s="1309"/>
      <c r="G217" s="42"/>
      <c r="H217" s="42"/>
      <c r="I217" s="42"/>
      <c r="J217" s="42"/>
      <c r="K217" s="42"/>
      <c r="L217" s="42"/>
      <c r="M217" s="42"/>
      <c r="N217" s="42"/>
      <c r="O217" s="1296"/>
      <c r="P217" s="1296"/>
      <c r="Q217" s="1296"/>
      <c r="R217" s="42"/>
      <c r="S217" s="42"/>
      <c r="T217" s="42"/>
      <c r="U217" s="42"/>
      <c r="V217" s="41"/>
    </row>
    <row r="218" spans="2:22" s="679" customFormat="1" ht="15" x14ac:dyDescent="0.2">
      <c r="B218" s="40"/>
      <c r="C218" s="42"/>
      <c r="D218" s="42"/>
      <c r="E218" s="53"/>
      <c r="F218" s="1309"/>
      <c r="G218" s="42"/>
      <c r="H218" s="42"/>
      <c r="I218" s="42"/>
      <c r="J218" s="42"/>
      <c r="K218" s="42"/>
      <c r="L218" s="42"/>
      <c r="M218" s="42"/>
      <c r="N218" s="42"/>
      <c r="O218" s="1296"/>
      <c r="P218" s="1296"/>
      <c r="Q218" s="1296"/>
      <c r="R218" s="42"/>
      <c r="S218" s="42"/>
      <c r="T218" s="42"/>
      <c r="U218" s="42"/>
      <c r="V218" s="41"/>
    </row>
    <row r="219" spans="2:22" s="679" customFormat="1" ht="15" x14ac:dyDescent="0.2">
      <c r="B219" s="40"/>
      <c r="C219" s="42"/>
      <c r="D219" s="42"/>
      <c r="E219" s="53"/>
      <c r="F219" s="1309"/>
      <c r="G219" s="42"/>
      <c r="H219" s="42"/>
      <c r="I219" s="42"/>
      <c r="J219" s="42"/>
      <c r="K219" s="42"/>
      <c r="L219" s="42"/>
      <c r="M219" s="42"/>
      <c r="N219" s="42"/>
      <c r="O219" s="1296"/>
      <c r="P219" s="1296"/>
      <c r="Q219" s="1296"/>
      <c r="R219" s="42"/>
      <c r="S219" s="42"/>
      <c r="T219" s="42"/>
      <c r="U219" s="42"/>
      <c r="V219" s="41"/>
    </row>
    <row r="220" spans="2:22" s="679" customFormat="1" ht="15" x14ac:dyDescent="0.2">
      <c r="B220" s="40"/>
      <c r="C220" s="42"/>
      <c r="D220" s="42"/>
      <c r="E220" s="53"/>
      <c r="F220" s="1309"/>
      <c r="G220" s="42"/>
      <c r="H220" s="42"/>
      <c r="I220" s="42"/>
      <c r="J220" s="42"/>
      <c r="K220" s="42"/>
      <c r="L220" s="42"/>
      <c r="M220" s="42"/>
      <c r="N220" s="42"/>
      <c r="O220" s="1296"/>
      <c r="P220" s="1296"/>
      <c r="Q220" s="1296"/>
      <c r="R220" s="42"/>
      <c r="S220" s="42"/>
      <c r="T220" s="42"/>
      <c r="U220" s="42"/>
      <c r="V220" s="41"/>
    </row>
    <row r="221" spans="2:22" s="679" customFormat="1" ht="15" x14ac:dyDescent="0.2">
      <c r="B221" s="40"/>
      <c r="C221" s="42"/>
      <c r="D221" s="42"/>
      <c r="E221" s="53"/>
      <c r="F221" s="1309"/>
      <c r="G221" s="42"/>
      <c r="H221" s="42"/>
      <c r="I221" s="42"/>
      <c r="J221" s="42"/>
      <c r="K221" s="42"/>
      <c r="L221" s="42"/>
      <c r="M221" s="42"/>
      <c r="N221" s="42"/>
      <c r="O221" s="1296"/>
      <c r="P221" s="1296"/>
      <c r="Q221" s="1296"/>
      <c r="R221" s="42"/>
      <c r="S221" s="42"/>
      <c r="T221" s="42"/>
      <c r="U221" s="42"/>
      <c r="V221" s="41"/>
    </row>
    <row r="222" spans="2:22" s="679" customFormat="1" ht="15" x14ac:dyDescent="0.2">
      <c r="B222" s="40"/>
      <c r="C222" s="42"/>
      <c r="D222" s="42"/>
      <c r="E222" s="53"/>
      <c r="F222" s="1309"/>
      <c r="G222" s="42"/>
      <c r="H222" s="42"/>
      <c r="I222" s="42"/>
      <c r="J222" s="42"/>
      <c r="K222" s="42"/>
      <c r="L222" s="42"/>
      <c r="M222" s="42"/>
      <c r="N222" s="42"/>
      <c r="O222" s="1296"/>
      <c r="P222" s="1296"/>
      <c r="Q222" s="1296"/>
      <c r="R222" s="42"/>
      <c r="S222" s="42"/>
      <c r="T222" s="42"/>
      <c r="U222" s="42"/>
      <c r="V222" s="41"/>
    </row>
    <row r="223" spans="2:22" s="679" customFormat="1" ht="15" x14ac:dyDescent="0.2">
      <c r="B223" s="40"/>
      <c r="C223" s="42"/>
      <c r="D223" s="42"/>
      <c r="E223" s="53"/>
      <c r="F223" s="1309"/>
      <c r="G223" s="42"/>
      <c r="H223" s="42"/>
      <c r="I223" s="42"/>
      <c r="J223" s="42"/>
      <c r="K223" s="42"/>
      <c r="L223" s="42"/>
      <c r="M223" s="42"/>
      <c r="N223" s="42"/>
      <c r="O223" s="1296"/>
      <c r="P223" s="1296"/>
      <c r="Q223" s="1296"/>
      <c r="R223" s="42"/>
      <c r="S223" s="42"/>
      <c r="T223" s="42"/>
      <c r="U223" s="42"/>
      <c r="V223" s="41"/>
    </row>
    <row r="224" spans="2:22" s="679" customFormat="1" ht="15" x14ac:dyDescent="0.2">
      <c r="B224" s="40"/>
      <c r="C224" s="42"/>
      <c r="D224" s="42"/>
      <c r="E224" s="53"/>
      <c r="F224" s="1309"/>
      <c r="G224" s="42"/>
      <c r="H224" s="42"/>
      <c r="I224" s="42"/>
      <c r="J224" s="42"/>
      <c r="K224" s="42"/>
      <c r="L224" s="42"/>
      <c r="M224" s="42"/>
      <c r="N224" s="42"/>
      <c r="O224" s="1296"/>
      <c r="P224" s="1296"/>
      <c r="Q224" s="1296"/>
      <c r="R224" s="42"/>
      <c r="S224" s="42"/>
      <c r="T224" s="42"/>
      <c r="U224" s="42"/>
      <c r="V224" s="41"/>
    </row>
    <row r="225" spans="2:22" s="679" customFormat="1" ht="15" x14ac:dyDescent="0.2">
      <c r="B225" s="40"/>
      <c r="C225" s="42"/>
      <c r="D225" s="42"/>
      <c r="E225" s="53"/>
      <c r="F225" s="1309"/>
      <c r="G225" s="42"/>
      <c r="H225" s="42"/>
      <c r="I225" s="42"/>
      <c r="J225" s="42"/>
      <c r="K225" s="42"/>
      <c r="L225" s="42"/>
      <c r="M225" s="42"/>
      <c r="N225" s="42"/>
      <c r="O225" s="1296"/>
      <c r="P225" s="1296"/>
      <c r="Q225" s="1296"/>
      <c r="R225" s="42"/>
      <c r="S225" s="42"/>
      <c r="T225" s="42"/>
      <c r="U225" s="42"/>
      <c r="V225" s="41"/>
    </row>
    <row r="226" spans="2:22" s="679" customFormat="1" ht="15" x14ac:dyDescent="0.2">
      <c r="B226" s="40"/>
      <c r="C226" s="42"/>
      <c r="D226" s="42"/>
      <c r="E226" s="53"/>
      <c r="F226" s="1309"/>
      <c r="G226" s="42"/>
      <c r="H226" s="42"/>
      <c r="I226" s="42"/>
      <c r="J226" s="42"/>
      <c r="K226" s="42"/>
      <c r="L226" s="42"/>
      <c r="M226" s="42"/>
      <c r="N226" s="42"/>
      <c r="O226" s="1296"/>
      <c r="P226" s="1296"/>
      <c r="Q226" s="1296"/>
      <c r="R226" s="42"/>
      <c r="S226" s="42"/>
      <c r="T226" s="42"/>
      <c r="U226" s="42"/>
      <c r="V226" s="41"/>
    </row>
    <row r="227" spans="2:22" s="679" customFormat="1" ht="15" x14ac:dyDescent="0.2">
      <c r="B227" s="40"/>
      <c r="C227" s="42"/>
      <c r="D227" s="42"/>
      <c r="E227" s="53"/>
      <c r="F227" s="1309"/>
      <c r="G227" s="42"/>
      <c r="H227" s="42"/>
      <c r="I227" s="42"/>
      <c r="J227" s="42"/>
      <c r="K227" s="42"/>
      <c r="L227" s="42"/>
      <c r="M227" s="42"/>
      <c r="N227" s="42"/>
      <c r="O227" s="1296"/>
      <c r="P227" s="1296"/>
      <c r="Q227" s="1296"/>
      <c r="R227" s="42"/>
      <c r="S227" s="42"/>
      <c r="T227" s="42"/>
      <c r="U227" s="42"/>
      <c r="V227" s="41"/>
    </row>
    <row r="228" spans="2:22" s="679" customFormat="1" ht="15" x14ac:dyDescent="0.2">
      <c r="B228" s="40"/>
      <c r="C228" s="42"/>
      <c r="D228" s="42"/>
      <c r="E228" s="53"/>
      <c r="F228" s="1309"/>
      <c r="G228" s="42"/>
      <c r="H228" s="42"/>
      <c r="I228" s="42"/>
      <c r="J228" s="42"/>
      <c r="K228" s="42"/>
      <c r="L228" s="42"/>
      <c r="M228" s="42"/>
      <c r="N228" s="42"/>
      <c r="O228" s="1296"/>
      <c r="P228" s="1296"/>
      <c r="Q228" s="1296"/>
      <c r="R228" s="42"/>
      <c r="S228" s="42"/>
      <c r="T228" s="42"/>
      <c r="U228" s="42"/>
      <c r="V228" s="41"/>
    </row>
    <row r="229" spans="2:22" s="679" customFormat="1" ht="15" x14ac:dyDescent="0.2">
      <c r="B229" s="40"/>
      <c r="C229" s="42"/>
      <c r="D229" s="42"/>
      <c r="E229" s="53"/>
      <c r="F229" s="1309"/>
      <c r="G229" s="42"/>
      <c r="H229" s="42"/>
      <c r="I229" s="42"/>
      <c r="J229" s="42"/>
      <c r="K229" s="42"/>
      <c r="L229" s="42"/>
      <c r="M229" s="42"/>
      <c r="N229" s="42"/>
      <c r="O229" s="1296"/>
      <c r="P229" s="1296"/>
      <c r="Q229" s="1296"/>
      <c r="R229" s="42"/>
      <c r="S229" s="42"/>
      <c r="T229" s="42"/>
      <c r="U229" s="42"/>
      <c r="V229" s="41"/>
    </row>
    <row r="230" spans="2:22" s="679" customFormat="1" ht="15" x14ac:dyDescent="0.2">
      <c r="B230" s="43"/>
      <c r="C230" s="44"/>
      <c r="D230" s="44"/>
      <c r="E230" s="1050"/>
      <c r="F230" s="1305"/>
      <c r="G230" s="44"/>
      <c r="H230" s="44"/>
      <c r="I230" s="44"/>
      <c r="J230" s="44"/>
      <c r="K230" s="44"/>
      <c r="L230" s="44"/>
      <c r="M230" s="44"/>
      <c r="N230" s="44"/>
      <c r="O230" s="1297"/>
      <c r="P230" s="1297"/>
      <c r="Q230" s="1297"/>
      <c r="R230" s="44"/>
      <c r="S230" s="44"/>
      <c r="T230" s="44"/>
      <c r="U230" s="44"/>
      <c r="V230" s="45"/>
    </row>
    <row r="231" spans="2:22" ht="15" x14ac:dyDescent="0.2">
      <c r="B231" s="37"/>
      <c r="C231" s="39"/>
      <c r="D231" s="39"/>
      <c r="E231" s="1192"/>
      <c r="F231" s="1310"/>
      <c r="G231" s="39"/>
      <c r="H231" s="39"/>
      <c r="I231" s="39"/>
      <c r="J231" s="39"/>
      <c r="K231" s="39"/>
      <c r="L231" s="39"/>
      <c r="M231" s="39"/>
      <c r="N231" s="39"/>
      <c r="O231" s="1298"/>
      <c r="P231" s="1298"/>
      <c r="Q231" s="1298"/>
      <c r="R231" s="39"/>
      <c r="S231" s="39"/>
      <c r="T231" s="39"/>
      <c r="U231" s="39"/>
      <c r="V231" s="38"/>
    </row>
    <row r="232" spans="2:22" ht="24" x14ac:dyDescent="0.2">
      <c r="B232" s="40"/>
      <c r="C232" s="42"/>
      <c r="D232" s="42"/>
      <c r="E232" s="294" t="s">
        <v>914</v>
      </c>
      <c r="F232" s="1049" t="s">
        <v>909</v>
      </c>
      <c r="G232" s="42"/>
      <c r="H232" s="42"/>
      <c r="I232" s="42"/>
      <c r="J232" s="42"/>
      <c r="K232" s="42"/>
      <c r="L232" s="42"/>
      <c r="M232" s="42"/>
      <c r="N232" s="42"/>
      <c r="O232" s="1296"/>
      <c r="P232" s="1296"/>
      <c r="Q232" s="1296"/>
      <c r="R232" s="42"/>
      <c r="S232" s="42"/>
      <c r="T232" s="42"/>
      <c r="U232" s="42"/>
      <c r="V232" s="41"/>
    </row>
    <row r="233" spans="2:22" ht="15" x14ac:dyDescent="0.2">
      <c r="B233" s="40"/>
      <c r="C233" s="42"/>
      <c r="D233" s="42"/>
      <c r="E233" s="53"/>
      <c r="F233" s="1309"/>
      <c r="G233" s="42"/>
      <c r="H233" s="42"/>
      <c r="I233" s="42"/>
      <c r="J233" s="42"/>
      <c r="K233" s="42"/>
      <c r="L233" s="42"/>
      <c r="M233" s="42"/>
      <c r="N233" s="42"/>
      <c r="O233" s="1296"/>
      <c r="P233" s="1296"/>
      <c r="Q233" s="1296"/>
      <c r="R233" s="42"/>
      <c r="S233" s="42"/>
      <c r="T233" s="42"/>
      <c r="U233" s="42"/>
      <c r="V233" s="41"/>
    </row>
    <row r="234" spans="2:22" ht="15" x14ac:dyDescent="0.2">
      <c r="B234" s="40"/>
      <c r="C234" s="42"/>
      <c r="D234" s="42"/>
      <c r="E234" s="53"/>
      <c r="F234" s="1049"/>
      <c r="G234" s="42"/>
      <c r="H234" s="42"/>
      <c r="I234" s="42"/>
      <c r="J234" s="42"/>
      <c r="K234" s="42"/>
      <c r="L234" s="42"/>
      <c r="M234" s="42"/>
      <c r="N234" s="42"/>
      <c r="O234" s="1296"/>
      <c r="P234" s="1296"/>
      <c r="Q234" s="1296"/>
      <c r="R234" s="42"/>
      <c r="S234" s="42"/>
      <c r="T234" s="42"/>
      <c r="U234" s="42"/>
      <c r="V234" s="41"/>
    </row>
    <row r="235" spans="2:22" ht="15" x14ac:dyDescent="0.2">
      <c r="B235" s="40"/>
      <c r="C235" s="42"/>
      <c r="D235" s="42"/>
      <c r="E235" s="53"/>
      <c r="F235" s="1309"/>
      <c r="G235" s="42"/>
      <c r="H235" s="42"/>
      <c r="I235" s="42"/>
      <c r="J235" s="42"/>
      <c r="K235" s="42"/>
      <c r="L235" s="42"/>
      <c r="M235" s="42"/>
      <c r="N235" s="42"/>
      <c r="O235" s="1296"/>
      <c r="P235" s="1296"/>
      <c r="Q235" s="1296"/>
      <c r="R235" s="42"/>
      <c r="S235" s="42"/>
      <c r="T235" s="42"/>
      <c r="U235" s="42"/>
      <c r="V235" s="41"/>
    </row>
    <row r="236" spans="2:22" ht="15" x14ac:dyDescent="0.2">
      <c r="B236" s="40"/>
      <c r="C236" s="42"/>
      <c r="D236" s="42"/>
      <c r="E236" s="53"/>
      <c r="F236" s="1309"/>
      <c r="G236" s="42"/>
      <c r="H236" s="42"/>
      <c r="I236" s="42"/>
      <c r="J236" s="42"/>
      <c r="K236" s="42"/>
      <c r="L236" s="42"/>
      <c r="M236" s="42"/>
      <c r="N236" s="42"/>
      <c r="O236" s="1296"/>
      <c r="P236" s="1296"/>
      <c r="Q236" s="1296"/>
      <c r="R236" s="42"/>
      <c r="S236" s="42"/>
      <c r="T236" s="42"/>
      <c r="U236" s="42"/>
      <c r="V236" s="41"/>
    </row>
    <row r="237" spans="2:22" ht="15" x14ac:dyDescent="0.2">
      <c r="B237" s="40"/>
      <c r="C237" s="42"/>
      <c r="D237" s="42"/>
      <c r="E237" s="53"/>
      <c r="F237" s="1309"/>
      <c r="G237" s="42"/>
      <c r="H237" s="42"/>
      <c r="I237" s="42"/>
      <c r="J237" s="42"/>
      <c r="K237" s="42"/>
      <c r="L237" s="42"/>
      <c r="M237" s="42"/>
      <c r="N237" s="42"/>
      <c r="O237" s="1296"/>
      <c r="P237" s="1296"/>
      <c r="Q237" s="1296"/>
      <c r="R237" s="42"/>
      <c r="S237" s="42"/>
      <c r="T237" s="42"/>
      <c r="U237" s="42"/>
      <c r="V237" s="41"/>
    </row>
    <row r="238" spans="2:22" ht="15" x14ac:dyDescent="0.2">
      <c r="B238" s="40"/>
      <c r="C238" s="42"/>
      <c r="D238" s="42"/>
      <c r="E238" s="53"/>
      <c r="F238" s="1309"/>
      <c r="G238" s="42"/>
      <c r="H238" s="42"/>
      <c r="I238" s="42"/>
      <c r="J238" s="42"/>
      <c r="K238" s="42"/>
      <c r="L238" s="42"/>
      <c r="M238" s="42"/>
      <c r="N238" s="42"/>
      <c r="O238" s="1296"/>
      <c r="P238" s="1296"/>
      <c r="Q238" s="1296"/>
      <c r="R238" s="42"/>
      <c r="S238" s="42"/>
      <c r="T238" s="42"/>
      <c r="U238" s="42"/>
      <c r="V238" s="41"/>
    </row>
    <row r="239" spans="2:22" ht="15" x14ac:dyDescent="0.2">
      <c r="B239" s="40"/>
      <c r="C239" s="42"/>
      <c r="D239" s="42"/>
      <c r="E239" s="53"/>
      <c r="F239" s="1309"/>
      <c r="G239" s="42"/>
      <c r="H239" s="42"/>
      <c r="I239" s="42"/>
      <c r="J239" s="42"/>
      <c r="K239" s="42"/>
      <c r="L239" s="42"/>
      <c r="M239" s="42"/>
      <c r="N239" s="42"/>
      <c r="O239" s="1296"/>
      <c r="P239" s="1296"/>
      <c r="Q239" s="1296"/>
      <c r="R239" s="42"/>
      <c r="S239" s="42"/>
      <c r="T239" s="42"/>
      <c r="U239" s="42"/>
      <c r="V239" s="41"/>
    </row>
    <row r="240" spans="2:22" ht="15" x14ac:dyDescent="0.2">
      <c r="B240" s="40"/>
      <c r="C240" s="42"/>
      <c r="D240" s="42"/>
      <c r="E240" s="53"/>
      <c r="F240" s="1309"/>
      <c r="G240" s="42"/>
      <c r="H240" s="42"/>
      <c r="I240" s="42"/>
      <c r="J240" s="42"/>
      <c r="K240" s="42"/>
      <c r="L240" s="42"/>
      <c r="M240" s="42"/>
      <c r="N240" s="42"/>
      <c r="O240" s="1296"/>
      <c r="P240" s="1296"/>
      <c r="Q240" s="1296"/>
      <c r="R240" s="42"/>
      <c r="S240" s="42"/>
      <c r="T240" s="42"/>
      <c r="U240" s="42"/>
      <c r="V240" s="41"/>
    </row>
    <row r="241" spans="2:22" ht="15" x14ac:dyDescent="0.2">
      <c r="B241" s="40"/>
      <c r="C241" s="42"/>
      <c r="D241" s="42"/>
      <c r="E241" s="53"/>
      <c r="F241" s="1309"/>
      <c r="G241" s="42"/>
      <c r="H241" s="42"/>
      <c r="I241" s="42"/>
      <c r="J241" s="42"/>
      <c r="K241" s="42"/>
      <c r="L241" s="42"/>
      <c r="M241" s="42"/>
      <c r="N241" s="42"/>
      <c r="O241" s="1296"/>
      <c r="P241" s="1296"/>
      <c r="Q241" s="1296"/>
      <c r="R241" s="42"/>
      <c r="S241" s="42"/>
      <c r="T241" s="42"/>
      <c r="U241" s="42"/>
      <c r="V241" s="41"/>
    </row>
    <row r="242" spans="2:22" ht="15" x14ac:dyDescent="0.2">
      <c r="B242" s="40"/>
      <c r="C242" s="42"/>
      <c r="D242" s="42"/>
      <c r="E242" s="53"/>
      <c r="F242" s="1309"/>
      <c r="G242" s="42"/>
      <c r="H242" s="42"/>
      <c r="I242" s="42"/>
      <c r="J242" s="42"/>
      <c r="K242" s="42"/>
      <c r="L242" s="42"/>
      <c r="M242" s="42"/>
      <c r="N242" s="42"/>
      <c r="O242" s="1296"/>
      <c r="P242" s="1296"/>
      <c r="Q242" s="1296"/>
      <c r="R242" s="42"/>
      <c r="S242" s="42"/>
      <c r="T242" s="42"/>
      <c r="U242" s="42"/>
      <c r="V242" s="41"/>
    </row>
    <row r="243" spans="2:22" ht="15" x14ac:dyDescent="0.2">
      <c r="B243" s="40"/>
      <c r="C243" s="42"/>
      <c r="D243" s="42"/>
      <c r="E243" s="53"/>
      <c r="F243" s="1309"/>
      <c r="G243" s="42"/>
      <c r="H243" s="42"/>
      <c r="I243" s="42"/>
      <c r="J243" s="42"/>
      <c r="K243" s="42"/>
      <c r="L243" s="42"/>
      <c r="M243" s="42"/>
      <c r="N243" s="42"/>
      <c r="O243" s="1296"/>
      <c r="P243" s="1296"/>
      <c r="Q243" s="1296"/>
      <c r="R243" s="42"/>
      <c r="S243" s="42"/>
      <c r="T243" s="42"/>
      <c r="U243" s="42"/>
      <c r="V243" s="41"/>
    </row>
    <row r="244" spans="2:22" ht="15" x14ac:dyDescent="0.2">
      <c r="B244" s="40"/>
      <c r="C244" s="42"/>
      <c r="D244" s="42"/>
      <c r="E244" s="53"/>
      <c r="F244" s="1309"/>
      <c r="G244" s="42"/>
      <c r="H244" s="42"/>
      <c r="I244" s="42"/>
      <c r="J244" s="42"/>
      <c r="K244" s="42"/>
      <c r="L244" s="42"/>
      <c r="M244" s="42"/>
      <c r="N244" s="42"/>
      <c r="O244" s="1296"/>
      <c r="P244" s="1296"/>
      <c r="Q244" s="1296"/>
      <c r="R244" s="42"/>
      <c r="S244" s="42"/>
      <c r="T244" s="42"/>
      <c r="U244" s="42"/>
      <c r="V244" s="41"/>
    </row>
    <row r="245" spans="2:22" ht="15" x14ac:dyDescent="0.2">
      <c r="B245" s="40"/>
      <c r="C245" s="42"/>
      <c r="D245" s="42"/>
      <c r="E245" s="53"/>
      <c r="F245" s="1309"/>
      <c r="G245" s="42"/>
      <c r="H245" s="42"/>
      <c r="I245" s="42"/>
      <c r="J245" s="42"/>
      <c r="K245" s="42"/>
      <c r="L245" s="42"/>
      <c r="M245" s="42"/>
      <c r="N245" s="42"/>
      <c r="O245" s="1296"/>
      <c r="P245" s="1296"/>
      <c r="Q245" s="1296"/>
      <c r="R245" s="42"/>
      <c r="S245" s="42"/>
      <c r="T245" s="42"/>
      <c r="U245" s="42"/>
      <c r="V245" s="41"/>
    </row>
    <row r="246" spans="2:22" ht="15" x14ac:dyDescent="0.2">
      <c r="B246" s="40"/>
      <c r="C246" s="42"/>
      <c r="D246" s="42"/>
      <c r="E246" s="53"/>
      <c r="F246" s="1309"/>
      <c r="G246" s="42"/>
      <c r="H246" s="42"/>
      <c r="I246" s="42"/>
      <c r="J246" s="42"/>
      <c r="K246" s="42"/>
      <c r="L246" s="42"/>
      <c r="M246" s="42"/>
      <c r="N246" s="42"/>
      <c r="O246" s="1296"/>
      <c r="P246" s="1296"/>
      <c r="Q246" s="1296"/>
      <c r="R246" s="42"/>
      <c r="S246" s="42"/>
      <c r="T246" s="42"/>
      <c r="U246" s="42"/>
      <c r="V246" s="41"/>
    </row>
    <row r="247" spans="2:22" ht="15" x14ac:dyDescent="0.2">
      <c r="B247" s="40"/>
      <c r="C247" s="42"/>
      <c r="D247" s="42"/>
      <c r="E247" s="53"/>
      <c r="F247" s="1309"/>
      <c r="G247" s="42"/>
      <c r="H247" s="42"/>
      <c r="I247" s="42"/>
      <c r="J247" s="42"/>
      <c r="K247" s="42"/>
      <c r="L247" s="42"/>
      <c r="M247" s="42"/>
      <c r="N247" s="42"/>
      <c r="O247" s="1296"/>
      <c r="P247" s="1296"/>
      <c r="Q247" s="1296"/>
      <c r="R247" s="42"/>
      <c r="S247" s="42"/>
      <c r="T247" s="42"/>
      <c r="U247" s="42"/>
      <c r="V247" s="41"/>
    </row>
    <row r="248" spans="2:22" ht="15" x14ac:dyDescent="0.2">
      <c r="B248" s="43"/>
      <c r="C248" s="44"/>
      <c r="D248" s="44"/>
      <c r="E248" s="1050"/>
      <c r="F248" s="1305"/>
      <c r="G248" s="44"/>
      <c r="H248" s="44"/>
      <c r="I248" s="44"/>
      <c r="J248" s="44"/>
      <c r="K248" s="44"/>
      <c r="L248" s="44"/>
      <c r="M248" s="44"/>
      <c r="N248" s="44"/>
      <c r="O248" s="1297"/>
      <c r="P248" s="1297"/>
      <c r="Q248" s="1297"/>
      <c r="R248" s="44"/>
      <c r="S248" s="44"/>
      <c r="T248" s="44"/>
      <c r="U248" s="44"/>
      <c r="V248" s="45"/>
    </row>
    <row r="249" spans="2:22" s="679" customFormat="1" ht="15" x14ac:dyDescent="0.2">
      <c r="B249" s="37"/>
      <c r="C249" s="39"/>
      <c r="D249" s="39"/>
      <c r="E249" s="1192"/>
      <c r="F249" s="1310"/>
      <c r="G249" s="39"/>
      <c r="H249" s="39"/>
      <c r="I249" s="39"/>
      <c r="J249" s="39"/>
      <c r="K249" s="39"/>
      <c r="L249" s="39"/>
      <c r="M249" s="39"/>
      <c r="N249" s="39"/>
      <c r="O249" s="1298"/>
      <c r="P249" s="1298"/>
      <c r="Q249" s="1298"/>
      <c r="R249" s="39"/>
      <c r="S249" s="39"/>
      <c r="T249" s="39"/>
      <c r="U249" s="39"/>
      <c r="V249" s="38"/>
    </row>
    <row r="250" spans="2:22" s="679" customFormat="1" ht="24.75" x14ac:dyDescent="0.25">
      <c r="B250" s="1329" t="s">
        <v>957</v>
      </c>
      <c r="C250" s="1330"/>
      <c r="D250" s="42"/>
      <c r="E250" s="294" t="s">
        <v>920</v>
      </c>
      <c r="F250" s="1049" t="s">
        <v>928</v>
      </c>
      <c r="G250" s="42"/>
      <c r="H250" s="42"/>
      <c r="I250" s="42"/>
      <c r="J250" s="42"/>
      <c r="K250" s="42"/>
      <c r="L250" s="42"/>
      <c r="M250" s="42"/>
      <c r="N250" s="42"/>
      <c r="O250" s="1296"/>
      <c r="P250" s="1296"/>
      <c r="Q250" s="1296"/>
      <c r="R250" s="42"/>
      <c r="S250" s="42"/>
      <c r="T250" s="42"/>
      <c r="U250" s="42"/>
      <c r="V250" s="41"/>
    </row>
    <row r="251" spans="2:22" s="679" customFormat="1" ht="15" x14ac:dyDescent="0.2">
      <c r="B251" s="40"/>
      <c r="C251" s="42"/>
      <c r="D251" s="42"/>
      <c r="E251" s="53"/>
      <c r="F251" s="1309"/>
      <c r="G251" s="42"/>
      <c r="H251" s="42"/>
      <c r="I251" s="42"/>
      <c r="J251" s="42"/>
      <c r="K251" s="42"/>
      <c r="L251" s="42"/>
      <c r="M251" s="42"/>
      <c r="N251" s="42"/>
      <c r="O251" s="1296"/>
      <c r="P251" s="1296"/>
      <c r="Q251" s="1296"/>
      <c r="R251" s="42"/>
      <c r="S251" s="42"/>
      <c r="T251" s="42"/>
      <c r="U251" s="42"/>
      <c r="V251" s="41"/>
    </row>
    <row r="252" spans="2:22" s="679" customFormat="1" ht="15" x14ac:dyDescent="0.2">
      <c r="B252" s="40"/>
      <c r="C252" s="42"/>
      <c r="D252" s="42"/>
      <c r="E252" s="53"/>
      <c r="F252" s="1309"/>
      <c r="G252" s="42"/>
      <c r="H252" s="42"/>
      <c r="I252" s="42"/>
      <c r="J252" s="42"/>
      <c r="K252" s="42"/>
      <c r="L252" s="42"/>
      <c r="M252" s="42"/>
      <c r="N252" s="42"/>
      <c r="O252" s="1296"/>
      <c r="P252" s="1296"/>
      <c r="Q252" s="1296"/>
      <c r="R252" s="42"/>
      <c r="S252" s="42"/>
      <c r="T252" s="42"/>
      <c r="U252" s="42"/>
      <c r="V252" s="41"/>
    </row>
    <row r="253" spans="2:22" s="679" customFormat="1" ht="15" x14ac:dyDescent="0.2">
      <c r="B253" s="40"/>
      <c r="C253" s="42"/>
      <c r="D253" s="42"/>
      <c r="E253" s="53"/>
      <c r="F253" s="1309"/>
      <c r="G253" s="42"/>
      <c r="H253" s="42"/>
      <c r="I253" s="42"/>
      <c r="J253" s="42"/>
      <c r="K253" s="42"/>
      <c r="L253" s="42"/>
      <c r="M253" s="42"/>
      <c r="N253" s="42"/>
      <c r="O253" s="1296"/>
      <c r="P253" s="1296"/>
      <c r="Q253" s="1296"/>
      <c r="R253" s="42"/>
      <c r="S253" s="42"/>
      <c r="T253" s="42"/>
      <c r="U253" s="42"/>
      <c r="V253" s="41"/>
    </row>
    <row r="254" spans="2:22" s="679" customFormat="1" ht="15" x14ac:dyDescent="0.2">
      <c r="B254" s="40"/>
      <c r="C254" s="42"/>
      <c r="D254" s="42"/>
      <c r="E254" s="53"/>
      <c r="F254" s="1309"/>
      <c r="G254" s="42"/>
      <c r="H254" s="42"/>
      <c r="I254" s="42"/>
      <c r="J254" s="42"/>
      <c r="K254" s="42"/>
      <c r="L254" s="42"/>
      <c r="M254" s="42"/>
      <c r="N254" s="42"/>
      <c r="O254" s="1296"/>
      <c r="P254" s="1296"/>
      <c r="Q254" s="1296"/>
      <c r="R254" s="42"/>
      <c r="S254" s="42"/>
      <c r="T254" s="42"/>
      <c r="U254" s="42"/>
      <c r="V254" s="41"/>
    </row>
    <row r="255" spans="2:22" s="679" customFormat="1" ht="15" x14ac:dyDescent="0.2">
      <c r="B255" s="40"/>
      <c r="C255" s="42"/>
      <c r="D255" s="42"/>
      <c r="E255" s="53"/>
      <c r="F255" s="1309"/>
      <c r="G255" s="42"/>
      <c r="H255" s="42"/>
      <c r="I255" s="42"/>
      <c r="J255" s="42"/>
      <c r="K255" s="42"/>
      <c r="L255" s="42"/>
      <c r="M255" s="42"/>
      <c r="N255" s="42"/>
      <c r="O255" s="1296"/>
      <c r="P255" s="1296"/>
      <c r="Q255" s="1296"/>
      <c r="R255" s="42"/>
      <c r="S255" s="42"/>
      <c r="T255" s="42"/>
      <c r="U255" s="42"/>
      <c r="V255" s="41"/>
    </row>
    <row r="256" spans="2:22" s="679" customFormat="1" ht="15" x14ac:dyDescent="0.2">
      <c r="B256" s="40"/>
      <c r="C256" s="42"/>
      <c r="D256" s="42"/>
      <c r="E256" s="53"/>
      <c r="F256" s="1309"/>
      <c r="G256" s="42"/>
      <c r="H256" s="42"/>
      <c r="I256" s="42"/>
      <c r="J256" s="42"/>
      <c r="K256" s="42"/>
      <c r="L256" s="42"/>
      <c r="M256" s="42"/>
      <c r="N256" s="42"/>
      <c r="O256" s="1296"/>
      <c r="P256" s="1296"/>
      <c r="Q256" s="1296"/>
      <c r="R256" s="42"/>
      <c r="S256" s="42"/>
      <c r="T256" s="42"/>
      <c r="U256" s="42"/>
      <c r="V256" s="41"/>
    </row>
    <row r="257" spans="2:22" s="679" customFormat="1" ht="15" x14ac:dyDescent="0.2">
      <c r="B257" s="40"/>
      <c r="C257" s="42"/>
      <c r="D257" s="42"/>
      <c r="E257" s="53"/>
      <c r="F257" s="1309"/>
      <c r="G257" s="42"/>
      <c r="H257" s="42"/>
      <c r="I257" s="42"/>
      <c r="J257" s="42"/>
      <c r="K257" s="42"/>
      <c r="L257" s="42"/>
      <c r="M257" s="42"/>
      <c r="N257" s="42"/>
      <c r="O257" s="1296"/>
      <c r="P257" s="1296"/>
      <c r="Q257" s="1296"/>
      <c r="R257" s="42"/>
      <c r="S257" s="42"/>
      <c r="T257" s="42"/>
      <c r="U257" s="42"/>
      <c r="V257" s="41"/>
    </row>
    <row r="258" spans="2:22" s="679" customFormat="1" ht="15" x14ac:dyDescent="0.2">
      <c r="B258" s="40"/>
      <c r="C258" s="42"/>
      <c r="D258" s="42"/>
      <c r="E258" s="53"/>
      <c r="F258" s="1309"/>
      <c r="G258" s="42"/>
      <c r="H258" s="42"/>
      <c r="I258" s="42"/>
      <c r="J258" s="42"/>
      <c r="K258" s="42"/>
      <c r="L258" s="42"/>
      <c r="M258" s="42"/>
      <c r="N258" s="42"/>
      <c r="O258" s="1296"/>
      <c r="P258" s="1296"/>
      <c r="Q258" s="1296"/>
      <c r="R258" s="42"/>
      <c r="S258" s="42"/>
      <c r="T258" s="42"/>
      <c r="U258" s="42"/>
      <c r="V258" s="41"/>
    </row>
    <row r="259" spans="2:22" s="679" customFormat="1" ht="15" x14ac:dyDescent="0.2">
      <c r="B259" s="40"/>
      <c r="C259" s="42"/>
      <c r="D259" s="42"/>
      <c r="E259" s="53"/>
      <c r="F259" s="1309"/>
      <c r="G259" s="42"/>
      <c r="H259" s="42"/>
      <c r="I259" s="42"/>
      <c r="J259" s="42"/>
      <c r="K259" s="42"/>
      <c r="L259" s="42"/>
      <c r="M259" s="42"/>
      <c r="N259" s="42"/>
      <c r="O259" s="1296"/>
      <c r="P259" s="1296"/>
      <c r="Q259" s="1296"/>
      <c r="R259" s="42"/>
      <c r="S259" s="42"/>
      <c r="T259" s="42"/>
      <c r="U259" s="42"/>
      <c r="V259" s="41"/>
    </row>
    <row r="260" spans="2:22" s="679" customFormat="1" ht="15" x14ac:dyDescent="0.2">
      <c r="B260" s="40"/>
      <c r="C260" s="42"/>
      <c r="D260" s="42"/>
      <c r="E260" s="53"/>
      <c r="F260" s="1309"/>
      <c r="G260" s="42"/>
      <c r="H260" s="42"/>
      <c r="I260" s="42"/>
      <c r="J260" s="42"/>
      <c r="K260" s="42"/>
      <c r="L260" s="42"/>
      <c r="M260" s="42"/>
      <c r="N260" s="42"/>
      <c r="O260" s="1296"/>
      <c r="P260" s="1296"/>
      <c r="Q260" s="1296"/>
      <c r="R260" s="42"/>
      <c r="S260" s="42"/>
      <c r="T260" s="42"/>
      <c r="U260" s="42"/>
      <c r="V260" s="41"/>
    </row>
    <row r="261" spans="2:22" s="679" customFormat="1" ht="15" x14ac:dyDescent="0.2">
      <c r="B261" s="40"/>
      <c r="C261" s="42"/>
      <c r="D261" s="42"/>
      <c r="E261" s="53"/>
      <c r="F261" s="1309"/>
      <c r="G261" s="42"/>
      <c r="H261" s="42"/>
      <c r="I261" s="42"/>
      <c r="J261" s="42"/>
      <c r="K261" s="42"/>
      <c r="L261" s="42"/>
      <c r="M261" s="42"/>
      <c r="N261" s="42"/>
      <c r="O261" s="1296"/>
      <c r="P261" s="1296"/>
      <c r="Q261" s="1296"/>
      <c r="R261" s="42"/>
      <c r="S261" s="42"/>
      <c r="T261" s="42"/>
      <c r="U261" s="42"/>
      <c r="V261" s="41"/>
    </row>
    <row r="262" spans="2:22" s="679" customFormat="1" ht="15" x14ac:dyDescent="0.2">
      <c r="B262" s="40"/>
      <c r="C262" s="42"/>
      <c r="D262" s="42"/>
      <c r="E262" s="53"/>
      <c r="F262" s="1309"/>
      <c r="G262" s="42"/>
      <c r="H262" s="42"/>
      <c r="I262" s="42"/>
      <c r="J262" s="42"/>
      <c r="K262" s="42"/>
      <c r="L262" s="42"/>
      <c r="M262" s="42"/>
      <c r="N262" s="42"/>
      <c r="O262" s="1296"/>
      <c r="P262" s="1296"/>
      <c r="Q262" s="1296"/>
      <c r="R262" s="42"/>
      <c r="S262" s="42"/>
      <c r="T262" s="42"/>
      <c r="U262" s="42"/>
      <c r="V262" s="41"/>
    </row>
    <row r="263" spans="2:22" s="679" customFormat="1" ht="15" x14ac:dyDescent="0.2">
      <c r="B263" s="40"/>
      <c r="C263" s="42"/>
      <c r="D263" s="42"/>
      <c r="E263" s="53"/>
      <c r="F263" s="1309"/>
      <c r="G263" s="42"/>
      <c r="H263" s="42"/>
      <c r="I263" s="42"/>
      <c r="J263" s="42"/>
      <c r="K263" s="42"/>
      <c r="L263" s="42"/>
      <c r="M263" s="42"/>
      <c r="N263" s="42"/>
      <c r="O263" s="1296"/>
      <c r="P263" s="1296"/>
      <c r="Q263" s="1296"/>
      <c r="R263" s="42"/>
      <c r="S263" s="42"/>
      <c r="T263" s="42"/>
      <c r="U263" s="42"/>
      <c r="V263" s="41"/>
    </row>
    <row r="264" spans="2:22" s="679" customFormat="1" ht="15" x14ac:dyDescent="0.2">
      <c r="B264" s="40"/>
      <c r="C264" s="42"/>
      <c r="D264" s="42"/>
      <c r="E264" s="53"/>
      <c r="F264" s="1309"/>
      <c r="G264" s="42"/>
      <c r="H264" s="42"/>
      <c r="I264" s="42"/>
      <c r="J264" s="42"/>
      <c r="K264" s="42"/>
      <c r="L264" s="42"/>
      <c r="M264" s="42"/>
      <c r="N264" s="42"/>
      <c r="O264" s="1296"/>
      <c r="P264" s="1296"/>
      <c r="Q264" s="1296"/>
      <c r="R264" s="42"/>
      <c r="S264" s="42"/>
      <c r="T264" s="42"/>
      <c r="U264" s="42"/>
      <c r="V264" s="41"/>
    </row>
    <row r="265" spans="2:22" s="679" customFormat="1" ht="15" x14ac:dyDescent="0.2">
      <c r="B265" s="40"/>
      <c r="C265" s="42"/>
      <c r="D265" s="42"/>
      <c r="E265" s="53"/>
      <c r="F265" s="1309"/>
      <c r="G265" s="42"/>
      <c r="H265" s="42"/>
      <c r="I265" s="42"/>
      <c r="J265" s="42"/>
      <c r="K265" s="42"/>
      <c r="L265" s="42"/>
      <c r="M265" s="42"/>
      <c r="N265" s="42"/>
      <c r="O265" s="1296"/>
      <c r="P265" s="1296"/>
      <c r="Q265" s="1296"/>
      <c r="R265" s="42"/>
      <c r="S265" s="42"/>
      <c r="T265" s="42"/>
      <c r="U265" s="42"/>
      <c r="V265" s="41"/>
    </row>
    <row r="266" spans="2:22" s="679" customFormat="1" ht="15" x14ac:dyDescent="0.2">
      <c r="B266" s="43"/>
      <c r="C266" s="44"/>
      <c r="D266" s="44"/>
      <c r="E266" s="1050"/>
      <c r="F266" s="1305"/>
      <c r="G266" s="44"/>
      <c r="H266" s="44"/>
      <c r="I266" s="44"/>
      <c r="J266" s="44"/>
      <c r="K266" s="44"/>
      <c r="L266" s="44"/>
      <c r="M266" s="44"/>
      <c r="N266" s="44"/>
      <c r="O266" s="1297"/>
      <c r="P266" s="1297"/>
      <c r="Q266" s="1297"/>
      <c r="R266" s="44"/>
      <c r="S266" s="44"/>
      <c r="T266" s="44"/>
      <c r="U266" s="44"/>
      <c r="V266" s="45"/>
    </row>
    <row r="267" spans="2:22" s="679" customFormat="1" ht="15" x14ac:dyDescent="0.2">
      <c r="B267" s="37"/>
      <c r="C267" s="39"/>
      <c r="D267" s="39"/>
      <c r="E267" s="54"/>
      <c r="F267" s="1309"/>
      <c r="G267" s="42"/>
      <c r="H267" s="42"/>
      <c r="I267" s="42"/>
      <c r="J267" s="42"/>
      <c r="K267" s="42"/>
      <c r="L267" s="42"/>
      <c r="M267" s="42"/>
      <c r="N267" s="42"/>
      <c r="O267" s="1296"/>
      <c r="P267" s="1296"/>
      <c r="Q267" s="1296"/>
      <c r="R267" s="42"/>
      <c r="S267" s="42"/>
      <c r="T267" s="42"/>
      <c r="U267" s="42"/>
      <c r="V267" s="41"/>
    </row>
    <row r="268" spans="2:22" s="679" customFormat="1" ht="24.75" x14ac:dyDescent="0.25">
      <c r="B268" s="1329" t="s">
        <v>958</v>
      </c>
      <c r="C268" s="1330"/>
      <c r="D268" s="42"/>
      <c r="E268" s="56" t="s">
        <v>920</v>
      </c>
      <c r="F268" s="1049" t="s">
        <v>929</v>
      </c>
      <c r="G268" s="42"/>
      <c r="H268" s="42"/>
      <c r="I268" s="42"/>
      <c r="J268" s="42"/>
      <c r="K268" s="42"/>
      <c r="L268" s="42"/>
      <c r="M268" s="42"/>
      <c r="N268" s="42"/>
      <c r="O268" s="1296"/>
      <c r="P268" s="1296"/>
      <c r="Q268" s="1296"/>
      <c r="R268" s="42"/>
      <c r="S268" s="42"/>
      <c r="T268" s="42"/>
      <c r="U268" s="42"/>
      <c r="V268" s="41"/>
    </row>
    <row r="269" spans="2:22" s="679" customFormat="1" ht="15" x14ac:dyDescent="0.2">
      <c r="B269" s="40"/>
      <c r="C269" s="42"/>
      <c r="D269" s="42"/>
      <c r="E269" s="55"/>
      <c r="F269" s="1309"/>
      <c r="G269" s="42"/>
      <c r="H269" s="42"/>
      <c r="I269" s="42"/>
      <c r="J269" s="42"/>
      <c r="K269" s="42"/>
      <c r="L269" s="42"/>
      <c r="M269" s="42"/>
      <c r="N269" s="42"/>
      <c r="O269" s="1296"/>
      <c r="P269" s="1296"/>
      <c r="Q269" s="1296"/>
      <c r="R269" s="42"/>
      <c r="S269" s="42"/>
      <c r="T269" s="42"/>
      <c r="U269" s="42"/>
      <c r="V269" s="41"/>
    </row>
    <row r="270" spans="2:22" s="679" customFormat="1" ht="15" x14ac:dyDescent="0.2">
      <c r="B270" s="40"/>
      <c r="C270" s="42"/>
      <c r="D270" s="42"/>
      <c r="E270" s="55"/>
      <c r="F270" s="1309"/>
      <c r="G270" s="42"/>
      <c r="H270" s="42"/>
      <c r="I270" s="42"/>
      <c r="J270" s="42"/>
      <c r="K270" s="42"/>
      <c r="L270" s="42"/>
      <c r="M270" s="42"/>
      <c r="N270" s="42"/>
      <c r="O270" s="1296"/>
      <c r="P270" s="1296"/>
      <c r="Q270" s="1296"/>
      <c r="R270" s="42"/>
      <c r="S270" s="42"/>
      <c r="T270" s="42"/>
      <c r="U270" s="42"/>
      <c r="V270" s="41"/>
    </row>
    <row r="271" spans="2:22" s="679" customFormat="1" ht="15" x14ac:dyDescent="0.2">
      <c r="B271" s="40"/>
      <c r="C271" s="42"/>
      <c r="D271" s="42"/>
      <c r="E271" s="55"/>
      <c r="F271" s="1309"/>
      <c r="G271" s="42"/>
      <c r="H271" s="42"/>
      <c r="I271" s="42"/>
      <c r="J271" s="42"/>
      <c r="K271" s="42"/>
      <c r="L271" s="42"/>
      <c r="M271" s="42"/>
      <c r="N271" s="42"/>
      <c r="O271" s="1296"/>
      <c r="P271" s="1296"/>
      <c r="Q271" s="1296"/>
      <c r="R271" s="42"/>
      <c r="S271" s="42"/>
      <c r="T271" s="42"/>
      <c r="U271" s="42"/>
      <c r="V271" s="41"/>
    </row>
    <row r="272" spans="2:22" s="679" customFormat="1" ht="15" x14ac:dyDescent="0.2">
      <c r="B272" s="40"/>
      <c r="C272" s="42"/>
      <c r="D272" s="42"/>
      <c r="E272" s="55"/>
      <c r="F272" s="1309"/>
      <c r="G272" s="42"/>
      <c r="H272" s="42"/>
      <c r="I272" s="42"/>
      <c r="J272" s="42"/>
      <c r="K272" s="42"/>
      <c r="L272" s="42"/>
      <c r="M272" s="42"/>
      <c r="N272" s="42"/>
      <c r="O272" s="1296"/>
      <c r="P272" s="1296"/>
      <c r="Q272" s="1296"/>
      <c r="R272" s="42"/>
      <c r="S272" s="42"/>
      <c r="T272" s="42"/>
      <c r="U272" s="42"/>
      <c r="V272" s="41"/>
    </row>
    <row r="273" spans="2:22" s="679" customFormat="1" ht="15" x14ac:dyDescent="0.2">
      <c r="B273" s="40"/>
      <c r="C273" s="42"/>
      <c r="D273" s="42"/>
      <c r="E273" s="55"/>
      <c r="F273" s="1309"/>
      <c r="G273" s="42"/>
      <c r="H273" s="42"/>
      <c r="I273" s="42"/>
      <c r="J273" s="42"/>
      <c r="K273" s="42"/>
      <c r="L273" s="42"/>
      <c r="M273" s="42"/>
      <c r="N273" s="42"/>
      <c r="O273" s="1296"/>
      <c r="P273" s="1296"/>
      <c r="Q273" s="1296"/>
      <c r="R273" s="42"/>
      <c r="S273" s="42"/>
      <c r="T273" s="42"/>
      <c r="U273" s="42"/>
      <c r="V273" s="41"/>
    </row>
    <row r="274" spans="2:22" s="679" customFormat="1" ht="15" x14ac:dyDescent="0.2">
      <c r="B274" s="40"/>
      <c r="C274" s="42"/>
      <c r="D274" s="42"/>
      <c r="E274" s="55"/>
      <c r="F274" s="1309"/>
      <c r="G274" s="42"/>
      <c r="H274" s="42"/>
      <c r="I274" s="42"/>
      <c r="J274" s="42"/>
      <c r="K274" s="42"/>
      <c r="L274" s="42"/>
      <c r="M274" s="42"/>
      <c r="N274" s="42"/>
      <c r="O274" s="1296"/>
      <c r="P274" s="1296"/>
      <c r="Q274" s="1296"/>
      <c r="R274" s="42"/>
      <c r="S274" s="42"/>
      <c r="T274" s="42"/>
      <c r="U274" s="42"/>
      <c r="V274" s="41"/>
    </row>
    <row r="275" spans="2:22" s="679" customFormat="1" ht="15" x14ac:dyDescent="0.2">
      <c r="B275" s="287"/>
      <c r="C275" s="42"/>
      <c r="D275" s="42"/>
      <c r="E275" s="55"/>
      <c r="F275" s="1309"/>
      <c r="G275" s="42"/>
      <c r="H275" s="42"/>
      <c r="I275" s="42"/>
      <c r="J275" s="42"/>
      <c r="K275" s="42"/>
      <c r="L275" s="42"/>
      <c r="M275" s="42"/>
      <c r="N275" s="42"/>
      <c r="O275" s="1296"/>
      <c r="P275" s="1296"/>
      <c r="Q275" s="1296"/>
      <c r="R275" s="42"/>
      <c r="S275" s="42"/>
      <c r="T275" s="42"/>
      <c r="U275" s="42"/>
      <c r="V275" s="41"/>
    </row>
    <row r="276" spans="2:22" s="679" customFormat="1" ht="15" x14ac:dyDescent="0.2">
      <c r="B276" s="40"/>
      <c r="C276" s="42"/>
      <c r="D276" s="42"/>
      <c r="E276" s="55"/>
      <c r="F276" s="1309"/>
      <c r="G276" s="42"/>
      <c r="H276" s="42"/>
      <c r="I276" s="42"/>
      <c r="J276" s="42"/>
      <c r="K276" s="42"/>
      <c r="L276" s="42"/>
      <c r="M276" s="42"/>
      <c r="N276" s="42"/>
      <c r="O276" s="1296"/>
      <c r="P276" s="1296"/>
      <c r="Q276" s="1296"/>
      <c r="R276" s="42"/>
      <c r="S276" s="42"/>
      <c r="T276" s="42"/>
      <c r="U276" s="42"/>
      <c r="V276" s="41"/>
    </row>
    <row r="277" spans="2:22" s="679" customFormat="1" ht="15" x14ac:dyDescent="0.2">
      <c r="B277" s="40"/>
      <c r="C277" s="42"/>
      <c r="D277" s="42"/>
      <c r="E277" s="55"/>
      <c r="F277" s="1309"/>
      <c r="G277" s="42"/>
      <c r="H277" s="42"/>
      <c r="I277" s="42"/>
      <c r="J277" s="42"/>
      <c r="K277" s="42"/>
      <c r="L277" s="42"/>
      <c r="M277" s="42"/>
      <c r="N277" s="42"/>
      <c r="O277" s="1296"/>
      <c r="P277" s="1296"/>
      <c r="Q277" s="1296"/>
      <c r="R277" s="42"/>
      <c r="S277" s="42"/>
      <c r="T277" s="42"/>
      <c r="U277" s="42"/>
      <c r="V277" s="41"/>
    </row>
    <row r="278" spans="2:22" s="679" customFormat="1" ht="15" x14ac:dyDescent="0.2">
      <c r="B278" s="40"/>
      <c r="C278" s="42"/>
      <c r="D278" s="42"/>
      <c r="E278" s="55"/>
      <c r="F278" s="1309"/>
      <c r="G278" s="42"/>
      <c r="H278" s="42"/>
      <c r="I278" s="42"/>
      <c r="J278" s="42"/>
      <c r="K278" s="42"/>
      <c r="L278" s="42"/>
      <c r="M278" s="42"/>
      <c r="N278" s="42"/>
      <c r="O278" s="1296"/>
      <c r="P278" s="1296"/>
      <c r="Q278" s="1296"/>
      <c r="R278" s="42"/>
      <c r="S278" s="42"/>
      <c r="T278" s="42"/>
      <c r="U278" s="42"/>
      <c r="V278" s="41"/>
    </row>
    <row r="279" spans="2:22" s="679" customFormat="1" ht="15" x14ac:dyDescent="0.2">
      <c r="B279" s="40"/>
      <c r="C279" s="42"/>
      <c r="D279" s="42"/>
      <c r="E279" s="55"/>
      <c r="F279" s="1309"/>
      <c r="G279" s="42"/>
      <c r="H279" s="42"/>
      <c r="I279" s="42"/>
      <c r="J279" s="42"/>
      <c r="K279" s="42"/>
      <c r="L279" s="42"/>
      <c r="M279" s="42"/>
      <c r="N279" s="42"/>
      <c r="O279" s="1296"/>
      <c r="P279" s="1296"/>
      <c r="Q279" s="1296"/>
      <c r="R279" s="42"/>
      <c r="S279" s="42"/>
      <c r="T279" s="42"/>
      <c r="U279" s="42"/>
      <c r="V279" s="41"/>
    </row>
    <row r="280" spans="2:22" s="679" customFormat="1" ht="15" x14ac:dyDescent="0.2">
      <c r="B280" s="40"/>
      <c r="C280" s="42"/>
      <c r="D280" s="42"/>
      <c r="E280" s="55"/>
      <c r="F280" s="1309"/>
      <c r="G280" s="42"/>
      <c r="H280" s="42"/>
      <c r="I280" s="42"/>
      <c r="J280" s="42"/>
      <c r="K280" s="42"/>
      <c r="L280" s="42"/>
      <c r="M280" s="42"/>
      <c r="N280" s="42"/>
      <c r="O280" s="1296"/>
      <c r="P280" s="1296"/>
      <c r="Q280" s="1296"/>
      <c r="R280" s="42"/>
      <c r="S280" s="42"/>
      <c r="T280" s="42"/>
      <c r="U280" s="42"/>
      <c r="V280" s="41"/>
    </row>
    <row r="281" spans="2:22" s="679" customFormat="1" ht="15" x14ac:dyDescent="0.2">
      <c r="B281" s="40"/>
      <c r="C281" s="42"/>
      <c r="D281" s="42"/>
      <c r="E281" s="55"/>
      <c r="F281" s="1309"/>
      <c r="G281" s="42"/>
      <c r="H281" s="42"/>
      <c r="I281" s="42"/>
      <c r="J281" s="42"/>
      <c r="K281" s="42"/>
      <c r="L281" s="42"/>
      <c r="M281" s="42"/>
      <c r="N281" s="42"/>
      <c r="O281" s="1296"/>
      <c r="P281" s="1296"/>
      <c r="Q281" s="1296"/>
      <c r="R281" s="42"/>
      <c r="S281" s="42"/>
      <c r="T281" s="42"/>
      <c r="U281" s="42"/>
      <c r="V281" s="41"/>
    </row>
    <row r="282" spans="2:22" s="679" customFormat="1" ht="15" x14ac:dyDescent="0.2">
      <c r="B282" s="40"/>
      <c r="C282" s="42"/>
      <c r="D282" s="42"/>
      <c r="E282" s="55"/>
      <c r="F282" s="1309"/>
      <c r="G282" s="42"/>
      <c r="H282" s="42"/>
      <c r="I282" s="42"/>
      <c r="J282" s="42"/>
      <c r="K282" s="42"/>
      <c r="L282" s="42"/>
      <c r="M282" s="42"/>
      <c r="N282" s="42"/>
      <c r="O282" s="1296"/>
      <c r="P282" s="1296"/>
      <c r="Q282" s="1296"/>
      <c r="R282" s="42"/>
      <c r="S282" s="42"/>
      <c r="T282" s="42"/>
      <c r="U282" s="42"/>
      <c r="V282" s="41"/>
    </row>
    <row r="283" spans="2:22" s="679" customFormat="1" ht="15" x14ac:dyDescent="0.2">
      <c r="B283" s="40"/>
      <c r="C283" s="42"/>
      <c r="D283" s="42"/>
      <c r="E283" s="55"/>
      <c r="F283" s="1309"/>
      <c r="G283" s="42"/>
      <c r="H283" s="42"/>
      <c r="I283" s="42"/>
      <c r="J283" s="42"/>
      <c r="K283" s="42"/>
      <c r="L283" s="42"/>
      <c r="M283" s="42"/>
      <c r="N283" s="42"/>
      <c r="O283" s="1296"/>
      <c r="P283" s="1296"/>
      <c r="Q283" s="1296"/>
      <c r="R283" s="42"/>
      <c r="S283" s="42"/>
      <c r="T283" s="42"/>
      <c r="U283" s="42"/>
      <c r="V283" s="41"/>
    </row>
    <row r="284" spans="2:22" s="679" customFormat="1" ht="15" x14ac:dyDescent="0.2">
      <c r="B284" s="43"/>
      <c r="C284" s="44"/>
      <c r="D284" s="44"/>
      <c r="E284" s="1193"/>
      <c r="F284" s="1309"/>
      <c r="G284" s="42"/>
      <c r="H284" s="42"/>
      <c r="I284" s="42"/>
      <c r="J284" s="42"/>
      <c r="K284" s="42"/>
      <c r="L284" s="42"/>
      <c r="M284" s="42"/>
      <c r="N284" s="42"/>
      <c r="O284" s="1296"/>
      <c r="P284" s="1296"/>
      <c r="Q284" s="1296"/>
      <c r="R284" s="42"/>
      <c r="S284" s="42"/>
      <c r="T284" s="42"/>
      <c r="U284" s="42"/>
      <c r="V284" s="41"/>
    </row>
    <row r="285" spans="2:22" ht="15" x14ac:dyDescent="0.2">
      <c r="B285" s="37"/>
      <c r="C285" s="39"/>
      <c r="D285" s="39"/>
      <c r="E285" s="54"/>
      <c r="F285" s="1310"/>
      <c r="G285" s="39"/>
      <c r="H285" s="39"/>
      <c r="I285" s="39"/>
      <c r="J285" s="39"/>
      <c r="K285" s="39"/>
      <c r="L285" s="39"/>
      <c r="M285" s="39"/>
      <c r="N285" s="39"/>
      <c r="O285" s="1298"/>
      <c r="P285" s="1298"/>
      <c r="Q285" s="1298"/>
      <c r="R285" s="39"/>
      <c r="S285" s="39"/>
      <c r="T285" s="39"/>
      <c r="U285" s="39"/>
      <c r="V285" s="38"/>
    </row>
    <row r="286" spans="2:22" ht="15.75" x14ac:dyDescent="0.25">
      <c r="B286" s="1329" t="s">
        <v>959</v>
      </c>
      <c r="C286" s="1330"/>
      <c r="D286" s="42"/>
      <c r="E286" s="1326" t="s">
        <v>921</v>
      </c>
      <c r="F286" s="1049" t="s">
        <v>167</v>
      </c>
      <c r="G286" s="42"/>
      <c r="H286" s="42"/>
      <c r="I286" s="42"/>
      <c r="J286" s="42"/>
      <c r="K286" s="42"/>
      <c r="L286" s="42"/>
      <c r="M286" s="42"/>
      <c r="N286" s="42"/>
      <c r="O286" s="1296"/>
      <c r="P286" s="1296"/>
      <c r="Q286" s="1296"/>
      <c r="R286" s="42"/>
      <c r="S286" s="42"/>
      <c r="T286" s="42"/>
      <c r="U286" s="42"/>
      <c r="V286" s="41"/>
    </row>
    <row r="287" spans="2:22" ht="15" x14ac:dyDescent="0.2">
      <c r="B287" s="40"/>
      <c r="C287" s="42"/>
      <c r="D287" s="42"/>
      <c r="E287" s="1326"/>
      <c r="F287" s="1309"/>
      <c r="G287" s="42"/>
      <c r="H287" s="42"/>
      <c r="I287" s="42"/>
      <c r="J287" s="42"/>
      <c r="K287" s="42"/>
      <c r="L287" s="42"/>
      <c r="M287" s="42"/>
      <c r="N287" s="42"/>
      <c r="O287" s="1296"/>
      <c r="P287" s="1296"/>
      <c r="Q287" s="1296"/>
      <c r="R287" s="42"/>
      <c r="S287" s="42"/>
      <c r="T287" s="42"/>
      <c r="U287" s="42"/>
      <c r="V287" s="41"/>
    </row>
    <row r="288" spans="2:22" ht="15" x14ac:dyDescent="0.2">
      <c r="B288" s="40"/>
      <c r="C288" s="42"/>
      <c r="D288" s="42"/>
      <c r="E288" s="55"/>
      <c r="F288" s="1309"/>
      <c r="G288" s="42"/>
      <c r="H288" s="42"/>
      <c r="I288" s="42"/>
      <c r="J288" s="42"/>
      <c r="K288" s="42"/>
      <c r="L288" s="42"/>
      <c r="M288" s="42"/>
      <c r="N288" s="42"/>
      <c r="O288" s="1296"/>
      <c r="P288" s="1296"/>
      <c r="Q288" s="1296"/>
      <c r="R288" s="42"/>
      <c r="S288" s="42"/>
      <c r="T288" s="42"/>
      <c r="U288" s="42"/>
      <c r="V288" s="41"/>
    </row>
    <row r="289" spans="2:22" ht="15" x14ac:dyDescent="0.2">
      <c r="B289" s="40"/>
      <c r="C289" s="42"/>
      <c r="D289" s="42"/>
      <c r="E289" s="55"/>
      <c r="F289" s="1309"/>
      <c r="G289" s="42"/>
      <c r="H289" s="42"/>
      <c r="I289" s="42"/>
      <c r="J289" s="42"/>
      <c r="K289" s="42"/>
      <c r="L289" s="42"/>
      <c r="M289" s="42"/>
      <c r="N289" s="42"/>
      <c r="O289" s="1296"/>
      <c r="P289" s="1296"/>
      <c r="Q289" s="1296"/>
      <c r="R289" s="42"/>
      <c r="S289" s="42"/>
      <c r="T289" s="42"/>
      <c r="U289" s="42"/>
      <c r="V289" s="41"/>
    </row>
    <row r="290" spans="2:22" ht="15" x14ac:dyDescent="0.2">
      <c r="B290" s="40"/>
      <c r="C290" s="42"/>
      <c r="D290" s="42"/>
      <c r="E290" s="56"/>
      <c r="F290" s="1309"/>
      <c r="G290" s="42"/>
      <c r="H290" s="42"/>
      <c r="I290" s="42"/>
      <c r="J290" s="42"/>
      <c r="K290" s="42"/>
      <c r="L290" s="42"/>
      <c r="M290" s="42"/>
      <c r="N290" s="42"/>
      <c r="O290" s="1296"/>
      <c r="P290" s="1296"/>
      <c r="Q290" s="1296"/>
      <c r="R290" s="42"/>
      <c r="S290" s="42"/>
      <c r="T290" s="42"/>
      <c r="U290" s="42"/>
      <c r="V290" s="41"/>
    </row>
    <row r="291" spans="2:22" ht="15" x14ac:dyDescent="0.2">
      <c r="B291" s="40"/>
      <c r="C291" s="42"/>
      <c r="D291" s="42"/>
      <c r="F291" s="1309"/>
      <c r="G291" s="42"/>
      <c r="H291" s="42"/>
      <c r="I291" s="42"/>
      <c r="J291" s="42"/>
      <c r="K291" s="42"/>
      <c r="L291" s="42"/>
      <c r="M291" s="42"/>
      <c r="N291" s="42"/>
      <c r="O291" s="1296"/>
      <c r="P291" s="1296"/>
      <c r="Q291" s="1296"/>
      <c r="R291" s="42"/>
      <c r="S291" s="42"/>
      <c r="T291" s="42"/>
      <c r="U291" s="42"/>
      <c r="V291" s="41"/>
    </row>
    <row r="292" spans="2:22" ht="15" x14ac:dyDescent="0.2">
      <c r="B292" s="40"/>
      <c r="C292" s="42"/>
      <c r="D292" s="42"/>
      <c r="E292" s="56"/>
      <c r="F292" s="1309"/>
      <c r="G292" s="42"/>
      <c r="H292" s="42"/>
      <c r="I292" s="42"/>
      <c r="J292" s="42"/>
      <c r="K292" s="42"/>
      <c r="L292" s="42"/>
      <c r="M292" s="42"/>
      <c r="N292" s="42"/>
      <c r="O292" s="1296"/>
      <c r="P292" s="1296"/>
      <c r="Q292" s="1296"/>
      <c r="R292" s="42"/>
      <c r="S292" s="42"/>
      <c r="T292" s="42"/>
      <c r="U292" s="42"/>
      <c r="V292" s="41"/>
    </row>
    <row r="293" spans="2:22" ht="15" x14ac:dyDescent="0.2">
      <c r="B293" s="40"/>
      <c r="C293" s="42"/>
      <c r="D293" s="42"/>
      <c r="E293" s="56"/>
      <c r="F293" s="1309"/>
      <c r="G293" s="42"/>
      <c r="H293" s="42"/>
      <c r="I293" s="42"/>
      <c r="J293" s="42"/>
      <c r="K293" s="42"/>
      <c r="L293" s="42"/>
      <c r="M293" s="42"/>
      <c r="N293" s="42"/>
      <c r="O293" s="1296"/>
      <c r="P293" s="1296"/>
      <c r="Q293" s="1296"/>
      <c r="R293" s="42"/>
      <c r="S293" s="42"/>
      <c r="T293" s="42"/>
      <c r="U293" s="42"/>
      <c r="V293" s="41"/>
    </row>
    <row r="294" spans="2:22" ht="15" x14ac:dyDescent="0.2">
      <c r="B294" s="40"/>
      <c r="C294" s="42"/>
      <c r="D294" s="42"/>
      <c r="E294" s="56"/>
      <c r="F294" s="1309"/>
      <c r="G294" s="42"/>
      <c r="H294" s="42"/>
      <c r="I294" s="42"/>
      <c r="J294" s="42"/>
      <c r="K294" s="42"/>
      <c r="L294" s="42"/>
      <c r="M294" s="42"/>
      <c r="N294" s="42"/>
      <c r="O294" s="1296"/>
      <c r="P294" s="1296"/>
      <c r="Q294" s="1296"/>
      <c r="R294" s="42"/>
      <c r="S294" s="42"/>
      <c r="T294" s="42"/>
      <c r="U294" s="42"/>
      <c r="V294" s="41"/>
    </row>
    <row r="295" spans="2:22" ht="15" x14ac:dyDescent="0.2">
      <c r="B295" s="40"/>
      <c r="C295" s="42"/>
      <c r="D295" s="42"/>
      <c r="E295" s="56"/>
      <c r="F295" s="1309"/>
      <c r="G295" s="42"/>
      <c r="H295" s="42"/>
      <c r="I295" s="42"/>
      <c r="J295" s="42"/>
      <c r="K295" s="42"/>
      <c r="L295" s="42"/>
      <c r="M295" s="42"/>
      <c r="N295" s="42"/>
      <c r="O295" s="1296"/>
      <c r="P295" s="1296"/>
      <c r="Q295" s="1296"/>
      <c r="R295" s="42"/>
      <c r="S295" s="42"/>
      <c r="T295" s="42"/>
      <c r="U295" s="42"/>
      <c r="V295" s="41"/>
    </row>
    <row r="296" spans="2:22" ht="15" x14ac:dyDescent="0.2">
      <c r="B296" s="40"/>
      <c r="C296" s="42"/>
      <c r="D296" s="42"/>
      <c r="E296" s="56"/>
      <c r="F296" s="1309"/>
      <c r="G296" s="42"/>
      <c r="H296" s="42"/>
      <c r="I296" s="42"/>
      <c r="J296" s="42"/>
      <c r="K296" s="42"/>
      <c r="L296" s="42"/>
      <c r="M296" s="42"/>
      <c r="N296" s="42"/>
      <c r="O296" s="1296"/>
      <c r="P296" s="1296"/>
      <c r="Q296" s="1296"/>
      <c r="R296" s="42"/>
      <c r="S296" s="42"/>
      <c r="T296" s="42"/>
      <c r="U296" s="42"/>
      <c r="V296" s="41"/>
    </row>
    <row r="297" spans="2:22" ht="15" x14ac:dyDescent="0.2">
      <c r="B297" s="40"/>
      <c r="C297" s="42"/>
      <c r="D297" s="42"/>
      <c r="E297" s="56"/>
      <c r="F297" s="1309"/>
      <c r="G297" s="42"/>
      <c r="H297" s="42"/>
      <c r="I297" s="42"/>
      <c r="J297" s="42"/>
      <c r="K297" s="42"/>
      <c r="L297" s="42"/>
      <c r="M297" s="42"/>
      <c r="N297" s="42"/>
      <c r="O297" s="1296"/>
      <c r="P297" s="1296"/>
      <c r="Q297" s="1296"/>
      <c r="R297" s="42"/>
      <c r="S297" s="42"/>
      <c r="T297" s="42"/>
      <c r="U297" s="42"/>
      <c r="V297" s="41"/>
    </row>
    <row r="298" spans="2:22" ht="15" x14ac:dyDescent="0.2">
      <c r="B298" s="40"/>
      <c r="C298" s="42"/>
      <c r="D298" s="42"/>
      <c r="E298" s="56"/>
      <c r="F298" s="1309"/>
      <c r="G298" s="42"/>
      <c r="H298" s="42"/>
      <c r="I298" s="42"/>
      <c r="J298" s="42"/>
      <c r="K298" s="42"/>
      <c r="L298" s="42"/>
      <c r="M298" s="42"/>
      <c r="N298" s="42"/>
      <c r="O298" s="1296"/>
      <c r="P298" s="1296"/>
      <c r="Q298" s="1296"/>
      <c r="R298" s="42"/>
      <c r="S298" s="42"/>
      <c r="T298" s="42"/>
      <c r="U298" s="42"/>
      <c r="V298" s="41"/>
    </row>
    <row r="299" spans="2:22" ht="15" x14ac:dyDescent="0.2">
      <c r="B299" s="40"/>
      <c r="C299" s="42"/>
      <c r="D299" s="42"/>
      <c r="E299" s="56"/>
      <c r="F299" s="1309"/>
      <c r="G299" s="42"/>
      <c r="H299" s="42"/>
      <c r="I299" s="42"/>
      <c r="J299" s="42"/>
      <c r="K299" s="42"/>
      <c r="L299" s="42"/>
      <c r="M299" s="42"/>
      <c r="N299" s="42"/>
      <c r="O299" s="1296"/>
      <c r="P299" s="1296"/>
      <c r="Q299" s="1296"/>
      <c r="R299" s="42"/>
      <c r="S299" s="42"/>
      <c r="T299" s="42"/>
      <c r="U299" s="42"/>
      <c r="V299" s="41"/>
    </row>
    <row r="300" spans="2:22" ht="15" x14ac:dyDescent="0.2">
      <c r="B300" s="40"/>
      <c r="C300" s="42"/>
      <c r="D300" s="42"/>
      <c r="E300" s="56"/>
      <c r="F300" s="1309"/>
      <c r="G300" s="42"/>
      <c r="H300" s="42"/>
      <c r="I300" s="42"/>
      <c r="J300" s="42"/>
      <c r="K300" s="42"/>
      <c r="L300" s="42"/>
      <c r="M300" s="42"/>
      <c r="N300" s="42"/>
      <c r="O300" s="1296"/>
      <c r="P300" s="1296"/>
      <c r="Q300" s="1296"/>
      <c r="R300" s="42"/>
      <c r="S300" s="42"/>
      <c r="T300" s="42"/>
      <c r="U300" s="42"/>
      <c r="V300" s="41"/>
    </row>
    <row r="301" spans="2:22" ht="15" x14ac:dyDescent="0.2">
      <c r="B301" s="40"/>
      <c r="C301" s="42"/>
      <c r="D301" s="42"/>
      <c r="E301" s="56"/>
      <c r="F301" s="1309"/>
      <c r="G301" s="42"/>
      <c r="H301" s="42"/>
      <c r="I301" s="42"/>
      <c r="J301" s="42"/>
      <c r="K301" s="42"/>
      <c r="L301" s="42"/>
      <c r="M301" s="42"/>
      <c r="N301" s="42"/>
      <c r="O301" s="1296"/>
      <c r="P301" s="1296"/>
      <c r="Q301" s="1296"/>
      <c r="R301" s="42"/>
      <c r="S301" s="42"/>
      <c r="T301" s="42"/>
      <c r="U301" s="42"/>
      <c r="V301" s="41"/>
    </row>
    <row r="302" spans="2:22" ht="15" x14ac:dyDescent="0.2">
      <c r="B302" s="43"/>
      <c r="C302" s="44"/>
      <c r="D302" s="44"/>
      <c r="E302" s="57"/>
      <c r="F302" s="1305"/>
      <c r="G302" s="44"/>
      <c r="H302" s="44"/>
      <c r="I302" s="44"/>
      <c r="J302" s="44"/>
      <c r="K302" s="44"/>
      <c r="L302" s="44"/>
      <c r="M302" s="44"/>
      <c r="N302" s="44"/>
      <c r="O302" s="1297"/>
      <c r="P302" s="1297"/>
      <c r="Q302" s="1297"/>
      <c r="R302" s="44"/>
      <c r="S302" s="44"/>
      <c r="T302" s="44"/>
      <c r="U302" s="44"/>
      <c r="V302" s="45"/>
    </row>
    <row r="303" spans="2:22" ht="15" x14ac:dyDescent="0.2">
      <c r="B303" s="37"/>
      <c r="C303" s="39"/>
      <c r="D303" s="39"/>
      <c r="E303" s="69"/>
      <c r="F303" s="1310"/>
      <c r="G303" s="39"/>
      <c r="H303" s="39"/>
      <c r="I303" s="39"/>
      <c r="J303" s="39"/>
      <c r="K303" s="39"/>
      <c r="L303" s="39"/>
      <c r="M303" s="39"/>
      <c r="N303" s="39"/>
      <c r="O303" s="1298"/>
      <c r="P303" s="1298"/>
      <c r="Q303" s="1298"/>
      <c r="R303" s="39"/>
      <c r="S303" s="39"/>
      <c r="T303" s="39"/>
      <c r="U303" s="39"/>
      <c r="V303" s="38"/>
    </row>
    <row r="304" spans="2:22" ht="15.75" x14ac:dyDescent="0.25">
      <c r="B304" s="1329" t="s">
        <v>960</v>
      </c>
      <c r="C304" s="1330"/>
      <c r="D304" s="42"/>
      <c r="E304" s="1326" t="s">
        <v>921</v>
      </c>
      <c r="F304" s="1049" t="s">
        <v>572</v>
      </c>
      <c r="G304" s="42"/>
      <c r="H304" s="42"/>
      <c r="I304" s="42"/>
      <c r="J304" s="42"/>
      <c r="K304" s="42"/>
      <c r="L304" s="42"/>
      <c r="M304" s="42"/>
      <c r="N304" s="42"/>
      <c r="O304" s="1296"/>
      <c r="P304" s="1296"/>
      <c r="Q304" s="1296"/>
      <c r="R304" s="42"/>
      <c r="S304" s="42"/>
      <c r="T304" s="42"/>
      <c r="U304" s="42"/>
      <c r="V304" s="41"/>
    </row>
    <row r="305" spans="2:22" ht="15" x14ac:dyDescent="0.2">
      <c r="B305" s="40"/>
      <c r="C305" s="42"/>
      <c r="D305" s="42"/>
      <c r="E305" s="1326"/>
      <c r="F305" s="1309"/>
      <c r="G305" s="42"/>
      <c r="H305" s="42"/>
      <c r="I305" s="42"/>
      <c r="J305" s="42"/>
      <c r="K305" s="42"/>
      <c r="L305" s="42"/>
      <c r="M305" s="42"/>
      <c r="N305" s="42"/>
      <c r="O305" s="1296"/>
      <c r="P305" s="1296"/>
      <c r="Q305" s="1296"/>
      <c r="R305" s="42"/>
      <c r="S305" s="42"/>
      <c r="T305" s="42"/>
      <c r="U305" s="42"/>
      <c r="V305" s="41"/>
    </row>
    <row r="306" spans="2:22" ht="15" x14ac:dyDescent="0.2">
      <c r="B306" s="40"/>
      <c r="C306" s="42"/>
      <c r="D306" s="42"/>
      <c r="E306" s="56"/>
      <c r="F306" s="1309"/>
      <c r="G306" s="42"/>
      <c r="H306" s="42"/>
      <c r="I306" s="42"/>
      <c r="J306" s="42"/>
      <c r="K306" s="42"/>
      <c r="L306" s="42"/>
      <c r="M306" s="42"/>
      <c r="N306" s="42"/>
      <c r="O306" s="1296"/>
      <c r="P306" s="1296"/>
      <c r="Q306" s="1296"/>
      <c r="R306" s="42"/>
      <c r="S306" s="42"/>
      <c r="T306" s="42"/>
      <c r="U306" s="42"/>
      <c r="V306" s="41"/>
    </row>
    <row r="307" spans="2:22" ht="15" x14ac:dyDescent="0.2">
      <c r="B307" s="40"/>
      <c r="C307" s="42"/>
      <c r="D307" s="42"/>
      <c r="E307" s="56"/>
      <c r="F307" s="1309"/>
      <c r="G307" s="42"/>
      <c r="H307" s="42"/>
      <c r="I307" s="42"/>
      <c r="J307" s="42"/>
      <c r="K307" s="42"/>
      <c r="L307" s="42"/>
      <c r="M307" s="42"/>
      <c r="N307" s="42"/>
      <c r="O307" s="1296"/>
      <c r="P307" s="1296"/>
      <c r="Q307" s="1296"/>
      <c r="R307" s="42"/>
      <c r="S307" s="42"/>
      <c r="T307" s="42"/>
      <c r="U307" s="42"/>
      <c r="V307" s="41"/>
    </row>
    <row r="308" spans="2:22" ht="15" x14ac:dyDescent="0.2">
      <c r="B308" s="40"/>
      <c r="C308" s="42"/>
      <c r="D308" s="42"/>
      <c r="E308" s="56"/>
      <c r="F308" s="1309"/>
      <c r="G308" s="42"/>
      <c r="H308" s="42"/>
      <c r="I308" s="42"/>
      <c r="J308" s="42"/>
      <c r="K308" s="42"/>
      <c r="L308" s="42"/>
      <c r="M308" s="42"/>
      <c r="N308" s="42"/>
      <c r="O308" s="1296"/>
      <c r="P308" s="1296"/>
      <c r="Q308" s="1296"/>
      <c r="R308" s="42"/>
      <c r="S308" s="42"/>
      <c r="T308" s="42"/>
      <c r="U308" s="42"/>
      <c r="V308" s="41"/>
    </row>
    <row r="309" spans="2:22" ht="15" x14ac:dyDescent="0.2">
      <c r="B309" s="40"/>
      <c r="C309" s="42"/>
      <c r="D309" s="42"/>
      <c r="E309" s="56"/>
      <c r="F309" s="1309"/>
      <c r="G309" s="42"/>
      <c r="H309" s="42"/>
      <c r="I309" s="42"/>
      <c r="J309" s="42"/>
      <c r="K309" s="42"/>
      <c r="L309" s="42"/>
      <c r="M309" s="42"/>
      <c r="N309" s="42"/>
      <c r="O309" s="1296"/>
      <c r="P309" s="1296"/>
      <c r="Q309" s="1296"/>
      <c r="R309" s="42"/>
      <c r="S309" s="42"/>
      <c r="T309" s="42"/>
      <c r="U309" s="42"/>
      <c r="V309" s="41"/>
    </row>
    <row r="310" spans="2:22" ht="15" x14ac:dyDescent="0.2">
      <c r="B310" s="40"/>
      <c r="C310" s="42"/>
      <c r="D310" s="42"/>
      <c r="E310" s="56"/>
      <c r="F310" s="1309"/>
      <c r="G310" s="42"/>
      <c r="H310" s="42"/>
      <c r="I310" s="42"/>
      <c r="J310" s="42"/>
      <c r="K310" s="42"/>
      <c r="L310" s="42"/>
      <c r="M310" s="42"/>
      <c r="N310" s="42"/>
      <c r="O310" s="1296"/>
      <c r="P310" s="1296"/>
      <c r="Q310" s="1296"/>
      <c r="R310" s="42"/>
      <c r="S310" s="42"/>
      <c r="T310" s="42"/>
      <c r="U310" s="42"/>
      <c r="V310" s="41"/>
    </row>
    <row r="311" spans="2:22" ht="15" x14ac:dyDescent="0.2">
      <c r="B311" s="40"/>
      <c r="C311" s="42"/>
      <c r="D311" s="42"/>
      <c r="E311" s="56"/>
      <c r="F311" s="1309"/>
      <c r="G311" s="42"/>
      <c r="H311" s="42"/>
      <c r="I311" s="42"/>
      <c r="J311" s="42"/>
      <c r="K311" s="42"/>
      <c r="L311" s="42"/>
      <c r="M311" s="42"/>
      <c r="N311" s="42"/>
      <c r="O311" s="1296"/>
      <c r="P311" s="1296"/>
      <c r="Q311" s="1296"/>
      <c r="R311" s="42"/>
      <c r="S311" s="42"/>
      <c r="T311" s="42"/>
      <c r="U311" s="42"/>
      <c r="V311" s="41"/>
    </row>
    <row r="312" spans="2:22" ht="15" x14ac:dyDescent="0.2">
      <c r="B312" s="40"/>
      <c r="C312" s="42"/>
      <c r="D312" s="42"/>
      <c r="E312" s="56"/>
      <c r="F312" s="1309"/>
      <c r="G312" s="42"/>
      <c r="H312" s="42"/>
      <c r="I312" s="42"/>
      <c r="J312" s="42"/>
      <c r="K312" s="42"/>
      <c r="L312" s="42"/>
      <c r="M312" s="42"/>
      <c r="N312" s="42"/>
      <c r="O312" s="1296"/>
      <c r="P312" s="1296"/>
      <c r="Q312" s="1296"/>
      <c r="R312" s="42"/>
      <c r="S312" s="42"/>
      <c r="T312" s="42"/>
      <c r="U312" s="42"/>
      <c r="V312" s="41"/>
    </row>
    <row r="313" spans="2:22" ht="15" x14ac:dyDescent="0.2">
      <c r="B313" s="40"/>
      <c r="C313" s="42"/>
      <c r="D313" s="42"/>
      <c r="E313" s="56"/>
      <c r="F313" s="1309"/>
      <c r="G313" s="42"/>
      <c r="H313" s="42"/>
      <c r="I313" s="42"/>
      <c r="J313" s="42"/>
      <c r="K313" s="42"/>
      <c r="L313" s="42"/>
      <c r="M313" s="42"/>
      <c r="N313" s="42"/>
      <c r="O313" s="1296"/>
      <c r="P313" s="1296"/>
      <c r="Q313" s="1296"/>
      <c r="R313" s="42"/>
      <c r="S313" s="42"/>
      <c r="T313" s="42"/>
      <c r="U313" s="42"/>
      <c r="V313" s="41"/>
    </row>
    <row r="314" spans="2:22" ht="15" x14ac:dyDescent="0.2">
      <c r="B314" s="40"/>
      <c r="C314" s="42"/>
      <c r="D314" s="42"/>
      <c r="E314" s="56"/>
      <c r="F314" s="1309"/>
      <c r="G314" s="42"/>
      <c r="H314" s="42"/>
      <c r="I314" s="42"/>
      <c r="J314" s="42"/>
      <c r="K314" s="42"/>
      <c r="L314" s="42"/>
      <c r="M314" s="42"/>
      <c r="N314" s="42"/>
      <c r="O314" s="1296"/>
      <c r="P314" s="1296"/>
      <c r="Q314" s="1296"/>
      <c r="R314" s="42"/>
      <c r="S314" s="42"/>
      <c r="T314" s="42"/>
      <c r="U314" s="42"/>
      <c r="V314" s="41"/>
    </row>
    <row r="315" spans="2:22" ht="15" x14ac:dyDescent="0.2">
      <c r="B315" s="40"/>
      <c r="C315" s="42"/>
      <c r="D315" s="42"/>
      <c r="E315" s="56"/>
      <c r="F315" s="1309"/>
      <c r="G315" s="42"/>
      <c r="H315" s="42"/>
      <c r="I315" s="42"/>
      <c r="J315" s="42"/>
      <c r="K315" s="42"/>
      <c r="L315" s="42"/>
      <c r="M315" s="42"/>
      <c r="N315" s="42"/>
      <c r="O315" s="1296"/>
      <c r="P315" s="1296"/>
      <c r="Q315" s="1296"/>
      <c r="R315" s="42"/>
      <c r="S315" s="42"/>
      <c r="T315" s="42"/>
      <c r="U315" s="42"/>
      <c r="V315" s="41"/>
    </row>
    <row r="316" spans="2:22" ht="15" x14ac:dyDescent="0.2">
      <c r="B316" s="40"/>
      <c r="C316" s="42"/>
      <c r="D316" s="42"/>
      <c r="E316" s="56"/>
      <c r="F316" s="1309"/>
      <c r="G316" s="42"/>
      <c r="H316" s="42"/>
      <c r="I316" s="42"/>
      <c r="J316" s="42"/>
      <c r="K316" s="42"/>
      <c r="L316" s="42"/>
      <c r="M316" s="42"/>
      <c r="N316" s="42"/>
      <c r="O316" s="1296"/>
      <c r="P316" s="1296"/>
      <c r="Q316" s="1296"/>
      <c r="R316" s="42"/>
      <c r="S316" s="42"/>
      <c r="T316" s="42"/>
      <c r="U316" s="42"/>
      <c r="V316" s="41"/>
    </row>
    <row r="317" spans="2:22" ht="15" x14ac:dyDescent="0.2">
      <c r="B317" s="40"/>
      <c r="C317" s="42"/>
      <c r="D317" s="42"/>
      <c r="E317" s="56"/>
      <c r="F317" s="1309"/>
      <c r="G317" s="42"/>
      <c r="H317" s="42"/>
      <c r="I317" s="42"/>
      <c r="J317" s="42"/>
      <c r="K317" s="42"/>
      <c r="L317" s="42"/>
      <c r="M317" s="42"/>
      <c r="N317" s="42"/>
      <c r="O317" s="1296"/>
      <c r="P317" s="1296"/>
      <c r="Q317" s="1296"/>
      <c r="R317" s="42"/>
      <c r="S317" s="42"/>
      <c r="T317" s="42"/>
      <c r="U317" s="42"/>
      <c r="V317" s="41"/>
    </row>
    <row r="318" spans="2:22" ht="15" x14ac:dyDescent="0.2">
      <c r="B318" s="40"/>
      <c r="C318" s="42"/>
      <c r="D318" s="42"/>
      <c r="E318" s="56"/>
      <c r="F318" s="1309"/>
      <c r="G318" s="42"/>
      <c r="H318" s="42"/>
      <c r="I318" s="42"/>
      <c r="J318" s="42"/>
      <c r="K318" s="42"/>
      <c r="L318" s="42"/>
      <c r="M318" s="42"/>
      <c r="N318" s="42"/>
      <c r="O318" s="1296"/>
      <c r="P318" s="1296"/>
      <c r="Q318" s="1296"/>
      <c r="R318" s="42"/>
      <c r="S318" s="42"/>
      <c r="T318" s="42"/>
      <c r="U318" s="42"/>
      <c r="V318" s="41"/>
    </row>
    <row r="319" spans="2:22" ht="15" x14ac:dyDescent="0.2">
      <c r="B319" s="43"/>
      <c r="C319" s="44"/>
      <c r="D319" s="44"/>
      <c r="E319" s="57"/>
      <c r="F319" s="1305"/>
      <c r="G319" s="44"/>
      <c r="H319" s="44"/>
      <c r="I319" s="44"/>
      <c r="J319" s="44"/>
      <c r="K319" s="44"/>
      <c r="L319" s="44"/>
      <c r="M319" s="44"/>
      <c r="N319" s="44"/>
      <c r="O319" s="1297"/>
      <c r="P319" s="1297"/>
      <c r="Q319" s="1297"/>
      <c r="R319" s="44"/>
      <c r="S319" s="44"/>
      <c r="T319" s="44"/>
      <c r="U319" s="44"/>
      <c r="V319" s="45"/>
    </row>
    <row r="320" spans="2:22" ht="15" x14ac:dyDescent="0.2">
      <c r="B320" s="40"/>
      <c r="C320" s="42"/>
      <c r="D320" s="42"/>
      <c r="E320" s="56"/>
      <c r="F320" s="1309"/>
      <c r="G320" s="42"/>
      <c r="H320" s="42"/>
      <c r="I320" s="42"/>
      <c r="J320" s="42"/>
      <c r="K320" s="42"/>
      <c r="L320" s="42"/>
      <c r="M320" s="42"/>
      <c r="N320" s="42"/>
      <c r="O320" s="1296"/>
      <c r="P320" s="1296"/>
      <c r="Q320" s="1296"/>
      <c r="R320" s="42"/>
      <c r="S320" s="42"/>
      <c r="T320" s="42"/>
      <c r="U320" s="42"/>
      <c r="V320" s="41"/>
    </row>
    <row r="321" spans="2:22" ht="15.75" x14ac:dyDescent="0.25">
      <c r="B321" s="1329" t="s">
        <v>961</v>
      </c>
      <c r="C321" s="1330"/>
      <c r="D321" s="42"/>
      <c r="E321" s="1326" t="s">
        <v>922</v>
      </c>
      <c r="F321" s="1309"/>
      <c r="G321" s="42"/>
      <c r="H321" s="42"/>
      <c r="I321" s="42"/>
      <c r="J321" s="42"/>
      <c r="K321" s="42"/>
      <c r="L321" s="42"/>
      <c r="M321" s="42"/>
      <c r="N321" s="42"/>
      <c r="O321" s="1296"/>
      <c r="P321" s="1296"/>
      <c r="Q321" s="1296"/>
      <c r="R321" s="42"/>
      <c r="S321" s="42"/>
      <c r="T321" s="42"/>
      <c r="U321" s="42"/>
      <c r="V321" s="41"/>
    </row>
    <row r="322" spans="2:22" ht="15" x14ac:dyDescent="0.2">
      <c r="B322" s="40"/>
      <c r="C322" s="42"/>
      <c r="D322" s="42"/>
      <c r="E322" s="1326"/>
      <c r="F322" s="1049" t="s">
        <v>168</v>
      </c>
      <c r="G322" s="42"/>
      <c r="H322" s="42"/>
      <c r="I322" s="42"/>
      <c r="J322" s="42"/>
      <c r="K322" s="42"/>
      <c r="L322" s="42"/>
      <c r="M322" s="42"/>
      <c r="N322" s="42"/>
      <c r="O322" s="1296"/>
      <c r="P322" s="1296"/>
      <c r="Q322" s="1296"/>
      <c r="R322" s="42"/>
      <c r="S322" s="42"/>
      <c r="T322" s="42"/>
      <c r="U322" s="42"/>
      <c r="V322" s="41"/>
    </row>
    <row r="323" spans="2:22" ht="15" x14ac:dyDescent="0.2">
      <c r="B323" s="40"/>
      <c r="C323" s="42"/>
      <c r="D323" s="42"/>
      <c r="E323" s="56"/>
      <c r="F323" s="1309"/>
      <c r="G323" s="42"/>
      <c r="H323" s="42"/>
      <c r="I323" s="42"/>
      <c r="J323" s="42"/>
      <c r="K323" s="42"/>
      <c r="L323" s="42"/>
      <c r="M323" s="42"/>
      <c r="N323" s="42"/>
      <c r="O323" s="1296"/>
      <c r="P323" s="1296"/>
      <c r="Q323" s="1296"/>
      <c r="R323" s="42"/>
      <c r="S323" s="42"/>
      <c r="T323" s="42"/>
      <c r="U323" s="42"/>
      <c r="V323" s="41"/>
    </row>
    <row r="324" spans="2:22" ht="15" x14ac:dyDescent="0.2">
      <c r="B324" s="40"/>
      <c r="C324" s="42"/>
      <c r="D324" s="42"/>
      <c r="E324" s="56"/>
      <c r="F324" s="1309"/>
      <c r="G324" s="42"/>
      <c r="H324" s="42"/>
      <c r="I324" s="42"/>
      <c r="J324" s="42"/>
      <c r="K324" s="42"/>
      <c r="L324" s="42"/>
      <c r="M324" s="42"/>
      <c r="N324" s="42"/>
      <c r="O324" s="1296"/>
      <c r="P324" s="1296"/>
      <c r="Q324" s="1296"/>
      <c r="R324" s="42"/>
      <c r="S324" s="42"/>
      <c r="T324" s="42"/>
      <c r="U324" s="42"/>
      <c r="V324" s="41"/>
    </row>
    <row r="325" spans="2:22" ht="15" x14ac:dyDescent="0.2">
      <c r="B325" s="40"/>
      <c r="C325" s="42"/>
      <c r="D325" s="42"/>
      <c r="E325" s="56"/>
      <c r="F325" s="1309"/>
      <c r="G325" s="42"/>
      <c r="H325" s="42"/>
      <c r="I325" s="42"/>
      <c r="J325" s="42"/>
      <c r="K325" s="42"/>
      <c r="L325" s="42"/>
      <c r="M325" s="42"/>
      <c r="N325" s="42"/>
      <c r="O325" s="1296"/>
      <c r="P325" s="1296"/>
      <c r="Q325" s="1296"/>
      <c r="R325" s="42"/>
      <c r="S325" s="42"/>
      <c r="T325" s="42"/>
      <c r="U325" s="42"/>
      <c r="V325" s="41"/>
    </row>
    <row r="326" spans="2:22" ht="15" x14ac:dyDescent="0.2">
      <c r="B326" s="40"/>
      <c r="C326" s="42"/>
      <c r="D326" s="42"/>
      <c r="E326" s="56"/>
      <c r="F326" s="1309"/>
      <c r="G326" s="42"/>
      <c r="H326" s="42"/>
      <c r="I326" s="42"/>
      <c r="J326" s="42"/>
      <c r="K326" s="42"/>
      <c r="L326" s="42"/>
      <c r="M326" s="42"/>
      <c r="N326" s="42"/>
      <c r="O326" s="1296"/>
      <c r="P326" s="1296"/>
      <c r="Q326" s="1296"/>
      <c r="R326" s="42"/>
      <c r="S326" s="42"/>
      <c r="T326" s="42"/>
      <c r="U326" s="42"/>
      <c r="V326" s="41"/>
    </row>
    <row r="327" spans="2:22" ht="15" x14ac:dyDescent="0.2">
      <c r="B327" s="40"/>
      <c r="C327" s="42"/>
      <c r="D327" s="42"/>
      <c r="E327" s="56"/>
      <c r="F327" s="1309"/>
      <c r="G327" s="42"/>
      <c r="H327" s="42"/>
      <c r="I327" s="42"/>
      <c r="J327" s="42"/>
      <c r="K327" s="42"/>
      <c r="L327" s="42"/>
      <c r="M327" s="42"/>
      <c r="N327" s="42"/>
      <c r="O327" s="1296"/>
      <c r="P327" s="1296"/>
      <c r="Q327" s="1296"/>
      <c r="R327" s="42"/>
      <c r="S327" s="42"/>
      <c r="T327" s="42"/>
      <c r="U327" s="42"/>
      <c r="V327" s="41"/>
    </row>
    <row r="328" spans="2:22" ht="15" x14ac:dyDescent="0.2">
      <c r="B328" s="40"/>
      <c r="C328" s="42"/>
      <c r="D328" s="42"/>
      <c r="E328" s="56"/>
      <c r="F328" s="1309"/>
      <c r="G328" s="42"/>
      <c r="H328" s="42"/>
      <c r="I328" s="42"/>
      <c r="J328" s="42"/>
      <c r="K328" s="42"/>
      <c r="L328" s="42"/>
      <c r="M328" s="42"/>
      <c r="N328" s="42"/>
      <c r="O328" s="1296"/>
      <c r="P328" s="1296"/>
      <c r="Q328" s="1296"/>
      <c r="R328" s="42"/>
      <c r="S328" s="42"/>
      <c r="T328" s="42"/>
      <c r="U328" s="42"/>
      <c r="V328" s="41"/>
    </row>
    <row r="329" spans="2:22" ht="15" x14ac:dyDescent="0.2">
      <c r="B329" s="40"/>
      <c r="C329" s="42"/>
      <c r="D329" s="42"/>
      <c r="E329" s="56"/>
      <c r="F329" s="1309"/>
      <c r="G329" s="42"/>
      <c r="H329" s="42"/>
      <c r="I329" s="42"/>
      <c r="J329" s="42"/>
      <c r="K329" s="42"/>
      <c r="L329" s="42"/>
      <c r="M329" s="42"/>
      <c r="N329" s="42"/>
      <c r="O329" s="1296"/>
      <c r="P329" s="1296"/>
      <c r="Q329" s="1296"/>
      <c r="R329" s="42"/>
      <c r="S329" s="42"/>
      <c r="T329" s="42"/>
      <c r="U329" s="42"/>
      <c r="V329" s="41"/>
    </row>
    <row r="330" spans="2:22" ht="15" x14ac:dyDescent="0.2">
      <c r="B330" s="40"/>
      <c r="C330" s="42"/>
      <c r="D330" s="42"/>
      <c r="E330" s="56"/>
      <c r="F330" s="1309"/>
      <c r="G330" s="42"/>
      <c r="H330" s="42"/>
      <c r="I330" s="42"/>
      <c r="J330" s="42"/>
      <c r="K330" s="42"/>
      <c r="L330" s="42"/>
      <c r="M330" s="42"/>
      <c r="N330" s="42"/>
      <c r="O330" s="1296"/>
      <c r="P330" s="1296"/>
      <c r="Q330" s="1296"/>
      <c r="R330" s="42"/>
      <c r="S330" s="42"/>
      <c r="T330" s="42"/>
      <c r="U330" s="42"/>
      <c r="V330" s="41"/>
    </row>
    <row r="331" spans="2:22" ht="15" x14ac:dyDescent="0.2">
      <c r="B331" s="40"/>
      <c r="C331" s="42"/>
      <c r="D331" s="42"/>
      <c r="E331" s="56"/>
      <c r="F331" s="1309"/>
      <c r="G331" s="42"/>
      <c r="H331" s="42"/>
      <c r="I331" s="42"/>
      <c r="J331" s="42"/>
      <c r="K331" s="42"/>
      <c r="L331" s="42"/>
      <c r="M331" s="42"/>
      <c r="N331" s="42"/>
      <c r="O331" s="1296"/>
      <c r="P331" s="1296"/>
      <c r="Q331" s="1296"/>
      <c r="R331" s="42"/>
      <c r="S331" s="42"/>
      <c r="T331" s="42"/>
      <c r="U331" s="42"/>
      <c r="V331" s="41"/>
    </row>
    <row r="332" spans="2:22" ht="15" x14ac:dyDescent="0.2">
      <c r="B332" s="40"/>
      <c r="C332" s="42"/>
      <c r="D332" s="42"/>
      <c r="E332" s="56"/>
      <c r="F332" s="1309"/>
      <c r="G332" s="42"/>
      <c r="H332" s="42"/>
      <c r="I332" s="42"/>
      <c r="J332" s="42"/>
      <c r="K332" s="42"/>
      <c r="L332" s="42"/>
      <c r="M332" s="42"/>
      <c r="N332" s="42"/>
      <c r="O332" s="1296"/>
      <c r="P332" s="1296"/>
      <c r="Q332" s="1296"/>
      <c r="R332" s="42"/>
      <c r="S332" s="42"/>
      <c r="T332" s="42"/>
      <c r="U332" s="42"/>
      <c r="V332" s="41"/>
    </row>
    <row r="333" spans="2:22" ht="15" x14ac:dyDescent="0.2">
      <c r="B333" s="40"/>
      <c r="C333" s="42"/>
      <c r="D333" s="42"/>
      <c r="E333" s="56"/>
      <c r="F333" s="1309"/>
      <c r="G333" s="42"/>
      <c r="H333" s="42"/>
      <c r="I333" s="42"/>
      <c r="J333" s="42"/>
      <c r="K333" s="42"/>
      <c r="L333" s="42"/>
      <c r="M333" s="42"/>
      <c r="N333" s="42"/>
      <c r="O333" s="1296"/>
      <c r="P333" s="1296"/>
      <c r="Q333" s="1296"/>
      <c r="R333" s="42"/>
      <c r="S333" s="42"/>
      <c r="T333" s="42"/>
      <c r="U333" s="42"/>
      <c r="V333" s="41"/>
    </row>
    <row r="334" spans="2:22" ht="15" x14ac:dyDescent="0.2">
      <c r="B334" s="40"/>
      <c r="C334" s="42"/>
      <c r="D334" s="42"/>
      <c r="E334" s="56"/>
      <c r="F334" s="1309"/>
      <c r="G334" s="42"/>
      <c r="H334" s="42"/>
      <c r="I334" s="42"/>
      <c r="J334" s="42"/>
      <c r="K334" s="42"/>
      <c r="L334" s="42"/>
      <c r="M334" s="42"/>
      <c r="N334" s="42"/>
      <c r="O334" s="1296"/>
      <c r="P334" s="1296"/>
      <c r="Q334" s="1296"/>
      <c r="R334" s="42"/>
      <c r="S334" s="42"/>
      <c r="T334" s="42"/>
      <c r="U334" s="42"/>
      <c r="V334" s="41"/>
    </row>
    <row r="335" spans="2:22" ht="15" x14ac:dyDescent="0.2">
      <c r="B335" s="40"/>
      <c r="C335" s="42"/>
      <c r="D335" s="42"/>
      <c r="E335" s="56"/>
      <c r="F335" s="1309"/>
      <c r="G335" s="42"/>
      <c r="H335" s="42"/>
      <c r="I335" s="42"/>
      <c r="J335" s="42"/>
      <c r="K335" s="42"/>
      <c r="L335" s="42"/>
      <c r="M335" s="42"/>
      <c r="N335" s="42"/>
      <c r="O335" s="1296"/>
      <c r="P335" s="1296"/>
      <c r="Q335" s="1296"/>
      <c r="R335" s="42"/>
      <c r="S335" s="42"/>
      <c r="T335" s="42"/>
      <c r="U335" s="42"/>
      <c r="V335" s="41"/>
    </row>
    <row r="336" spans="2:22" ht="15" x14ac:dyDescent="0.2">
      <c r="B336" s="40"/>
      <c r="C336" s="42"/>
      <c r="D336" s="42"/>
      <c r="E336" s="56"/>
      <c r="F336" s="1309"/>
      <c r="G336" s="42"/>
      <c r="H336" s="42"/>
      <c r="I336" s="42"/>
      <c r="J336" s="42"/>
      <c r="K336" s="42"/>
      <c r="L336" s="42"/>
      <c r="M336" s="42"/>
      <c r="N336" s="42"/>
      <c r="O336" s="1296"/>
      <c r="P336" s="1296"/>
      <c r="Q336" s="1296"/>
      <c r="R336" s="42"/>
      <c r="S336" s="42"/>
      <c r="T336" s="42"/>
      <c r="U336" s="42"/>
      <c r="V336" s="41"/>
    </row>
    <row r="337" spans="2:22" ht="15" x14ac:dyDescent="0.2">
      <c r="B337" s="40"/>
      <c r="C337" s="42"/>
      <c r="D337" s="42"/>
      <c r="E337" s="56"/>
      <c r="F337" s="1309"/>
      <c r="G337" s="42"/>
      <c r="H337" s="42"/>
      <c r="I337" s="42"/>
      <c r="J337" s="42"/>
      <c r="K337" s="42"/>
      <c r="L337" s="42"/>
      <c r="M337" s="42"/>
      <c r="N337" s="42"/>
      <c r="O337" s="1296"/>
      <c r="P337" s="1296"/>
      <c r="Q337" s="1296"/>
      <c r="R337" s="42"/>
      <c r="S337" s="42"/>
      <c r="T337" s="42"/>
      <c r="U337" s="42"/>
      <c r="V337" s="41"/>
    </row>
    <row r="338" spans="2:22" ht="15" x14ac:dyDescent="0.2">
      <c r="B338" s="40"/>
      <c r="C338" s="42"/>
      <c r="D338" s="42"/>
      <c r="E338" s="56"/>
      <c r="F338" s="1309"/>
      <c r="G338" s="42"/>
      <c r="H338" s="42"/>
      <c r="I338" s="42"/>
      <c r="J338" s="42"/>
      <c r="K338" s="42"/>
      <c r="L338" s="42"/>
      <c r="M338" s="42"/>
      <c r="N338" s="42"/>
      <c r="O338" s="1296"/>
      <c r="P338" s="1296"/>
      <c r="Q338" s="1296"/>
      <c r="R338" s="42"/>
      <c r="S338" s="42"/>
      <c r="T338" s="42"/>
      <c r="U338" s="42"/>
      <c r="V338" s="41"/>
    </row>
    <row r="339" spans="2:22" ht="15" x14ac:dyDescent="0.2">
      <c r="B339" s="37"/>
      <c r="C339" s="39"/>
      <c r="D339" s="39"/>
      <c r="E339" s="69"/>
      <c r="F339" s="1310"/>
      <c r="G339" s="39"/>
      <c r="H339" s="39"/>
      <c r="I339" s="39"/>
      <c r="J339" s="39"/>
      <c r="K339" s="39"/>
      <c r="L339" s="39"/>
      <c r="M339" s="39"/>
      <c r="N339" s="39"/>
      <c r="O339" s="1298"/>
      <c r="P339" s="1298"/>
      <c r="Q339" s="1298"/>
      <c r="R339" s="39"/>
      <c r="S339" s="39"/>
      <c r="T339" s="39"/>
      <c r="U339" s="39"/>
      <c r="V339" s="38"/>
    </row>
    <row r="340" spans="2:22" ht="15.75" customHeight="1" x14ac:dyDescent="0.2">
      <c r="B340" s="1329" t="s">
        <v>962</v>
      </c>
      <c r="C340" s="1330"/>
      <c r="D340" s="42"/>
      <c r="E340" s="1326" t="s">
        <v>922</v>
      </c>
      <c r="F340" s="1049" t="s">
        <v>234</v>
      </c>
      <c r="G340" s="42"/>
      <c r="H340" s="42"/>
      <c r="I340" s="42"/>
      <c r="J340" s="42"/>
      <c r="K340" s="42"/>
      <c r="L340" s="42"/>
      <c r="M340" s="42"/>
      <c r="N340" s="42"/>
      <c r="O340" s="1296"/>
      <c r="P340" s="1296"/>
      <c r="Q340" s="1296"/>
      <c r="R340" s="42"/>
      <c r="S340" s="42"/>
      <c r="T340" s="42"/>
      <c r="U340" s="42"/>
      <c r="V340" s="41"/>
    </row>
    <row r="341" spans="2:22" ht="15" x14ac:dyDescent="0.2">
      <c r="B341" s="1329"/>
      <c r="C341" s="1330"/>
      <c r="D341" s="42"/>
      <c r="E341" s="1326"/>
      <c r="F341" s="1309"/>
      <c r="G341" s="42"/>
      <c r="H341" s="42"/>
      <c r="I341" s="42"/>
      <c r="J341" s="42"/>
      <c r="K341" s="42"/>
      <c r="L341" s="42"/>
      <c r="M341" s="42"/>
      <c r="N341" s="42"/>
      <c r="O341" s="1296"/>
      <c r="P341" s="1296"/>
      <c r="Q341" s="1296"/>
      <c r="R341" s="42"/>
      <c r="S341" s="42"/>
      <c r="T341" s="42"/>
      <c r="U341" s="42"/>
      <c r="V341" s="41"/>
    </row>
    <row r="342" spans="2:22" ht="15" x14ac:dyDescent="0.2">
      <c r="B342" s="40"/>
      <c r="C342" s="42"/>
      <c r="D342" s="42"/>
      <c r="E342" s="56"/>
      <c r="F342" s="1309"/>
      <c r="G342" s="42"/>
      <c r="H342" s="42"/>
      <c r="I342" s="42"/>
      <c r="J342" s="42"/>
      <c r="K342" s="42"/>
      <c r="L342" s="42"/>
      <c r="M342" s="42"/>
      <c r="N342" s="42"/>
      <c r="O342" s="1296"/>
      <c r="P342" s="1296"/>
      <c r="Q342" s="1296"/>
      <c r="R342" s="42"/>
      <c r="S342" s="42"/>
      <c r="T342" s="42"/>
      <c r="U342" s="42"/>
      <c r="V342" s="41"/>
    </row>
    <row r="343" spans="2:22" ht="15" x14ac:dyDescent="0.2">
      <c r="B343" s="40"/>
      <c r="C343" s="42"/>
      <c r="D343" s="42"/>
      <c r="E343" s="56"/>
      <c r="F343" s="1309"/>
      <c r="G343" s="42"/>
      <c r="H343" s="42"/>
      <c r="I343" s="42"/>
      <c r="J343" s="42"/>
      <c r="K343" s="42"/>
      <c r="L343" s="42"/>
      <c r="M343" s="42"/>
      <c r="N343" s="42"/>
      <c r="O343" s="1296"/>
      <c r="P343" s="1296"/>
      <c r="Q343" s="1296"/>
      <c r="R343" s="42"/>
      <c r="S343" s="42"/>
      <c r="T343" s="42"/>
      <c r="U343" s="42"/>
      <c r="V343" s="41"/>
    </row>
    <row r="344" spans="2:22" ht="15" x14ac:dyDescent="0.2">
      <c r="B344" s="40"/>
      <c r="C344" s="42"/>
      <c r="D344" s="42"/>
      <c r="E344" s="56"/>
      <c r="F344" s="1309"/>
      <c r="G344" s="42"/>
      <c r="H344" s="42"/>
      <c r="I344" s="42"/>
      <c r="J344" s="42"/>
      <c r="K344" s="42"/>
      <c r="L344" s="42"/>
      <c r="M344" s="42"/>
      <c r="N344" s="42"/>
      <c r="O344" s="1296"/>
      <c r="P344" s="1296"/>
      <c r="Q344" s="1296"/>
      <c r="R344" s="42"/>
      <c r="S344" s="42"/>
      <c r="T344" s="42"/>
      <c r="U344" s="42"/>
      <c r="V344" s="41"/>
    </row>
    <row r="345" spans="2:22" ht="15" x14ac:dyDescent="0.2">
      <c r="B345" s="40"/>
      <c r="C345" s="42"/>
      <c r="D345" s="42"/>
      <c r="E345" s="56"/>
      <c r="F345" s="1309"/>
      <c r="G345" s="42"/>
      <c r="H345" s="42"/>
      <c r="I345" s="42"/>
      <c r="J345" s="42"/>
      <c r="K345" s="42"/>
      <c r="L345" s="42"/>
      <c r="M345" s="42"/>
      <c r="N345" s="42"/>
      <c r="O345" s="1296"/>
      <c r="P345" s="1296"/>
      <c r="Q345" s="1296"/>
      <c r="R345" s="42"/>
      <c r="S345" s="42"/>
      <c r="T345" s="42"/>
      <c r="U345" s="42"/>
      <c r="V345" s="41"/>
    </row>
    <row r="346" spans="2:22" ht="15" x14ac:dyDescent="0.2">
      <c r="B346" s="40"/>
      <c r="C346" s="42"/>
      <c r="D346" s="42"/>
      <c r="E346" s="56"/>
      <c r="F346" s="1309"/>
      <c r="G346" s="42"/>
      <c r="H346" s="42"/>
      <c r="I346" s="42"/>
      <c r="J346" s="42"/>
      <c r="K346" s="42"/>
      <c r="L346" s="42"/>
      <c r="M346" s="42"/>
      <c r="N346" s="42"/>
      <c r="O346" s="1296"/>
      <c r="P346" s="1296"/>
      <c r="Q346" s="1296"/>
      <c r="R346" s="42"/>
      <c r="S346" s="42"/>
      <c r="T346" s="42"/>
      <c r="U346" s="42"/>
      <c r="V346" s="41"/>
    </row>
    <row r="347" spans="2:22" ht="15" x14ac:dyDescent="0.2">
      <c r="B347" s="40"/>
      <c r="C347" s="42"/>
      <c r="D347" s="42"/>
      <c r="E347" s="56"/>
      <c r="F347" s="1309"/>
      <c r="G347" s="42"/>
      <c r="H347" s="42"/>
      <c r="I347" s="42"/>
      <c r="J347" s="42"/>
      <c r="K347" s="42"/>
      <c r="L347" s="42"/>
      <c r="M347" s="42"/>
      <c r="N347" s="42"/>
      <c r="O347" s="1296"/>
      <c r="P347" s="1296"/>
      <c r="Q347" s="1296"/>
      <c r="R347" s="42"/>
      <c r="S347" s="42"/>
      <c r="T347" s="42"/>
      <c r="U347" s="42"/>
      <c r="V347" s="41"/>
    </row>
    <row r="348" spans="2:22" ht="15" x14ac:dyDescent="0.2">
      <c r="B348" s="40"/>
      <c r="C348" s="42"/>
      <c r="D348" s="42"/>
      <c r="E348" s="56"/>
      <c r="F348" s="1309"/>
      <c r="G348" s="42"/>
      <c r="H348" s="42"/>
      <c r="I348" s="42"/>
      <c r="J348" s="42"/>
      <c r="K348" s="42"/>
      <c r="L348" s="42"/>
      <c r="M348" s="42"/>
      <c r="N348" s="42"/>
      <c r="O348" s="1296"/>
      <c r="P348" s="1296"/>
      <c r="Q348" s="1296"/>
      <c r="R348" s="42"/>
      <c r="S348" s="42"/>
      <c r="T348" s="42"/>
      <c r="U348" s="42"/>
      <c r="V348" s="41"/>
    </row>
    <row r="349" spans="2:22" ht="15" x14ac:dyDescent="0.2">
      <c r="B349" s="40"/>
      <c r="C349" s="42"/>
      <c r="D349" s="42"/>
      <c r="E349" s="56"/>
      <c r="F349" s="1309"/>
      <c r="G349" s="42"/>
      <c r="H349" s="42"/>
      <c r="I349" s="42"/>
      <c r="J349" s="42"/>
      <c r="K349" s="42"/>
      <c r="L349" s="42"/>
      <c r="M349" s="42"/>
      <c r="N349" s="42"/>
      <c r="O349" s="1296"/>
      <c r="P349" s="1296"/>
      <c r="Q349" s="1296"/>
      <c r="R349" s="42"/>
      <c r="S349" s="42"/>
      <c r="T349" s="42"/>
      <c r="U349" s="42"/>
      <c r="V349" s="41"/>
    </row>
    <row r="350" spans="2:22" ht="15" x14ac:dyDescent="0.2">
      <c r="B350" s="40"/>
      <c r="C350" s="42"/>
      <c r="D350" s="42"/>
      <c r="E350" s="56"/>
      <c r="F350" s="1309"/>
      <c r="G350" s="42"/>
      <c r="H350" s="42"/>
      <c r="I350" s="42"/>
      <c r="J350" s="42"/>
      <c r="K350" s="42"/>
      <c r="L350" s="42"/>
      <c r="M350" s="42"/>
      <c r="N350" s="42"/>
      <c r="O350" s="1296"/>
      <c r="P350" s="1296"/>
      <c r="Q350" s="1296"/>
      <c r="R350" s="42"/>
      <c r="S350" s="42"/>
      <c r="T350" s="42"/>
      <c r="U350" s="42"/>
      <c r="V350" s="41"/>
    </row>
    <row r="351" spans="2:22" ht="15" x14ac:dyDescent="0.2">
      <c r="B351" s="40"/>
      <c r="C351" s="42"/>
      <c r="D351" s="42"/>
      <c r="E351" s="56"/>
      <c r="F351" s="1309"/>
      <c r="G351" s="42"/>
      <c r="H351" s="42"/>
      <c r="I351" s="42"/>
      <c r="J351" s="42"/>
      <c r="K351" s="42"/>
      <c r="L351" s="42"/>
      <c r="M351" s="42"/>
      <c r="N351" s="42"/>
      <c r="O351" s="1296"/>
      <c r="P351" s="1296"/>
      <c r="Q351" s="1296"/>
      <c r="R351" s="42"/>
      <c r="S351" s="42"/>
      <c r="T351" s="42"/>
      <c r="U351" s="42"/>
      <c r="V351" s="41"/>
    </row>
    <row r="352" spans="2:22" ht="15" x14ac:dyDescent="0.2">
      <c r="B352" s="40"/>
      <c r="C352" s="42"/>
      <c r="D352" s="42"/>
      <c r="E352" s="56"/>
      <c r="F352" s="1309"/>
      <c r="G352" s="42"/>
      <c r="H352" s="42"/>
      <c r="I352" s="42"/>
      <c r="J352" s="42"/>
      <c r="K352" s="42"/>
      <c r="L352" s="42"/>
      <c r="M352" s="42"/>
      <c r="N352" s="42"/>
      <c r="O352" s="1296"/>
      <c r="P352" s="1296"/>
      <c r="Q352" s="1296"/>
      <c r="R352" s="42"/>
      <c r="S352" s="42"/>
      <c r="T352" s="42"/>
      <c r="U352" s="42"/>
      <c r="V352" s="41"/>
    </row>
    <row r="353" spans="2:42" ht="15" x14ac:dyDescent="0.2">
      <c r="B353" s="40"/>
      <c r="C353" s="42"/>
      <c r="D353" s="42"/>
      <c r="E353" s="56"/>
      <c r="F353" s="1309"/>
      <c r="G353" s="42"/>
      <c r="H353" s="42"/>
      <c r="I353" s="42"/>
      <c r="J353" s="42"/>
      <c r="K353" s="42"/>
      <c r="L353" s="42"/>
      <c r="M353" s="42"/>
      <c r="N353" s="42"/>
      <c r="O353" s="1296"/>
      <c r="P353" s="1296"/>
      <c r="Q353" s="1296"/>
      <c r="R353" s="42"/>
      <c r="S353" s="42"/>
      <c r="T353" s="42"/>
      <c r="U353" s="42"/>
      <c r="V353" s="41"/>
    </row>
    <row r="354" spans="2:42" ht="15" x14ac:dyDescent="0.2">
      <c r="B354" s="40"/>
      <c r="C354" s="42"/>
      <c r="D354" s="42"/>
      <c r="E354" s="56"/>
      <c r="F354" s="1309"/>
      <c r="G354" s="42"/>
      <c r="H354" s="42"/>
      <c r="I354" s="42"/>
      <c r="J354" s="42"/>
      <c r="K354" s="42"/>
      <c r="L354" s="42"/>
      <c r="M354" s="42"/>
      <c r="N354" s="42"/>
      <c r="O354" s="1296"/>
      <c r="P354" s="1296"/>
      <c r="Q354" s="1296"/>
      <c r="R354" s="42"/>
      <c r="S354" s="42"/>
      <c r="T354" s="42"/>
      <c r="U354" s="42"/>
      <c r="V354" s="41"/>
    </row>
    <row r="355" spans="2:42" ht="15" x14ac:dyDescent="0.2">
      <c r="B355" s="40"/>
      <c r="C355" s="42"/>
      <c r="D355" s="42"/>
      <c r="E355" s="56"/>
      <c r="F355" s="1309"/>
      <c r="G355" s="42"/>
      <c r="H355" s="42"/>
      <c r="I355" s="42"/>
      <c r="J355" s="42"/>
      <c r="K355" s="42"/>
      <c r="L355" s="42"/>
      <c r="M355" s="42"/>
      <c r="N355" s="42"/>
      <c r="O355" s="1296"/>
      <c r="P355" s="1296"/>
      <c r="Q355" s="1296"/>
      <c r="R355" s="42"/>
      <c r="S355" s="42"/>
      <c r="T355" s="42"/>
      <c r="U355" s="42"/>
      <c r="V355" s="41"/>
      <c r="AB355" s="28"/>
      <c r="AC355" s="28"/>
      <c r="AD355" s="28"/>
      <c r="AE355" s="28"/>
      <c r="AF355" s="28"/>
      <c r="AG355" s="28"/>
      <c r="AH355" s="28"/>
      <c r="AI355" s="28"/>
      <c r="AJ355" s="28"/>
      <c r="AK355" s="28"/>
      <c r="AL355" s="28"/>
      <c r="AM355" s="28"/>
      <c r="AN355" s="28"/>
      <c r="AO355" s="28"/>
      <c r="AP355" s="28"/>
    </row>
    <row r="356" spans="2:42" ht="15" x14ac:dyDescent="0.2">
      <c r="B356" s="43"/>
      <c r="C356" s="44"/>
      <c r="D356" s="44"/>
      <c r="E356" s="57"/>
      <c r="F356" s="1305"/>
      <c r="G356" s="44"/>
      <c r="H356" s="44"/>
      <c r="I356" s="44"/>
      <c r="J356" s="44"/>
      <c r="K356" s="44"/>
      <c r="L356" s="44"/>
      <c r="M356" s="44"/>
      <c r="N356" s="44"/>
      <c r="O356" s="1297"/>
      <c r="P356" s="1297"/>
      <c r="Q356" s="1297"/>
      <c r="R356" s="44"/>
      <c r="S356" s="44"/>
      <c r="T356" s="44"/>
      <c r="U356" s="44"/>
      <c r="V356" s="45"/>
      <c r="AB356" s="28"/>
      <c r="AC356" s="28"/>
      <c r="AD356" s="28"/>
      <c r="AE356" s="28"/>
      <c r="AF356" s="28"/>
      <c r="AG356" s="28"/>
      <c r="AH356" s="28"/>
      <c r="AI356" s="28"/>
      <c r="AJ356" s="28"/>
      <c r="AK356" s="28"/>
      <c r="AL356" s="28"/>
      <c r="AM356" s="28"/>
      <c r="AN356" s="28"/>
      <c r="AO356" s="28"/>
      <c r="AP356" s="28"/>
    </row>
    <row r="357" spans="2:42" x14ac:dyDescent="0.2">
      <c r="B357" s="377"/>
      <c r="C357" s="65"/>
      <c r="D357" s="65"/>
      <c r="E357" s="69"/>
      <c r="F357" s="1299"/>
      <c r="G357" s="377" t="s">
        <v>34</v>
      </c>
      <c r="H357" s="65"/>
      <c r="I357" s="65" t="s">
        <v>39</v>
      </c>
      <c r="J357" s="65"/>
      <c r="K357" s="65"/>
      <c r="L357" s="65"/>
      <c r="M357" s="579">
        <v>43257</v>
      </c>
      <c r="N357" s="579" t="s">
        <v>127</v>
      </c>
      <c r="O357" s="1299" t="s">
        <v>33</v>
      </c>
      <c r="P357" s="1299"/>
      <c r="Q357" s="1299"/>
      <c r="R357" s="65"/>
      <c r="S357" s="65"/>
      <c r="T357" s="579">
        <v>43570</v>
      </c>
      <c r="U357" s="65"/>
      <c r="V357" s="51"/>
      <c r="AB357" s="28"/>
      <c r="AC357" s="28"/>
      <c r="AD357" s="28"/>
      <c r="AE357" s="28"/>
      <c r="AF357" s="28"/>
      <c r="AG357" s="28"/>
      <c r="AH357" s="28"/>
      <c r="AI357" s="28"/>
      <c r="AJ357" s="28"/>
      <c r="AK357" s="28"/>
      <c r="AL357" s="28"/>
      <c r="AM357" s="28"/>
      <c r="AN357" s="28"/>
      <c r="AO357" s="28"/>
      <c r="AP357" s="28"/>
    </row>
    <row r="358" spans="2:42" x14ac:dyDescent="0.2">
      <c r="B358" s="22"/>
      <c r="C358" s="9"/>
      <c r="D358" s="9"/>
      <c r="E358" s="1326" t="s">
        <v>922</v>
      </c>
      <c r="F358" s="1186"/>
      <c r="G358" s="22" t="s">
        <v>34</v>
      </c>
      <c r="H358" s="9"/>
      <c r="I358" s="9" t="s">
        <v>125</v>
      </c>
      <c r="J358" s="9"/>
      <c r="K358" s="9"/>
      <c r="L358" s="9"/>
      <c r="M358" s="504">
        <v>43518</v>
      </c>
      <c r="N358" s="9" t="s">
        <v>127</v>
      </c>
      <c r="O358" s="1186" t="s">
        <v>42</v>
      </c>
      <c r="P358" s="1186"/>
      <c r="Q358" s="1186"/>
      <c r="R358" s="9"/>
      <c r="S358" s="9"/>
      <c r="T358" s="504">
        <f>T357</f>
        <v>43570</v>
      </c>
      <c r="U358" s="9"/>
      <c r="V358" s="47"/>
    </row>
    <row r="359" spans="2:42" ht="17.25" customHeight="1" x14ac:dyDescent="0.2">
      <c r="B359" s="22"/>
      <c r="C359" s="9"/>
      <c r="D359" s="9"/>
      <c r="E359" s="1326"/>
      <c r="F359" s="1186"/>
      <c r="G359" s="22" t="s">
        <v>44</v>
      </c>
      <c r="H359" s="9"/>
      <c r="I359" s="9" t="s">
        <v>123</v>
      </c>
      <c r="J359" s="9"/>
      <c r="K359" s="9"/>
      <c r="L359" s="9"/>
      <c r="M359" s="580">
        <v>43160</v>
      </c>
      <c r="N359" s="9">
        <v>135</v>
      </c>
      <c r="O359" s="1186" t="s">
        <v>121</v>
      </c>
      <c r="P359" s="1186"/>
      <c r="Q359" s="1186"/>
      <c r="R359" s="9"/>
      <c r="S359" s="9"/>
      <c r="T359" s="504">
        <v>43570</v>
      </c>
      <c r="U359" s="9"/>
      <c r="V359" s="47"/>
    </row>
    <row r="360" spans="2:42" x14ac:dyDescent="0.2">
      <c r="B360" s="22"/>
      <c r="C360" s="9"/>
      <c r="D360" s="9"/>
      <c r="E360" s="56"/>
      <c r="F360" s="1311"/>
      <c r="G360" s="9" t="s">
        <v>34</v>
      </c>
      <c r="H360" s="9"/>
      <c r="I360" s="9" t="s">
        <v>126</v>
      </c>
      <c r="J360" s="9"/>
      <c r="K360" s="9"/>
      <c r="L360" s="9"/>
      <c r="M360" s="9" t="s">
        <v>127</v>
      </c>
      <c r="N360" s="9" t="s">
        <v>127</v>
      </c>
      <c r="O360" s="1186" t="s">
        <v>124</v>
      </c>
      <c r="P360" s="1186"/>
      <c r="Q360" s="1186"/>
      <c r="R360" s="9"/>
      <c r="S360" s="9"/>
      <c r="T360" s="504">
        <v>43570</v>
      </c>
      <c r="U360" s="9"/>
      <c r="V360" s="47"/>
    </row>
    <row r="361" spans="2:42" x14ac:dyDescent="0.2">
      <c r="B361" s="22"/>
      <c r="C361" s="9"/>
      <c r="D361" s="9"/>
      <c r="E361" s="56"/>
      <c r="F361" s="1311"/>
      <c r="G361" s="9"/>
      <c r="H361" s="9"/>
      <c r="I361" s="9"/>
      <c r="J361" s="9"/>
      <c r="K361" s="9"/>
      <c r="L361" s="9"/>
      <c r="M361" s="9"/>
      <c r="N361" s="9"/>
      <c r="O361" s="1186"/>
      <c r="P361" s="1186"/>
      <c r="Q361" s="1186"/>
      <c r="R361" s="9"/>
      <c r="S361" s="9"/>
      <c r="T361" s="504">
        <f>T360</f>
        <v>43570</v>
      </c>
      <c r="U361" s="9"/>
      <c r="V361" s="47"/>
    </row>
    <row r="362" spans="2:42" x14ac:dyDescent="0.2">
      <c r="B362" s="22"/>
      <c r="C362" s="9"/>
      <c r="D362" s="9"/>
      <c r="E362" s="56"/>
      <c r="F362" s="1311"/>
      <c r="O362" s="715"/>
      <c r="P362" s="715"/>
      <c r="Q362" s="715"/>
      <c r="R362" s="9"/>
      <c r="S362" s="9"/>
      <c r="T362" s="504"/>
      <c r="U362" s="9"/>
      <c r="V362" s="47"/>
    </row>
    <row r="363" spans="2:42" x14ac:dyDescent="0.2">
      <c r="B363" s="22"/>
      <c r="C363" s="9"/>
      <c r="D363" s="9"/>
      <c r="E363" s="56"/>
      <c r="F363" s="1311"/>
      <c r="G363" s="9"/>
      <c r="H363" s="9"/>
      <c r="I363" s="9"/>
      <c r="J363" s="9"/>
      <c r="K363" s="9"/>
      <c r="L363" s="9"/>
      <c r="M363" s="9"/>
      <c r="N363" s="9"/>
      <c r="O363" s="1186"/>
      <c r="P363" s="1186"/>
      <c r="Q363" s="1186"/>
      <c r="R363" s="9"/>
      <c r="S363" s="9"/>
      <c r="T363" s="9"/>
      <c r="U363" s="9"/>
      <c r="V363" s="47"/>
    </row>
    <row r="364" spans="2:42" x14ac:dyDescent="0.2">
      <c r="B364" s="22"/>
      <c r="C364" s="9"/>
      <c r="D364" s="9"/>
      <c r="E364" s="56"/>
      <c r="F364" s="1311"/>
      <c r="G364" s="9"/>
      <c r="H364" s="9"/>
      <c r="I364" s="9"/>
      <c r="J364" s="9"/>
      <c r="K364" s="9"/>
      <c r="L364" s="9"/>
      <c r="M364" s="9"/>
      <c r="N364" s="9"/>
      <c r="O364" s="1186"/>
      <c r="P364" s="1186"/>
      <c r="Q364" s="1186"/>
      <c r="R364" s="9"/>
      <c r="S364" s="9"/>
      <c r="T364" s="9"/>
      <c r="U364" s="9"/>
      <c r="V364" s="47"/>
    </row>
    <row r="365" spans="2:42" x14ac:dyDescent="0.2">
      <c r="B365" s="22"/>
      <c r="C365" s="9"/>
      <c r="D365" s="9"/>
      <c r="E365" s="56"/>
      <c r="F365" s="1186"/>
      <c r="G365" s="22"/>
      <c r="H365" s="9"/>
      <c r="I365" s="9"/>
      <c r="J365" s="9"/>
      <c r="K365" s="9"/>
      <c r="L365" s="9"/>
      <c r="M365" s="9"/>
      <c r="N365" s="9"/>
      <c r="O365" s="1186"/>
      <c r="P365" s="1186"/>
      <c r="Q365" s="1186"/>
      <c r="R365" s="9"/>
      <c r="S365" s="9"/>
      <c r="T365" s="9"/>
      <c r="U365" s="9"/>
      <c r="V365" s="47"/>
    </row>
    <row r="366" spans="2:42" x14ac:dyDescent="0.2">
      <c r="B366" s="22"/>
      <c r="C366" s="9"/>
      <c r="D366" s="9"/>
      <c r="E366" s="56"/>
      <c r="F366" s="1186"/>
      <c r="G366" s="22"/>
      <c r="H366" s="9"/>
      <c r="I366" s="9"/>
      <c r="J366" s="9"/>
      <c r="K366" s="9"/>
      <c r="L366" s="9"/>
      <c r="M366" s="9"/>
      <c r="N366" s="9"/>
      <c r="O366" s="1186"/>
      <c r="P366" s="1186"/>
      <c r="Q366" s="1186"/>
      <c r="R366" s="9"/>
      <c r="S366" s="9"/>
      <c r="T366" s="9"/>
      <c r="U366" s="9"/>
      <c r="V366" s="47"/>
    </row>
    <row r="367" spans="2:42" x14ac:dyDescent="0.2">
      <c r="B367" s="22"/>
      <c r="C367" s="9"/>
      <c r="D367" s="9"/>
      <c r="E367" s="56"/>
      <c r="F367" s="1186"/>
      <c r="G367" s="22"/>
      <c r="H367" s="9"/>
      <c r="I367" s="9"/>
      <c r="J367" s="9"/>
      <c r="K367" s="9"/>
      <c r="L367" s="9"/>
      <c r="M367" s="9"/>
      <c r="N367" s="9"/>
      <c r="O367" s="1186"/>
      <c r="P367" s="1186"/>
      <c r="Q367" s="1186"/>
      <c r="R367" s="9"/>
      <c r="S367" s="9"/>
      <c r="T367" s="9"/>
      <c r="U367" s="9"/>
      <c r="V367" s="47"/>
    </row>
    <row r="368" spans="2:42" x14ac:dyDescent="0.2">
      <c r="B368" s="22"/>
      <c r="C368" s="9"/>
      <c r="D368" s="9"/>
      <c r="E368" s="56"/>
      <c r="F368" s="1186"/>
      <c r="G368" s="22"/>
      <c r="H368" s="9"/>
      <c r="I368" s="9"/>
      <c r="J368" s="9"/>
      <c r="K368" s="9"/>
      <c r="L368" s="9"/>
      <c r="M368" s="9"/>
      <c r="N368" s="9"/>
      <c r="O368" s="1186"/>
      <c r="P368" s="1186"/>
      <c r="Q368" s="1186"/>
      <c r="R368" s="9"/>
      <c r="S368" s="9"/>
      <c r="T368" s="9"/>
      <c r="U368" s="9"/>
      <c r="V368" s="47"/>
    </row>
    <row r="369" spans="2:22" x14ac:dyDescent="0.2">
      <c r="B369" s="22"/>
      <c r="C369" s="9"/>
      <c r="D369" s="9"/>
      <c r="E369" s="56"/>
      <c r="F369" s="1186"/>
      <c r="G369" s="22"/>
      <c r="H369" s="9"/>
      <c r="I369" s="9"/>
      <c r="J369" s="9"/>
      <c r="K369" s="9"/>
      <c r="L369" s="9"/>
      <c r="M369" s="9"/>
      <c r="N369" s="9"/>
      <c r="O369" s="1186"/>
      <c r="P369" s="1186"/>
      <c r="Q369" s="1186"/>
      <c r="R369" s="9"/>
      <c r="S369" s="9"/>
      <c r="T369" s="9"/>
      <c r="U369" s="9"/>
      <c r="V369" s="47"/>
    </row>
    <row r="370" spans="2:22" x14ac:dyDescent="0.2">
      <c r="B370" s="22"/>
      <c r="C370" s="9"/>
      <c r="D370" s="9"/>
      <c r="E370" s="56"/>
      <c r="F370" s="1186"/>
      <c r="G370" s="22"/>
      <c r="H370" s="9"/>
      <c r="I370" s="9"/>
      <c r="J370" s="9"/>
      <c r="K370" s="9"/>
      <c r="L370" s="9"/>
      <c r="M370" s="9"/>
      <c r="N370" s="9"/>
      <c r="O370" s="1186"/>
      <c r="P370" s="1186"/>
      <c r="Q370" s="1186"/>
      <c r="R370" s="9"/>
      <c r="S370" s="9"/>
      <c r="T370" s="9"/>
      <c r="U370" s="9"/>
      <c r="V370" s="47"/>
    </row>
    <row r="371" spans="2:22" x14ac:dyDescent="0.2">
      <c r="B371" s="22"/>
      <c r="C371" s="9"/>
      <c r="D371" s="9"/>
      <c r="E371" s="56"/>
      <c r="F371" s="1186"/>
      <c r="G371" s="22"/>
      <c r="H371" s="9"/>
      <c r="I371" s="9"/>
      <c r="J371" s="9"/>
      <c r="K371" s="9"/>
      <c r="L371" s="9"/>
      <c r="M371" s="9"/>
      <c r="N371" s="9"/>
      <c r="O371" s="1186"/>
      <c r="P371" s="1186"/>
      <c r="Q371" s="1186"/>
      <c r="R371" s="9"/>
      <c r="S371" s="9"/>
      <c r="T371" s="9"/>
      <c r="U371" s="9"/>
      <c r="V371" s="47"/>
    </row>
    <row r="372" spans="2:22" x14ac:dyDescent="0.2">
      <c r="B372" s="22"/>
      <c r="C372" s="9"/>
      <c r="D372" s="9"/>
      <c r="E372" s="56"/>
      <c r="F372" s="1186"/>
      <c r="G372" s="22"/>
      <c r="H372" s="9"/>
      <c r="I372" s="9"/>
      <c r="J372" s="9"/>
      <c r="K372" s="9"/>
      <c r="L372" s="9"/>
      <c r="M372" s="9"/>
      <c r="N372" s="9"/>
      <c r="O372" s="1186"/>
      <c r="P372" s="1186"/>
      <c r="Q372" s="1186"/>
      <c r="R372" s="9"/>
      <c r="S372" s="9"/>
      <c r="T372" s="9"/>
      <c r="U372" s="9"/>
      <c r="V372" s="47"/>
    </row>
    <row r="373" spans="2:22" x14ac:dyDescent="0.2">
      <c r="B373" s="22"/>
      <c r="C373" s="9"/>
      <c r="D373" s="9"/>
      <c r="E373" s="56"/>
      <c r="F373" s="1186"/>
      <c r="G373" s="22"/>
      <c r="H373" s="9"/>
      <c r="I373" s="9"/>
      <c r="J373" s="9"/>
      <c r="K373" s="9"/>
      <c r="L373" s="9"/>
      <c r="M373" s="9"/>
      <c r="N373" s="9"/>
      <c r="O373" s="1186"/>
      <c r="P373" s="1186"/>
      <c r="Q373" s="1186"/>
      <c r="R373" s="9"/>
      <c r="S373" s="9"/>
      <c r="T373" s="9"/>
      <c r="U373" s="9"/>
      <c r="V373" s="47"/>
    </row>
    <row r="374" spans="2:22" x14ac:dyDescent="0.2">
      <c r="B374" s="22"/>
      <c r="C374" s="9"/>
      <c r="D374" s="9"/>
      <c r="E374" s="56"/>
      <c r="F374" s="1186"/>
      <c r="G374" s="22"/>
      <c r="H374" s="9"/>
      <c r="I374" s="9"/>
      <c r="J374" s="9"/>
      <c r="K374" s="9"/>
      <c r="L374" s="9"/>
      <c r="M374" s="9"/>
      <c r="N374" s="9"/>
      <c r="O374" s="1186"/>
      <c r="P374" s="1186"/>
      <c r="Q374" s="1186"/>
      <c r="R374" s="9"/>
      <c r="S374" s="9"/>
      <c r="T374" s="9"/>
      <c r="U374" s="9"/>
      <c r="V374" s="47"/>
    </row>
    <row r="375" spans="2:22" x14ac:dyDescent="0.2">
      <c r="B375" s="581"/>
      <c r="C375" s="6"/>
      <c r="D375" s="6"/>
      <c r="E375" s="69"/>
      <c r="F375" s="1310"/>
      <c r="G375" s="6" t="s">
        <v>32</v>
      </c>
      <c r="H375" s="6"/>
      <c r="I375" s="6"/>
      <c r="J375" s="6"/>
      <c r="K375" s="6"/>
      <c r="L375" s="6"/>
      <c r="M375" s="6"/>
      <c r="N375" s="6"/>
      <c r="O375" s="1298"/>
      <c r="P375" s="1298"/>
      <c r="Q375" s="1298"/>
      <c r="R375" s="6"/>
      <c r="S375" s="6"/>
      <c r="T375" s="6"/>
      <c r="U375" s="6"/>
      <c r="V375" s="51"/>
    </row>
    <row r="376" spans="2:22" ht="12" customHeight="1" x14ac:dyDescent="0.2">
      <c r="B376" s="287"/>
      <c r="C376" s="294"/>
      <c r="D376" s="294"/>
      <c r="E376" s="56"/>
      <c r="F376" s="1309"/>
      <c r="G376" s="294" t="s">
        <v>40</v>
      </c>
      <c r="H376" s="294"/>
      <c r="I376" s="294" t="s">
        <v>41</v>
      </c>
      <c r="J376" s="294"/>
      <c r="K376" s="294"/>
      <c r="L376" s="294"/>
      <c r="M376" s="294" t="s">
        <v>36</v>
      </c>
      <c r="N376" s="294" t="s">
        <v>122</v>
      </c>
      <c r="O376" s="1296" t="s">
        <v>38</v>
      </c>
      <c r="P376" s="1296"/>
      <c r="Q376" s="1296"/>
      <c r="R376" s="294"/>
      <c r="S376" s="294"/>
      <c r="T376" s="294" t="s">
        <v>37</v>
      </c>
      <c r="U376" s="294"/>
      <c r="V376" s="47"/>
    </row>
    <row r="377" spans="2:22" ht="21.75" customHeight="1" x14ac:dyDescent="0.25">
      <c r="B377" s="1329" t="s">
        <v>963</v>
      </c>
      <c r="C377" s="1330"/>
      <c r="D377" s="294"/>
      <c r="E377" s="1326" t="s">
        <v>922</v>
      </c>
      <c r="F377" s="1312"/>
      <c r="G377" s="1194" t="s">
        <v>44</v>
      </c>
      <c r="H377" s="1194"/>
      <c r="I377" s="1194" t="s">
        <v>123</v>
      </c>
      <c r="J377" s="1194"/>
      <c r="K377" s="1194"/>
      <c r="L377" s="1194"/>
      <c r="M377" s="1195">
        <v>43160</v>
      </c>
      <c r="N377" s="1194">
        <v>143</v>
      </c>
      <c r="O377" s="1300" t="s">
        <v>121</v>
      </c>
      <c r="P377" s="1301"/>
      <c r="Q377" s="1301"/>
      <c r="R377" s="1194"/>
      <c r="S377" s="1194"/>
      <c r="T377" s="1196">
        <v>43570</v>
      </c>
      <c r="U377" s="1194"/>
      <c r="V377" s="47"/>
    </row>
    <row r="378" spans="2:22" s="679" customFormat="1" x14ac:dyDescent="0.2">
      <c r="B378" s="287"/>
      <c r="C378" s="294"/>
      <c r="D378" s="294"/>
      <c r="E378" s="1326"/>
      <c r="F378" s="1312"/>
      <c r="G378" s="1194"/>
      <c r="H378" s="1194"/>
      <c r="I378" s="1194"/>
      <c r="J378" s="1194"/>
      <c r="K378" s="1194"/>
      <c r="L378" s="1194"/>
      <c r="M378" s="1195"/>
      <c r="N378" s="1194"/>
      <c r="O378" s="1301"/>
      <c r="P378" s="1301"/>
      <c r="Q378" s="1301"/>
      <c r="R378" s="1194"/>
      <c r="S378" s="1194"/>
      <c r="T378" s="1196"/>
      <c r="U378" s="1194"/>
      <c r="V378" s="47"/>
    </row>
    <row r="379" spans="2:22" s="679" customFormat="1" x14ac:dyDescent="0.2">
      <c r="B379" s="287"/>
      <c r="C379" s="294"/>
      <c r="D379" s="294"/>
      <c r="E379" s="50"/>
      <c r="F379" s="1312"/>
      <c r="G379" s="1194"/>
      <c r="H379" s="1194"/>
      <c r="I379" s="1194"/>
      <c r="J379" s="1194"/>
      <c r="K379" s="1194"/>
      <c r="L379" s="1194"/>
      <c r="M379" s="1195"/>
      <c r="N379" s="1194"/>
      <c r="O379" s="1301"/>
      <c r="P379" s="1301"/>
      <c r="Q379" s="1301"/>
      <c r="R379" s="1194"/>
      <c r="S379" s="1194"/>
      <c r="T379" s="1196"/>
      <c r="U379" s="1194"/>
      <c r="V379" s="47"/>
    </row>
    <row r="380" spans="2:22" s="679" customFormat="1" x14ac:dyDescent="0.2">
      <c r="B380" s="287"/>
      <c r="C380" s="294"/>
      <c r="D380" s="294"/>
      <c r="E380" s="50"/>
      <c r="F380" s="1312"/>
      <c r="G380" s="1194"/>
      <c r="H380" s="1194"/>
      <c r="I380" s="1194"/>
      <c r="J380" s="1194"/>
      <c r="K380" s="1194"/>
      <c r="L380" s="1194"/>
      <c r="M380" s="1195"/>
      <c r="N380" s="1194"/>
      <c r="O380" s="1301"/>
      <c r="P380" s="1301"/>
      <c r="Q380" s="1301"/>
      <c r="R380" s="1194"/>
      <c r="S380" s="1194"/>
      <c r="T380" s="1196"/>
      <c r="U380" s="1194"/>
      <c r="V380" s="47"/>
    </row>
    <row r="381" spans="2:22" s="679" customFormat="1" x14ac:dyDescent="0.2">
      <c r="B381" s="287"/>
      <c r="C381" s="294"/>
      <c r="D381" s="294"/>
      <c r="E381" s="50"/>
      <c r="F381" s="1312"/>
      <c r="G381" s="1194"/>
      <c r="H381" s="1194"/>
      <c r="I381" s="1194"/>
      <c r="J381" s="1194"/>
      <c r="K381" s="1194"/>
      <c r="L381" s="1194"/>
      <c r="M381" s="1195"/>
      <c r="N381" s="1194"/>
      <c r="O381" s="1301"/>
      <c r="P381" s="1301"/>
      <c r="Q381" s="1301"/>
      <c r="R381" s="1194"/>
      <c r="S381" s="1194"/>
      <c r="T381" s="1196"/>
      <c r="U381" s="1194"/>
      <c r="V381" s="47"/>
    </row>
    <row r="382" spans="2:22" s="679" customFormat="1" x14ac:dyDescent="0.2">
      <c r="B382" s="287"/>
      <c r="C382" s="294"/>
      <c r="D382" s="294"/>
      <c r="E382" s="50"/>
      <c r="F382" s="1312"/>
      <c r="G382" s="1194"/>
      <c r="H382" s="1194"/>
      <c r="I382" s="1194"/>
      <c r="J382" s="1194"/>
      <c r="K382" s="1194"/>
      <c r="L382" s="1194"/>
      <c r="M382" s="1195"/>
      <c r="N382" s="1194"/>
      <c r="O382" s="1301"/>
      <c r="P382" s="1301"/>
      <c r="Q382" s="1301"/>
      <c r="R382" s="1194"/>
      <c r="S382" s="1194"/>
      <c r="T382" s="1196"/>
      <c r="U382" s="1194"/>
      <c r="V382" s="47"/>
    </row>
    <row r="383" spans="2:22" s="679" customFormat="1" x14ac:dyDescent="0.2">
      <c r="B383" s="287"/>
      <c r="C383" s="294"/>
      <c r="D383" s="294"/>
      <c r="E383" s="50"/>
      <c r="F383" s="1312"/>
      <c r="G383" s="1194"/>
      <c r="H383" s="1194"/>
      <c r="I383" s="1194"/>
      <c r="J383" s="1194"/>
      <c r="K383" s="1194"/>
      <c r="L383" s="1194"/>
      <c r="M383" s="1195"/>
      <c r="N383" s="1194"/>
      <c r="O383" s="1301"/>
      <c r="P383" s="1301"/>
      <c r="Q383" s="1301"/>
      <c r="R383" s="1194"/>
      <c r="S383" s="1194"/>
      <c r="T383" s="1196"/>
      <c r="U383" s="1194"/>
      <c r="V383" s="47"/>
    </row>
    <row r="384" spans="2:22" s="679" customFormat="1" x14ac:dyDescent="0.2">
      <c r="B384" s="287"/>
      <c r="C384" s="294"/>
      <c r="D384" s="294"/>
      <c r="E384" s="50"/>
      <c r="F384" s="1312"/>
      <c r="G384" s="1194"/>
      <c r="H384" s="1194"/>
      <c r="I384" s="1194"/>
      <c r="J384" s="1194"/>
      <c r="K384" s="1194"/>
      <c r="L384" s="1194"/>
      <c r="M384" s="1195"/>
      <c r="N384" s="1194"/>
      <c r="O384" s="1301"/>
      <c r="P384" s="1301"/>
      <c r="Q384" s="1301"/>
      <c r="R384" s="1194"/>
      <c r="S384" s="1194"/>
      <c r="T384" s="1196"/>
      <c r="U384" s="1194"/>
      <c r="V384" s="47"/>
    </row>
    <row r="385" spans="2:22" s="679" customFormat="1" x14ac:dyDescent="0.2">
      <c r="B385" s="287"/>
      <c r="C385" s="294"/>
      <c r="D385" s="294"/>
      <c r="E385" s="50"/>
      <c r="F385" s="1312"/>
      <c r="G385" s="1194"/>
      <c r="H385" s="1194"/>
      <c r="I385" s="1194"/>
      <c r="J385" s="1194"/>
      <c r="K385" s="1194"/>
      <c r="L385" s="1194"/>
      <c r="M385" s="1195"/>
      <c r="N385" s="1194"/>
      <c r="O385" s="1301"/>
      <c r="P385" s="1301"/>
      <c r="Q385" s="1301"/>
      <c r="R385" s="1194"/>
      <c r="S385" s="1194"/>
      <c r="T385" s="1196"/>
      <c r="U385" s="1194"/>
      <c r="V385" s="47"/>
    </row>
    <row r="386" spans="2:22" s="679" customFormat="1" x14ac:dyDescent="0.2">
      <c r="B386" s="287"/>
      <c r="C386" s="294"/>
      <c r="D386" s="294"/>
      <c r="E386" s="50"/>
      <c r="F386" s="1312"/>
      <c r="G386" s="1194"/>
      <c r="H386" s="1194"/>
      <c r="I386" s="1194"/>
      <c r="J386" s="1194"/>
      <c r="K386" s="1194"/>
      <c r="L386" s="1194"/>
      <c r="M386" s="1195"/>
      <c r="N386" s="1194"/>
      <c r="O386" s="1301"/>
      <c r="P386" s="1301"/>
      <c r="Q386" s="1301"/>
      <c r="R386" s="1194"/>
      <c r="S386" s="1194"/>
      <c r="T386" s="1196"/>
      <c r="U386" s="1194"/>
      <c r="V386" s="47"/>
    </row>
    <row r="387" spans="2:22" s="679" customFormat="1" x14ac:dyDescent="0.2">
      <c r="B387" s="287"/>
      <c r="C387" s="294"/>
      <c r="D387" s="294"/>
      <c r="E387" s="50"/>
      <c r="F387" s="1312"/>
      <c r="G387" s="1194"/>
      <c r="H387" s="1194"/>
      <c r="I387" s="1194"/>
      <c r="J387" s="1194"/>
      <c r="K387" s="1194"/>
      <c r="L387" s="1194"/>
      <c r="M387" s="1195"/>
      <c r="N387" s="1194"/>
      <c r="O387" s="1301"/>
      <c r="P387" s="1301"/>
      <c r="Q387" s="1301"/>
      <c r="R387" s="1194"/>
      <c r="S387" s="1194"/>
      <c r="T387" s="1196"/>
      <c r="U387" s="1194"/>
      <c r="V387" s="47"/>
    </row>
    <row r="388" spans="2:22" s="679" customFormat="1" x14ac:dyDescent="0.2">
      <c r="B388" s="287"/>
      <c r="C388" s="294"/>
      <c r="D388" s="294"/>
      <c r="E388" s="50"/>
      <c r="F388" s="1312"/>
      <c r="G388" s="1194"/>
      <c r="H388" s="1194"/>
      <c r="I388" s="1194"/>
      <c r="J388" s="1194"/>
      <c r="K388" s="1194"/>
      <c r="L388" s="1194"/>
      <c r="M388" s="1195"/>
      <c r="N388" s="1194"/>
      <c r="O388" s="1301"/>
      <c r="P388" s="1301"/>
      <c r="Q388" s="1301"/>
      <c r="R388" s="1194"/>
      <c r="S388" s="1194"/>
      <c r="T388" s="1196"/>
      <c r="U388" s="1194"/>
      <c r="V388" s="47"/>
    </row>
    <row r="389" spans="2:22" s="679" customFormat="1" x14ac:dyDescent="0.2">
      <c r="B389" s="287"/>
      <c r="C389" s="294"/>
      <c r="D389" s="294"/>
      <c r="E389" s="50"/>
      <c r="F389" s="1312"/>
      <c r="G389" s="1194"/>
      <c r="H389" s="1194"/>
      <c r="I389" s="1194"/>
      <c r="J389" s="1194"/>
      <c r="K389" s="1194"/>
      <c r="L389" s="1194"/>
      <c r="M389" s="1195"/>
      <c r="N389" s="1194"/>
      <c r="O389" s="1301"/>
      <c r="P389" s="1301"/>
      <c r="Q389" s="1301"/>
      <c r="R389" s="1194"/>
      <c r="S389" s="1194"/>
      <c r="T389" s="1196"/>
      <c r="U389" s="1194"/>
      <c r="V389" s="47"/>
    </row>
    <row r="390" spans="2:22" s="679" customFormat="1" x14ac:dyDescent="0.2">
      <c r="B390" s="287"/>
      <c r="C390" s="294"/>
      <c r="D390" s="294"/>
      <c r="E390" s="50"/>
      <c r="F390" s="1312"/>
      <c r="G390" s="1194"/>
      <c r="H390" s="1194"/>
      <c r="I390" s="1194"/>
      <c r="J390" s="1194"/>
      <c r="K390" s="1194"/>
      <c r="L390" s="1194"/>
      <c r="M390" s="1195"/>
      <c r="N390" s="1194"/>
      <c r="O390" s="1301"/>
      <c r="P390" s="1301"/>
      <c r="Q390" s="1301"/>
      <c r="R390" s="1194"/>
      <c r="S390" s="1194"/>
      <c r="T390" s="1196"/>
      <c r="U390" s="1194"/>
      <c r="V390" s="47"/>
    </row>
    <row r="391" spans="2:22" s="679" customFormat="1" x14ac:dyDescent="0.2">
      <c r="B391" s="287"/>
      <c r="C391" s="294"/>
      <c r="D391" s="294"/>
      <c r="E391" s="50"/>
      <c r="F391" s="1312"/>
      <c r="G391" s="1194"/>
      <c r="H391" s="1194"/>
      <c r="I391" s="1194"/>
      <c r="J391" s="1194"/>
      <c r="K391" s="1194"/>
      <c r="L391" s="1194"/>
      <c r="M391" s="1195"/>
      <c r="N391" s="1194"/>
      <c r="O391" s="1301"/>
      <c r="P391" s="1301"/>
      <c r="Q391" s="1301"/>
      <c r="R391" s="1194"/>
      <c r="S391" s="1194"/>
      <c r="T391" s="1196"/>
      <c r="U391" s="1194"/>
      <c r="V391" s="47"/>
    </row>
    <row r="392" spans="2:22" s="679" customFormat="1" x14ac:dyDescent="0.2">
      <c r="B392" s="287"/>
      <c r="C392" s="294"/>
      <c r="D392" s="294"/>
      <c r="E392" s="50"/>
      <c r="F392" s="1312"/>
      <c r="G392" s="1194"/>
      <c r="H392" s="1194"/>
      <c r="I392" s="1194"/>
      <c r="J392" s="1194"/>
      <c r="K392" s="1194"/>
      <c r="L392" s="1194"/>
      <c r="M392" s="1195"/>
      <c r="N392" s="1194"/>
      <c r="O392" s="1301"/>
      <c r="P392" s="1301"/>
      <c r="Q392" s="1301"/>
      <c r="R392" s="1194"/>
      <c r="S392" s="1194"/>
      <c r="T392" s="1196"/>
      <c r="U392" s="1194"/>
      <c r="V392" s="47"/>
    </row>
    <row r="393" spans="2:22" s="679" customFormat="1" x14ac:dyDescent="0.2">
      <c r="B393" s="287"/>
      <c r="C393" s="294"/>
      <c r="D393" s="294"/>
      <c r="E393" s="50"/>
      <c r="F393" s="1312"/>
      <c r="G393" s="1194"/>
      <c r="H393" s="1194"/>
      <c r="I393" s="1194"/>
      <c r="J393" s="1194"/>
      <c r="K393" s="1194"/>
      <c r="L393" s="1194"/>
      <c r="M393" s="1195"/>
      <c r="N393" s="1194"/>
      <c r="O393" s="1301"/>
      <c r="P393" s="1301"/>
      <c r="Q393" s="1301"/>
      <c r="R393" s="1194"/>
      <c r="S393" s="1194"/>
      <c r="T393" s="1196"/>
      <c r="U393" s="1194"/>
      <c r="V393" s="47"/>
    </row>
    <row r="394" spans="2:22" s="679" customFormat="1" x14ac:dyDescent="0.2">
      <c r="B394" s="287"/>
      <c r="C394" s="294"/>
      <c r="D394" s="294"/>
      <c r="E394" s="50"/>
      <c r="F394" s="1312"/>
      <c r="G394" s="1194"/>
      <c r="H394" s="1194"/>
      <c r="I394" s="1194"/>
      <c r="J394" s="1194"/>
      <c r="K394" s="1194"/>
      <c r="L394" s="1194"/>
      <c r="M394" s="1195"/>
      <c r="N394" s="1194"/>
      <c r="O394" s="1301"/>
      <c r="P394" s="1301"/>
      <c r="Q394" s="1301"/>
      <c r="R394" s="1194"/>
      <c r="S394" s="1194"/>
      <c r="T394" s="1196"/>
      <c r="U394" s="1194"/>
      <c r="V394" s="47"/>
    </row>
    <row r="395" spans="2:22" s="679" customFormat="1" x14ac:dyDescent="0.2">
      <c r="B395" s="287"/>
      <c r="C395" s="294"/>
      <c r="D395" s="294"/>
      <c r="E395" s="50"/>
      <c r="F395" s="1312"/>
      <c r="G395" s="1194"/>
      <c r="H395" s="1194"/>
      <c r="I395" s="1194"/>
      <c r="J395" s="1194"/>
      <c r="K395" s="1194"/>
      <c r="L395" s="1194"/>
      <c r="M395" s="1195"/>
      <c r="N395" s="1194"/>
      <c r="O395" s="1301"/>
      <c r="P395" s="1301"/>
      <c r="Q395" s="1301"/>
      <c r="R395" s="1194"/>
      <c r="S395" s="1194"/>
      <c r="T395" s="1196"/>
      <c r="U395" s="1194"/>
      <c r="V395" s="47"/>
    </row>
    <row r="396" spans="2:22" s="679" customFormat="1" x14ac:dyDescent="0.2">
      <c r="B396" s="287"/>
      <c r="C396" s="294"/>
      <c r="D396" s="294"/>
      <c r="E396" s="50"/>
      <c r="F396" s="1312"/>
      <c r="G396" s="1194"/>
      <c r="H396" s="1194"/>
      <c r="I396" s="1194"/>
      <c r="J396" s="1194"/>
      <c r="K396" s="1194"/>
      <c r="L396" s="1194"/>
      <c r="M396" s="1195"/>
      <c r="N396" s="1194"/>
      <c r="O396" s="1301"/>
      <c r="P396" s="1301"/>
      <c r="Q396" s="1301"/>
      <c r="R396" s="1194"/>
      <c r="S396" s="1194"/>
      <c r="T396" s="1196"/>
      <c r="U396" s="1194"/>
      <c r="V396" s="47"/>
    </row>
    <row r="397" spans="2:22" s="679" customFormat="1" x14ac:dyDescent="0.2">
      <c r="B397" s="287"/>
      <c r="C397" s="294"/>
      <c r="D397" s="294"/>
      <c r="E397" s="50"/>
      <c r="F397" s="1312"/>
      <c r="G397" s="1194"/>
      <c r="H397" s="1194"/>
      <c r="I397" s="1194"/>
      <c r="J397" s="1194"/>
      <c r="K397" s="1194"/>
      <c r="L397" s="1194"/>
      <c r="M397" s="1195"/>
      <c r="N397" s="1194"/>
      <c r="O397" s="1301"/>
      <c r="P397" s="1301"/>
      <c r="Q397" s="1301"/>
      <c r="R397" s="1194"/>
      <c r="S397" s="1194"/>
      <c r="T397" s="1196"/>
      <c r="U397" s="1194"/>
      <c r="V397" s="47"/>
    </row>
    <row r="398" spans="2:22" s="679" customFormat="1" x14ac:dyDescent="0.2">
      <c r="B398" s="287"/>
      <c r="C398" s="294"/>
      <c r="D398" s="294"/>
      <c r="E398" s="50"/>
      <c r="F398" s="1312"/>
      <c r="G398" s="1194"/>
      <c r="H398" s="1194"/>
      <c r="I398" s="1194"/>
      <c r="J398" s="1194"/>
      <c r="K398" s="1194"/>
      <c r="L398" s="1194"/>
      <c r="M398" s="1195"/>
      <c r="N398" s="1194"/>
      <c r="O398" s="1301"/>
      <c r="P398" s="1301"/>
      <c r="Q398" s="1301"/>
      <c r="R398" s="1194"/>
      <c r="S398" s="1194"/>
      <c r="T398" s="1196"/>
      <c r="U398" s="1194"/>
      <c r="V398" s="47"/>
    </row>
    <row r="399" spans="2:22" s="679" customFormat="1" x14ac:dyDescent="0.2">
      <c r="B399" s="287"/>
      <c r="C399" s="294"/>
      <c r="D399" s="294"/>
      <c r="E399" s="50"/>
      <c r="F399" s="1312"/>
      <c r="G399" s="1194"/>
      <c r="H399" s="1194"/>
      <c r="I399" s="1194"/>
      <c r="J399" s="1194"/>
      <c r="K399" s="1194"/>
      <c r="L399" s="1194"/>
      <c r="M399" s="1195"/>
      <c r="N399" s="1194"/>
      <c r="O399" s="1301"/>
      <c r="P399" s="1301"/>
      <c r="Q399" s="1301"/>
      <c r="R399" s="1194"/>
      <c r="S399" s="1194"/>
      <c r="T399" s="1196"/>
      <c r="U399" s="1194"/>
      <c r="V399" s="47"/>
    </row>
    <row r="400" spans="2:22" s="679" customFormat="1" x14ac:dyDescent="0.2">
      <c r="B400" s="287"/>
      <c r="C400" s="294"/>
      <c r="D400" s="294"/>
      <c r="E400" s="50"/>
      <c r="F400" s="1312"/>
      <c r="G400" s="1194"/>
      <c r="H400" s="1194"/>
      <c r="I400" s="1194"/>
      <c r="J400" s="1194"/>
      <c r="K400" s="1194"/>
      <c r="L400" s="1194"/>
      <c r="M400" s="1195"/>
      <c r="N400" s="1194"/>
      <c r="O400" s="1301"/>
      <c r="P400" s="1301"/>
      <c r="Q400" s="1301"/>
      <c r="R400" s="1194"/>
      <c r="S400" s="1194"/>
      <c r="T400" s="1196"/>
      <c r="U400" s="1194"/>
      <c r="V400" s="47"/>
    </row>
    <row r="401" spans="2:22" s="679" customFormat="1" x14ac:dyDescent="0.2">
      <c r="B401" s="288"/>
      <c r="C401" s="7"/>
      <c r="D401" s="7"/>
      <c r="E401" s="1197"/>
      <c r="F401" s="1313"/>
      <c r="G401" s="52"/>
      <c r="H401" s="52"/>
      <c r="I401" s="52"/>
      <c r="J401" s="52"/>
      <c r="K401" s="52"/>
      <c r="L401" s="52"/>
      <c r="M401" s="582"/>
      <c r="N401" s="52"/>
      <c r="O401" s="1302"/>
      <c r="P401" s="1302"/>
      <c r="Q401" s="1302"/>
      <c r="R401" s="52"/>
      <c r="S401" s="52"/>
      <c r="T401" s="583"/>
      <c r="U401" s="52"/>
      <c r="V401" s="49"/>
    </row>
    <row r="402" spans="2:22" x14ac:dyDescent="0.2">
      <c r="B402" s="22"/>
      <c r="C402" s="9"/>
      <c r="D402" s="9"/>
      <c r="E402" s="294"/>
      <c r="F402" s="1311"/>
      <c r="G402" s="9"/>
      <c r="H402" s="9"/>
      <c r="I402" s="9"/>
      <c r="J402" s="9"/>
      <c r="K402" s="9"/>
      <c r="L402" s="9"/>
      <c r="M402" s="9"/>
      <c r="N402" s="9"/>
      <c r="O402" s="1186"/>
      <c r="P402" s="1186"/>
      <c r="Q402" s="1186"/>
      <c r="R402" s="9"/>
      <c r="S402" s="9"/>
      <c r="T402" s="9"/>
      <c r="U402" s="9"/>
      <c r="V402" s="47"/>
    </row>
    <row r="403" spans="2:22" ht="15.75" x14ac:dyDescent="0.25">
      <c r="B403" s="1329" t="s">
        <v>964</v>
      </c>
      <c r="C403" s="1330"/>
      <c r="D403" s="9"/>
      <c r="E403" s="1326" t="s">
        <v>922</v>
      </c>
      <c r="F403" s="1049" t="s">
        <v>992</v>
      </c>
      <c r="G403" s="9"/>
      <c r="H403" s="9"/>
      <c r="I403" s="9"/>
      <c r="J403" s="9"/>
      <c r="K403" s="9"/>
      <c r="L403" s="9"/>
      <c r="M403" s="9"/>
      <c r="N403" s="9"/>
      <c r="O403" s="9"/>
      <c r="P403" s="9"/>
      <c r="Q403" s="9"/>
      <c r="R403" s="9"/>
      <c r="S403" s="9"/>
      <c r="T403" s="9"/>
      <c r="U403" s="9"/>
      <c r="V403" s="47"/>
    </row>
    <row r="404" spans="2:22" x14ac:dyDescent="0.2">
      <c r="B404" s="22"/>
      <c r="C404" s="9"/>
      <c r="D404" s="9"/>
      <c r="E404" s="1326"/>
      <c r="F404" s="1311"/>
      <c r="G404" s="9"/>
      <c r="H404" s="9"/>
      <c r="I404" s="9"/>
      <c r="J404" s="9"/>
      <c r="K404" s="9"/>
      <c r="L404" s="9"/>
      <c r="M404" s="9"/>
      <c r="N404" s="9"/>
      <c r="O404" s="9"/>
      <c r="P404" s="9"/>
      <c r="Q404" s="9"/>
      <c r="R404" s="9"/>
      <c r="S404" s="9"/>
      <c r="T404" s="9"/>
      <c r="U404" s="9"/>
      <c r="V404" s="47"/>
    </row>
    <row r="405" spans="2:22" x14ac:dyDescent="0.2">
      <c r="B405" s="22"/>
      <c r="C405" s="9"/>
      <c r="D405" s="9"/>
      <c r="E405" s="294"/>
      <c r="F405" s="1311"/>
      <c r="G405" s="9"/>
      <c r="H405" s="9"/>
      <c r="I405" s="9"/>
      <c r="J405" s="9"/>
      <c r="K405" s="9"/>
      <c r="L405" s="9"/>
      <c r="M405" s="9"/>
      <c r="N405" s="9"/>
      <c r="O405" s="9"/>
      <c r="P405" s="9"/>
      <c r="Q405" s="9"/>
      <c r="R405" s="9"/>
      <c r="S405" s="9"/>
      <c r="T405" s="9"/>
      <c r="U405" s="9"/>
      <c r="V405" s="47"/>
    </row>
    <row r="406" spans="2:22" x14ac:dyDescent="0.2">
      <c r="B406" s="22"/>
      <c r="C406" s="9"/>
      <c r="D406" s="9"/>
      <c r="E406" s="294"/>
      <c r="F406" s="1311"/>
      <c r="G406" s="9"/>
      <c r="H406" s="9"/>
      <c r="I406" s="9"/>
      <c r="J406" s="9"/>
      <c r="K406" s="9"/>
      <c r="L406" s="9"/>
      <c r="M406" s="9"/>
      <c r="N406" s="9"/>
      <c r="O406" s="9"/>
      <c r="P406" s="9"/>
      <c r="Q406" s="9"/>
      <c r="R406" s="9"/>
      <c r="S406" s="9"/>
      <c r="T406" s="9"/>
      <c r="U406" s="9"/>
      <c r="V406" s="47"/>
    </row>
    <row r="407" spans="2:22" x14ac:dyDescent="0.2">
      <c r="B407" s="22"/>
      <c r="C407" s="9"/>
      <c r="D407" s="9"/>
      <c r="E407" s="294"/>
      <c r="F407" s="1311"/>
      <c r="G407" s="9"/>
      <c r="H407" s="9"/>
      <c r="I407" s="9"/>
      <c r="J407" s="9"/>
      <c r="K407" s="9"/>
      <c r="L407" s="9"/>
      <c r="M407" s="9"/>
      <c r="N407" s="9"/>
      <c r="O407" s="9"/>
      <c r="P407" s="9"/>
      <c r="Q407" s="9"/>
      <c r="R407" s="9"/>
      <c r="S407" s="9"/>
      <c r="T407" s="9"/>
      <c r="U407" s="9"/>
      <c r="V407" s="47"/>
    </row>
    <row r="408" spans="2:22" x14ac:dyDescent="0.2">
      <c r="B408" s="22"/>
      <c r="C408" s="9"/>
      <c r="D408" s="9"/>
      <c r="E408" s="294"/>
      <c r="F408" s="1311"/>
      <c r="G408" s="9"/>
      <c r="H408" s="9"/>
      <c r="I408" s="9"/>
      <c r="J408" s="9"/>
      <c r="K408" s="9"/>
      <c r="L408" s="9"/>
      <c r="M408" s="9"/>
      <c r="N408" s="9"/>
      <c r="O408" s="9"/>
      <c r="P408" s="9"/>
      <c r="Q408" s="9"/>
      <c r="R408" s="9"/>
      <c r="S408" s="9"/>
      <c r="T408" s="9"/>
      <c r="U408" s="9"/>
      <c r="V408" s="47"/>
    </row>
    <row r="409" spans="2:22" x14ac:dyDescent="0.2">
      <c r="B409" s="22"/>
      <c r="C409" s="9"/>
      <c r="D409" s="9"/>
      <c r="E409" s="294"/>
      <c r="F409" s="1311"/>
      <c r="G409" s="9"/>
      <c r="H409" s="9"/>
      <c r="I409" s="9"/>
      <c r="J409" s="9"/>
      <c r="K409" s="9"/>
      <c r="L409" s="9"/>
      <c r="M409" s="9"/>
      <c r="N409" s="9"/>
      <c r="O409" s="9"/>
      <c r="P409" s="9"/>
      <c r="Q409" s="9"/>
      <c r="R409" s="9"/>
      <c r="S409" s="9"/>
      <c r="T409" s="9"/>
      <c r="U409" s="9"/>
      <c r="V409" s="47"/>
    </row>
    <row r="410" spans="2:22" x14ac:dyDescent="0.2">
      <c r="B410" s="22"/>
      <c r="C410" s="9"/>
      <c r="D410" s="9"/>
      <c r="E410" s="294"/>
      <c r="F410" s="1311"/>
      <c r="G410" s="9"/>
      <c r="H410" s="9"/>
      <c r="I410" s="9"/>
      <c r="J410" s="9"/>
      <c r="K410" s="9"/>
      <c r="L410" s="9"/>
      <c r="M410" s="9"/>
      <c r="N410" s="9"/>
      <c r="O410" s="9"/>
      <c r="P410" s="9"/>
      <c r="Q410" s="9"/>
      <c r="R410" s="9"/>
      <c r="S410" s="9"/>
      <c r="T410" s="9"/>
      <c r="U410" s="9"/>
      <c r="V410" s="47"/>
    </row>
    <row r="411" spans="2:22" x14ac:dyDescent="0.2">
      <c r="B411" s="22"/>
      <c r="C411" s="9"/>
      <c r="D411" s="9"/>
      <c r="E411" s="294"/>
      <c r="F411" s="1311"/>
      <c r="G411" s="9"/>
      <c r="H411" s="9"/>
      <c r="I411" s="9"/>
      <c r="J411" s="9"/>
      <c r="K411" s="9"/>
      <c r="L411" s="9"/>
      <c r="M411" s="9"/>
      <c r="N411" s="9"/>
      <c r="O411" s="9"/>
      <c r="P411" s="9"/>
      <c r="Q411" s="9"/>
      <c r="R411" s="9"/>
      <c r="S411" s="9"/>
      <c r="T411" s="9"/>
      <c r="U411" s="9"/>
      <c r="V411" s="47"/>
    </row>
    <row r="412" spans="2:22" x14ac:dyDescent="0.2">
      <c r="B412" s="22"/>
      <c r="C412" s="9"/>
      <c r="D412" s="9"/>
      <c r="E412" s="294"/>
      <c r="F412" s="1311"/>
      <c r="G412" s="9"/>
      <c r="H412" s="9"/>
      <c r="I412" s="9"/>
      <c r="J412" s="9"/>
      <c r="K412" s="9"/>
      <c r="L412" s="9"/>
      <c r="M412" s="9"/>
      <c r="N412" s="9"/>
      <c r="O412" s="9"/>
      <c r="P412" s="9"/>
      <c r="Q412" s="9"/>
      <c r="R412" s="9"/>
      <c r="S412" s="9"/>
      <c r="T412" s="9"/>
      <c r="U412" s="9"/>
      <c r="V412" s="47"/>
    </row>
    <row r="413" spans="2:22" x14ac:dyDescent="0.2">
      <c r="B413" s="22"/>
      <c r="C413" s="9"/>
      <c r="D413" s="9"/>
      <c r="E413" s="294"/>
      <c r="F413" s="1311"/>
      <c r="G413" s="9"/>
      <c r="H413" s="9"/>
      <c r="I413" s="9"/>
      <c r="J413" s="9"/>
      <c r="K413" s="9"/>
      <c r="L413" s="9"/>
      <c r="M413" s="9"/>
      <c r="N413" s="9"/>
      <c r="O413" s="9"/>
      <c r="P413" s="9"/>
      <c r="Q413" s="9"/>
      <c r="R413" s="9"/>
      <c r="S413" s="9"/>
      <c r="T413" s="9"/>
      <c r="U413" s="9"/>
      <c r="V413" s="47"/>
    </row>
    <row r="414" spans="2:22" x14ac:dyDescent="0.2">
      <c r="B414" s="22"/>
      <c r="C414" s="9"/>
      <c r="D414" s="9"/>
      <c r="E414" s="294"/>
      <c r="F414" s="1311"/>
      <c r="G414" s="9"/>
      <c r="H414" s="9"/>
      <c r="I414" s="9"/>
      <c r="J414" s="9"/>
      <c r="K414" s="9"/>
      <c r="L414" s="9"/>
      <c r="M414" s="9"/>
      <c r="N414" s="9"/>
      <c r="O414" s="9"/>
      <c r="P414" s="9"/>
      <c r="Q414" s="9"/>
      <c r="R414" s="9"/>
      <c r="S414" s="9"/>
      <c r="T414" s="9"/>
      <c r="U414" s="9"/>
      <c r="V414" s="47"/>
    </row>
    <row r="415" spans="2:22" x14ac:dyDescent="0.2">
      <c r="B415" s="22"/>
      <c r="C415" s="9"/>
      <c r="D415" s="9"/>
      <c r="E415" s="294"/>
      <c r="F415" s="1311"/>
      <c r="G415" s="9"/>
      <c r="H415" s="9"/>
      <c r="I415" s="9"/>
      <c r="J415" s="9"/>
      <c r="K415" s="9"/>
      <c r="L415" s="9"/>
      <c r="M415" s="9"/>
      <c r="N415" s="9"/>
      <c r="O415" s="9"/>
      <c r="P415" s="9"/>
      <c r="Q415" s="9"/>
      <c r="R415" s="9"/>
      <c r="S415" s="9"/>
      <c r="T415" s="9"/>
      <c r="U415" s="9"/>
      <c r="V415" s="47"/>
    </row>
    <row r="416" spans="2:22" x14ac:dyDescent="0.2">
      <c r="B416" s="22"/>
      <c r="C416" s="9"/>
      <c r="D416" s="9"/>
      <c r="E416" s="294"/>
      <c r="F416" s="1311"/>
      <c r="G416" s="9"/>
      <c r="H416" s="9"/>
      <c r="I416" s="9"/>
      <c r="J416" s="9"/>
      <c r="K416" s="9"/>
      <c r="L416" s="9"/>
      <c r="M416" s="9"/>
      <c r="N416" s="9"/>
      <c r="O416" s="9"/>
      <c r="P416" s="9"/>
      <c r="Q416" s="9"/>
      <c r="R416" s="9"/>
      <c r="S416" s="9"/>
      <c r="T416" s="9"/>
      <c r="U416" s="9"/>
      <c r="V416" s="47"/>
    </row>
    <row r="417" spans="2:22" x14ac:dyDescent="0.2">
      <c r="B417" s="22"/>
      <c r="C417" s="9"/>
      <c r="D417" s="9"/>
      <c r="E417" s="294"/>
      <c r="F417" s="1311"/>
      <c r="G417" s="9"/>
      <c r="H417" s="9"/>
      <c r="I417" s="9"/>
      <c r="J417" s="9"/>
      <c r="K417" s="9"/>
      <c r="L417" s="9"/>
      <c r="M417" s="9"/>
      <c r="N417" s="9"/>
      <c r="O417" s="9"/>
      <c r="P417" s="9"/>
      <c r="Q417" s="9"/>
      <c r="R417" s="9"/>
      <c r="S417" s="9"/>
      <c r="T417" s="9"/>
      <c r="U417" s="9"/>
      <c r="V417" s="47"/>
    </row>
    <row r="418" spans="2:22" x14ac:dyDescent="0.2">
      <c r="B418" s="22"/>
      <c r="C418" s="9"/>
      <c r="D418" s="9"/>
      <c r="E418" s="294"/>
      <c r="F418" s="1311"/>
      <c r="G418" s="9"/>
      <c r="H418" s="9"/>
      <c r="I418" s="9"/>
      <c r="J418" s="9"/>
      <c r="K418" s="9"/>
      <c r="L418" s="9"/>
      <c r="M418" s="9"/>
      <c r="N418" s="9"/>
      <c r="O418" s="9"/>
      <c r="P418" s="9"/>
      <c r="Q418" s="9"/>
      <c r="R418" s="9"/>
      <c r="S418" s="9"/>
      <c r="T418" s="9"/>
      <c r="U418" s="9"/>
      <c r="V418" s="47"/>
    </row>
    <row r="419" spans="2:22" x14ac:dyDescent="0.2">
      <c r="B419" s="22"/>
      <c r="C419" s="9"/>
      <c r="D419" s="9"/>
      <c r="E419" s="294"/>
      <c r="F419" s="1311"/>
      <c r="G419" s="9"/>
      <c r="H419" s="9"/>
      <c r="I419" s="9"/>
      <c r="J419" s="9"/>
      <c r="K419" s="9"/>
      <c r="L419" s="9"/>
      <c r="M419" s="9"/>
      <c r="N419" s="9"/>
      <c r="O419" s="9"/>
      <c r="P419" s="9"/>
      <c r="Q419" s="9"/>
      <c r="R419" s="9"/>
      <c r="S419" s="9"/>
      <c r="T419" s="9"/>
      <c r="U419" s="9"/>
      <c r="V419" s="47"/>
    </row>
    <row r="420" spans="2:22" x14ac:dyDescent="0.2">
      <c r="B420" s="22"/>
      <c r="C420" s="9"/>
      <c r="D420" s="9"/>
      <c r="E420" s="294"/>
      <c r="F420" s="1311"/>
      <c r="G420" s="9"/>
      <c r="H420" s="9"/>
      <c r="I420" s="9"/>
      <c r="J420" s="9"/>
      <c r="K420" s="9"/>
      <c r="L420" s="9"/>
      <c r="M420" s="9"/>
      <c r="N420" s="9"/>
      <c r="O420" s="9"/>
      <c r="P420" s="9"/>
      <c r="Q420" s="9"/>
      <c r="R420" s="9"/>
      <c r="S420" s="9"/>
      <c r="T420" s="9"/>
      <c r="U420" s="9"/>
      <c r="V420" s="47"/>
    </row>
    <row r="421" spans="2:22" x14ac:dyDescent="0.2">
      <c r="B421" s="22"/>
      <c r="C421" s="9"/>
      <c r="D421" s="9"/>
      <c r="E421" s="294"/>
      <c r="F421" s="1311"/>
      <c r="G421" s="9"/>
      <c r="H421" s="9"/>
      <c r="I421" s="9"/>
      <c r="J421" s="9"/>
      <c r="K421" s="9"/>
      <c r="L421" s="9"/>
      <c r="M421" s="9"/>
      <c r="N421" s="9"/>
      <c r="O421" s="9"/>
      <c r="P421" s="9"/>
      <c r="Q421" s="9"/>
      <c r="R421" s="9"/>
      <c r="S421" s="9"/>
      <c r="T421" s="9"/>
      <c r="U421" s="9"/>
      <c r="V421" s="47"/>
    </row>
    <row r="422" spans="2:22" x14ac:dyDescent="0.2">
      <c r="B422" s="22"/>
      <c r="C422" s="9"/>
      <c r="D422" s="9"/>
      <c r="E422" s="294"/>
      <c r="F422" s="1311"/>
      <c r="G422" s="9"/>
      <c r="H422" s="9"/>
      <c r="I422" s="9"/>
      <c r="J422" s="9"/>
      <c r="K422" s="9"/>
      <c r="L422" s="9"/>
      <c r="M422" s="9"/>
      <c r="N422" s="9"/>
      <c r="O422" s="9"/>
      <c r="P422" s="9"/>
      <c r="Q422" s="9"/>
      <c r="R422" s="9"/>
      <c r="S422" s="9"/>
      <c r="T422" s="9"/>
      <c r="U422" s="9"/>
      <c r="V422" s="47"/>
    </row>
    <row r="423" spans="2:22" x14ac:dyDescent="0.2">
      <c r="B423" s="22"/>
      <c r="C423" s="9"/>
      <c r="D423" s="9"/>
      <c r="E423" s="294"/>
      <c r="F423" s="1311"/>
      <c r="G423" s="9"/>
      <c r="H423" s="9"/>
      <c r="I423" s="9"/>
      <c r="J423" s="9"/>
      <c r="K423" s="9"/>
      <c r="L423" s="9"/>
      <c r="M423" s="9"/>
      <c r="N423" s="9"/>
      <c r="O423" s="9"/>
      <c r="P423" s="9"/>
      <c r="Q423" s="9"/>
      <c r="R423" s="9"/>
      <c r="S423" s="9"/>
      <c r="T423" s="9"/>
      <c r="U423" s="9"/>
      <c r="V423" s="47"/>
    </row>
    <row r="424" spans="2:22" x14ac:dyDescent="0.2">
      <c r="B424" s="23"/>
      <c r="C424" s="472"/>
      <c r="D424" s="472"/>
      <c r="E424" s="7"/>
      <c r="F424" s="1314"/>
      <c r="G424" s="472"/>
      <c r="H424" s="472"/>
      <c r="I424" s="472"/>
      <c r="J424" s="472"/>
      <c r="K424" s="472"/>
      <c r="L424" s="472"/>
      <c r="M424" s="472"/>
      <c r="N424" s="472"/>
      <c r="O424" s="472"/>
      <c r="P424" s="472"/>
      <c r="Q424" s="472"/>
      <c r="R424" s="472"/>
      <c r="S424" s="472"/>
      <c r="T424" s="472"/>
      <c r="U424" s="472"/>
      <c r="V424" s="49"/>
    </row>
    <row r="425" spans="2:22" ht="12" customHeight="1" x14ac:dyDescent="0.2">
      <c r="B425" s="377"/>
      <c r="C425" s="65"/>
      <c r="D425" s="65"/>
      <c r="E425" s="69"/>
      <c r="F425" s="1315"/>
      <c r="G425" s="65"/>
      <c r="H425" s="65"/>
      <c r="I425" s="65"/>
      <c r="J425" s="65"/>
      <c r="K425" s="65"/>
      <c r="L425" s="65"/>
      <c r="M425" s="65"/>
      <c r="N425" s="65"/>
      <c r="O425" s="65"/>
      <c r="P425" s="65"/>
      <c r="Q425" s="65"/>
      <c r="R425" s="65"/>
      <c r="S425" s="65"/>
      <c r="T425" s="65"/>
      <c r="U425" s="65"/>
      <c r="V425" s="51"/>
    </row>
    <row r="426" spans="2:22" ht="15.75" x14ac:dyDescent="0.25">
      <c r="B426" s="1329" t="s">
        <v>965</v>
      </c>
      <c r="C426" s="1330"/>
      <c r="D426" s="9"/>
      <c r="E426" s="1326" t="s">
        <v>986</v>
      </c>
      <c r="F426" s="1311"/>
      <c r="G426" s="9"/>
      <c r="H426" s="9"/>
      <c r="I426" s="9"/>
      <c r="J426" s="9"/>
      <c r="K426" s="9"/>
      <c r="L426" s="9"/>
      <c r="M426" s="9"/>
      <c r="N426" s="9"/>
      <c r="O426" s="9"/>
      <c r="P426" s="9"/>
      <c r="Q426" s="9"/>
      <c r="R426" s="9"/>
      <c r="S426" s="9"/>
      <c r="T426" s="9"/>
      <c r="U426" s="9"/>
      <c r="V426" s="47"/>
    </row>
    <row r="427" spans="2:22" x14ac:dyDescent="0.2">
      <c r="B427" s="22"/>
      <c r="C427" s="9"/>
      <c r="D427" s="9"/>
      <c r="E427" s="1326"/>
      <c r="F427" s="1311"/>
      <c r="G427" s="9"/>
      <c r="H427" s="9"/>
      <c r="I427" s="9"/>
      <c r="J427" s="9"/>
      <c r="K427" s="9"/>
      <c r="L427" s="9"/>
      <c r="M427" s="9"/>
      <c r="N427" s="9"/>
      <c r="O427" s="9"/>
      <c r="P427" s="9"/>
      <c r="Q427" s="9"/>
      <c r="R427" s="9"/>
      <c r="S427" s="9"/>
      <c r="T427" s="9"/>
      <c r="U427" s="9"/>
      <c r="V427" s="47"/>
    </row>
    <row r="428" spans="2:22" x14ac:dyDescent="0.2">
      <c r="B428" s="22"/>
      <c r="C428" s="9"/>
      <c r="D428" s="9"/>
      <c r="E428" s="56"/>
      <c r="F428" s="1311"/>
      <c r="G428" s="9"/>
      <c r="H428" s="9"/>
      <c r="I428" s="9"/>
      <c r="J428" s="9"/>
      <c r="K428" s="9"/>
      <c r="L428" s="9"/>
      <c r="M428" s="9"/>
      <c r="N428" s="9"/>
      <c r="O428" s="9"/>
      <c r="P428" s="9"/>
      <c r="Q428" s="9"/>
      <c r="R428" s="9"/>
      <c r="S428" s="9"/>
      <c r="T428" s="9"/>
      <c r="U428" s="9"/>
      <c r="V428" s="47"/>
    </row>
    <row r="429" spans="2:22" x14ac:dyDescent="0.2">
      <c r="B429" s="22"/>
      <c r="C429" s="9"/>
      <c r="D429" s="9"/>
      <c r="E429" s="56"/>
      <c r="F429" s="1311"/>
      <c r="G429" s="9"/>
      <c r="H429" s="9"/>
      <c r="I429" s="9"/>
      <c r="J429" s="9"/>
      <c r="K429" s="9"/>
      <c r="L429" s="9"/>
      <c r="M429" s="9"/>
      <c r="N429" s="9"/>
      <c r="O429" s="9"/>
      <c r="P429" s="9"/>
      <c r="Q429" s="9"/>
      <c r="R429" s="9"/>
      <c r="S429" s="9"/>
      <c r="T429" s="9"/>
      <c r="U429" s="9"/>
      <c r="V429" s="47"/>
    </row>
    <row r="430" spans="2:22" x14ac:dyDescent="0.2">
      <c r="B430" s="22"/>
      <c r="C430" s="9"/>
      <c r="D430" s="9"/>
      <c r="E430" s="56"/>
      <c r="F430" s="1316" t="s">
        <v>219</v>
      </c>
      <c r="G430" s="9"/>
      <c r="H430" s="9"/>
      <c r="I430" s="9"/>
      <c r="J430" s="9"/>
      <c r="K430" s="9"/>
      <c r="L430" s="9"/>
      <c r="M430" s="9"/>
      <c r="N430" s="9"/>
      <c r="O430" s="9"/>
      <c r="P430" s="9"/>
      <c r="Q430" s="9"/>
      <c r="R430" s="9"/>
      <c r="S430" s="9"/>
      <c r="T430" s="9"/>
      <c r="U430" s="9"/>
      <c r="V430" s="47"/>
    </row>
    <row r="431" spans="2:22" x14ac:dyDescent="0.2">
      <c r="B431" s="22"/>
      <c r="C431" s="9"/>
      <c r="D431" s="9"/>
      <c r="E431" s="56"/>
      <c r="F431" s="1311"/>
      <c r="G431" s="9"/>
      <c r="H431" s="9"/>
      <c r="I431" s="9"/>
      <c r="J431" s="9"/>
      <c r="K431" s="9"/>
      <c r="L431" s="9"/>
      <c r="M431" s="9"/>
      <c r="N431" s="9"/>
      <c r="O431" s="9"/>
      <c r="P431" s="9"/>
      <c r="Q431" s="9"/>
      <c r="R431" s="9"/>
      <c r="S431" s="9"/>
      <c r="T431" s="9"/>
      <c r="U431" s="9"/>
      <c r="V431" s="47"/>
    </row>
    <row r="432" spans="2:22" x14ac:dyDescent="0.2">
      <c r="B432" s="22"/>
      <c r="C432" s="9"/>
      <c r="D432" s="9"/>
      <c r="E432" s="56"/>
      <c r="F432" s="1311"/>
      <c r="G432" s="9"/>
      <c r="H432" s="9"/>
      <c r="I432" s="9"/>
      <c r="J432" s="9"/>
      <c r="K432" s="9"/>
      <c r="L432" s="9"/>
      <c r="M432" s="9"/>
      <c r="N432" s="9"/>
      <c r="O432" s="9"/>
      <c r="P432" s="9"/>
      <c r="Q432" s="9"/>
      <c r="R432" s="9"/>
      <c r="S432" s="9"/>
      <c r="T432" s="9"/>
      <c r="U432" s="9"/>
      <c r="V432" s="47"/>
    </row>
    <row r="433" spans="2:22" x14ac:dyDescent="0.2">
      <c r="B433" s="22"/>
      <c r="C433" s="9"/>
      <c r="D433" s="9"/>
      <c r="E433" s="56"/>
      <c r="F433" s="1311"/>
      <c r="G433" s="9"/>
      <c r="H433" s="9"/>
      <c r="I433" s="9"/>
      <c r="J433" s="9"/>
      <c r="K433" s="9"/>
      <c r="L433" s="9"/>
      <c r="M433" s="9"/>
      <c r="N433" s="9"/>
      <c r="O433" s="9"/>
      <c r="P433" s="9"/>
      <c r="Q433" s="9"/>
      <c r="R433" s="9"/>
      <c r="S433" s="9"/>
      <c r="T433" s="9"/>
      <c r="U433" s="9"/>
      <c r="V433" s="47"/>
    </row>
    <row r="434" spans="2:22" x14ac:dyDescent="0.2">
      <c r="B434" s="22"/>
      <c r="C434" s="9"/>
      <c r="D434" s="9"/>
      <c r="E434" s="56"/>
      <c r="F434" s="1311"/>
      <c r="G434" s="9"/>
      <c r="H434" s="9"/>
      <c r="I434" s="9"/>
      <c r="J434" s="9"/>
      <c r="K434" s="9"/>
      <c r="L434" s="9"/>
      <c r="M434" s="9"/>
      <c r="N434" s="9"/>
      <c r="O434" s="9"/>
      <c r="P434" s="9"/>
      <c r="Q434" s="9"/>
      <c r="R434" s="9"/>
      <c r="S434" s="9"/>
      <c r="T434" s="9"/>
      <c r="U434" s="9"/>
      <c r="V434" s="47"/>
    </row>
    <row r="435" spans="2:22" x14ac:dyDescent="0.2">
      <c r="B435" s="22"/>
      <c r="C435" s="9"/>
      <c r="D435" s="9"/>
      <c r="E435" s="56"/>
      <c r="F435" s="1311"/>
      <c r="G435" s="9"/>
      <c r="H435" s="9"/>
      <c r="I435" s="9"/>
      <c r="J435" s="9"/>
      <c r="K435" s="9"/>
      <c r="L435" s="9"/>
      <c r="M435" s="9"/>
      <c r="N435" s="9"/>
      <c r="O435" s="9"/>
      <c r="P435" s="9"/>
      <c r="Q435" s="9"/>
      <c r="R435" s="9"/>
      <c r="S435" s="9"/>
      <c r="T435" s="9"/>
      <c r="U435" s="9"/>
      <c r="V435" s="47"/>
    </row>
    <row r="436" spans="2:22" x14ac:dyDescent="0.2">
      <c r="B436" s="22"/>
      <c r="C436" s="9"/>
      <c r="D436" s="9"/>
      <c r="E436" s="56"/>
      <c r="F436" s="1311"/>
      <c r="G436" s="9"/>
      <c r="H436" s="9"/>
      <c r="I436" s="9"/>
      <c r="J436" s="9"/>
      <c r="K436" s="9"/>
      <c r="L436" s="9"/>
      <c r="M436" s="9"/>
      <c r="N436" s="9"/>
      <c r="O436" s="9"/>
      <c r="P436" s="9"/>
      <c r="Q436" s="9"/>
      <c r="R436" s="9"/>
      <c r="S436" s="9"/>
      <c r="T436" s="9"/>
      <c r="U436" s="9"/>
      <c r="V436" s="47"/>
    </row>
    <row r="437" spans="2:22" x14ac:dyDescent="0.2">
      <c r="B437" s="22"/>
      <c r="C437" s="9"/>
      <c r="D437" s="9"/>
      <c r="E437" s="56"/>
      <c r="F437" s="1311"/>
      <c r="G437" s="9"/>
      <c r="H437" s="9"/>
      <c r="I437" s="9"/>
      <c r="J437" s="9"/>
      <c r="K437" s="9"/>
      <c r="L437" s="9"/>
      <c r="M437" s="9"/>
      <c r="N437" s="9"/>
      <c r="O437" s="9"/>
      <c r="P437" s="9"/>
      <c r="Q437" s="9"/>
      <c r="R437" s="9"/>
      <c r="S437" s="9"/>
      <c r="T437" s="9"/>
      <c r="U437" s="9"/>
      <c r="V437" s="47"/>
    </row>
    <row r="438" spans="2:22" x14ac:dyDescent="0.2">
      <c r="B438" s="22"/>
      <c r="C438" s="9"/>
      <c r="D438" s="9"/>
      <c r="E438" s="56"/>
      <c r="F438" s="1311"/>
      <c r="G438" s="9"/>
      <c r="H438" s="9"/>
      <c r="I438" s="9"/>
      <c r="J438" s="9"/>
      <c r="K438" s="9"/>
      <c r="L438" s="9"/>
      <c r="M438" s="9"/>
      <c r="N438" s="9"/>
      <c r="O438" s="9"/>
      <c r="P438" s="9"/>
      <c r="Q438" s="9"/>
      <c r="R438" s="9"/>
      <c r="S438" s="9"/>
      <c r="T438" s="9"/>
      <c r="U438" s="9"/>
      <c r="V438" s="47"/>
    </row>
    <row r="439" spans="2:22" x14ac:dyDescent="0.2">
      <c r="B439" s="22"/>
      <c r="C439" s="9"/>
      <c r="D439" s="9"/>
      <c r="E439" s="56"/>
      <c r="F439" s="1311"/>
      <c r="G439" s="9"/>
      <c r="H439" s="9"/>
      <c r="I439" s="9"/>
      <c r="J439" s="9"/>
      <c r="K439" s="9"/>
      <c r="L439" s="9"/>
      <c r="M439" s="9"/>
      <c r="N439" s="9"/>
      <c r="O439" s="9"/>
      <c r="P439" s="9"/>
      <c r="Q439" s="9"/>
      <c r="R439" s="9"/>
      <c r="S439" s="9"/>
      <c r="T439" s="9"/>
      <c r="U439" s="9"/>
      <c r="V439" s="47"/>
    </row>
    <row r="440" spans="2:22" x14ac:dyDescent="0.2">
      <c r="B440" s="22"/>
      <c r="C440" s="9"/>
      <c r="D440" s="9"/>
      <c r="E440" s="56"/>
      <c r="F440" s="1311"/>
      <c r="G440" s="9"/>
      <c r="H440" s="9"/>
      <c r="I440" s="9"/>
      <c r="J440" s="9"/>
      <c r="K440" s="9"/>
      <c r="L440" s="9"/>
      <c r="M440" s="9"/>
      <c r="N440" s="9"/>
      <c r="O440" s="9"/>
      <c r="P440" s="9"/>
      <c r="Q440" s="9"/>
      <c r="R440" s="9"/>
      <c r="S440" s="9"/>
      <c r="T440" s="9"/>
      <c r="U440" s="9"/>
      <c r="V440" s="47"/>
    </row>
    <row r="441" spans="2:22" x14ac:dyDescent="0.2">
      <c r="B441" s="22"/>
      <c r="C441" s="9"/>
      <c r="D441" s="9"/>
      <c r="E441" s="56"/>
      <c r="F441" s="1311"/>
      <c r="G441" s="9"/>
      <c r="H441" s="9"/>
      <c r="I441" s="9"/>
      <c r="J441" s="9"/>
      <c r="K441" s="9"/>
      <c r="L441" s="9"/>
      <c r="M441" s="9"/>
      <c r="N441" s="9"/>
      <c r="O441" s="9"/>
      <c r="P441" s="9"/>
      <c r="Q441" s="9"/>
      <c r="R441" s="9"/>
      <c r="S441" s="9"/>
      <c r="T441" s="9"/>
      <c r="U441" s="9"/>
      <c r="V441" s="47"/>
    </row>
    <row r="442" spans="2:22" x14ac:dyDescent="0.2">
      <c r="B442" s="22"/>
      <c r="C442" s="9"/>
      <c r="D442" s="9"/>
      <c r="E442" s="56"/>
      <c r="F442" s="1311"/>
      <c r="G442" s="9"/>
      <c r="H442" s="9"/>
      <c r="I442" s="9"/>
      <c r="J442" s="9"/>
      <c r="K442" s="9"/>
      <c r="L442" s="9"/>
      <c r="M442" s="9"/>
      <c r="N442" s="9"/>
      <c r="O442" s="9"/>
      <c r="P442" s="9"/>
      <c r="Q442" s="9"/>
      <c r="R442" s="9"/>
      <c r="S442" s="9"/>
      <c r="T442" s="9"/>
      <c r="U442" s="9"/>
      <c r="V442" s="47"/>
    </row>
    <row r="443" spans="2:22" x14ac:dyDescent="0.2">
      <c r="B443" s="22"/>
      <c r="C443" s="9"/>
      <c r="D443" s="9"/>
      <c r="E443" s="56"/>
      <c r="F443" s="1311"/>
      <c r="G443" s="9"/>
      <c r="H443" s="9"/>
      <c r="I443" s="9"/>
      <c r="J443" s="9"/>
      <c r="K443" s="9"/>
      <c r="L443" s="9"/>
      <c r="M443" s="9"/>
      <c r="N443" s="9"/>
      <c r="O443" s="9"/>
      <c r="P443" s="9"/>
      <c r="Q443" s="9"/>
      <c r="R443" s="9"/>
      <c r="S443" s="9"/>
      <c r="T443" s="9"/>
      <c r="U443" s="9"/>
      <c r="V443" s="47"/>
    </row>
    <row r="444" spans="2:22" x14ac:dyDescent="0.2">
      <c r="B444" s="22"/>
      <c r="C444" s="9"/>
      <c r="D444" s="9"/>
      <c r="E444" s="56"/>
      <c r="F444" s="1311"/>
      <c r="G444" s="9"/>
      <c r="H444" s="9"/>
      <c r="I444" s="9"/>
      <c r="J444" s="9"/>
      <c r="K444" s="9"/>
      <c r="L444" s="9"/>
      <c r="M444" s="9"/>
      <c r="N444" s="9"/>
      <c r="O444" s="9"/>
      <c r="P444" s="9"/>
      <c r="Q444" s="9"/>
      <c r="R444" s="9"/>
      <c r="S444" s="9"/>
      <c r="T444" s="9"/>
      <c r="U444" s="9"/>
      <c r="V444" s="47"/>
    </row>
    <row r="445" spans="2:22" x14ac:dyDescent="0.2">
      <c r="B445" s="22"/>
      <c r="C445" s="9"/>
      <c r="D445" s="9"/>
      <c r="E445" s="56"/>
      <c r="F445" s="1311"/>
      <c r="G445" s="9"/>
      <c r="H445" s="9"/>
      <c r="I445" s="9"/>
      <c r="J445" s="9"/>
      <c r="K445" s="9"/>
      <c r="L445" s="9"/>
      <c r="M445" s="9"/>
      <c r="N445" s="9"/>
      <c r="O445" s="9"/>
      <c r="P445" s="9"/>
      <c r="Q445" s="9"/>
      <c r="R445" s="9"/>
      <c r="S445" s="9"/>
      <c r="T445" s="9"/>
      <c r="U445" s="9"/>
      <c r="V445" s="47"/>
    </row>
    <row r="446" spans="2:22" x14ac:dyDescent="0.2">
      <c r="B446" s="22"/>
      <c r="C446" s="9"/>
      <c r="D446" s="9"/>
      <c r="E446" s="56"/>
      <c r="F446" s="1311"/>
      <c r="G446" s="9"/>
      <c r="H446" s="9"/>
      <c r="I446" s="9"/>
      <c r="J446" s="9"/>
      <c r="K446" s="9"/>
      <c r="L446" s="9"/>
      <c r="M446" s="9"/>
      <c r="N446" s="9"/>
      <c r="O446" s="9"/>
      <c r="P446" s="9"/>
      <c r="Q446" s="9"/>
      <c r="R446" s="9"/>
      <c r="S446" s="9"/>
      <c r="T446" s="9"/>
      <c r="U446" s="9"/>
      <c r="V446" s="47"/>
    </row>
    <row r="447" spans="2:22" x14ac:dyDescent="0.2">
      <c r="B447" s="23"/>
      <c r="C447" s="472"/>
      <c r="D447" s="472"/>
      <c r="E447" s="57"/>
      <c r="F447" s="1314"/>
      <c r="G447" s="472"/>
      <c r="H447" s="472"/>
      <c r="I447" s="472"/>
      <c r="J447" s="472"/>
      <c r="K447" s="472"/>
      <c r="L447" s="472"/>
      <c r="M447" s="472"/>
      <c r="N447" s="472"/>
      <c r="O447" s="472"/>
      <c r="P447" s="472"/>
      <c r="Q447" s="472"/>
      <c r="R447" s="472"/>
      <c r="S447" s="472"/>
      <c r="T447" s="472"/>
      <c r="U447" s="472"/>
      <c r="V447" s="49"/>
    </row>
    <row r="448" spans="2:22" ht="12" customHeight="1" x14ac:dyDescent="0.2">
      <c r="B448" s="377"/>
      <c r="C448" s="65"/>
      <c r="D448" s="65"/>
      <c r="E448" s="69"/>
      <c r="F448" s="1315"/>
      <c r="G448" s="65"/>
      <c r="H448" s="65"/>
      <c r="I448" s="65"/>
      <c r="J448" s="65"/>
      <c r="K448" s="65"/>
      <c r="L448" s="65"/>
      <c r="M448" s="65"/>
      <c r="N448" s="65"/>
      <c r="O448" s="65"/>
      <c r="P448" s="65"/>
      <c r="Q448" s="65"/>
      <c r="R448" s="65"/>
      <c r="S448" s="65"/>
      <c r="T448" s="65"/>
      <c r="U448" s="65"/>
      <c r="V448" s="51"/>
    </row>
    <row r="449" spans="2:30" ht="15.75" x14ac:dyDescent="0.25">
      <c r="B449" s="1329" t="s">
        <v>987</v>
      </c>
      <c r="C449" s="1330"/>
      <c r="D449" s="9"/>
      <c r="E449" s="1326" t="s">
        <v>986</v>
      </c>
      <c r="F449" s="1311"/>
      <c r="G449" s="9"/>
      <c r="H449" s="9"/>
      <c r="I449" s="9"/>
      <c r="J449" s="9"/>
      <c r="K449" s="9"/>
      <c r="L449" s="9"/>
      <c r="M449" s="9"/>
      <c r="N449" s="9"/>
      <c r="O449" s="9"/>
      <c r="P449" s="9"/>
      <c r="Q449" s="9"/>
      <c r="R449" s="9"/>
      <c r="S449" s="9"/>
      <c r="T449" s="9"/>
      <c r="U449" s="9"/>
      <c r="V449" s="47"/>
    </row>
    <row r="450" spans="2:30" x14ac:dyDescent="0.2">
      <c r="B450" s="22"/>
      <c r="C450" s="9"/>
      <c r="D450" s="9"/>
      <c r="E450" s="1326"/>
      <c r="F450" s="1311"/>
      <c r="G450" s="9"/>
      <c r="H450" s="9"/>
      <c r="I450" s="9"/>
      <c r="J450" s="9"/>
      <c r="K450" s="9"/>
      <c r="L450" s="9"/>
      <c r="M450" s="9"/>
      <c r="N450" s="9"/>
      <c r="O450" s="9"/>
      <c r="P450" s="9"/>
      <c r="Q450" s="9"/>
      <c r="R450" s="9"/>
      <c r="S450" s="9"/>
      <c r="T450" s="9"/>
      <c r="U450" s="9"/>
      <c r="V450" s="47"/>
    </row>
    <row r="451" spans="2:30" x14ac:dyDescent="0.2">
      <c r="B451" s="22"/>
      <c r="C451" s="9"/>
      <c r="D451" s="9"/>
      <c r="E451" s="56"/>
      <c r="F451" s="1311"/>
      <c r="G451" s="9"/>
      <c r="H451" s="9"/>
      <c r="I451" s="9"/>
      <c r="J451" s="9"/>
      <c r="K451" s="9"/>
      <c r="L451" s="9"/>
      <c r="M451" s="9"/>
      <c r="N451" s="9"/>
      <c r="O451" s="9"/>
      <c r="P451" s="9"/>
      <c r="Q451" s="9"/>
      <c r="R451" s="9"/>
      <c r="S451" s="9"/>
      <c r="T451" s="9"/>
      <c r="U451" s="9"/>
      <c r="V451" s="47"/>
    </row>
    <row r="452" spans="2:30" x14ac:dyDescent="0.2">
      <c r="B452" s="22"/>
      <c r="C452" s="9"/>
      <c r="D452" s="9"/>
      <c r="E452" s="56"/>
      <c r="F452" s="1311"/>
      <c r="G452" s="9"/>
      <c r="H452" s="9"/>
      <c r="I452" s="9"/>
      <c r="J452" s="9"/>
      <c r="K452" s="9"/>
      <c r="L452" s="9"/>
      <c r="M452" s="9"/>
      <c r="N452" s="9"/>
      <c r="O452" s="9"/>
      <c r="P452" s="9"/>
      <c r="Q452" s="9"/>
      <c r="R452" s="9"/>
      <c r="S452" s="9"/>
      <c r="T452" s="9"/>
      <c r="U452" s="9"/>
      <c r="V452" s="47"/>
    </row>
    <row r="453" spans="2:30" x14ac:dyDescent="0.2">
      <c r="B453" s="22"/>
      <c r="C453" s="9"/>
      <c r="D453" s="9"/>
      <c r="E453" s="56"/>
      <c r="F453" s="1316" t="s">
        <v>248</v>
      </c>
      <c r="G453" s="9"/>
      <c r="H453" s="9"/>
      <c r="I453" s="9"/>
      <c r="J453" s="9"/>
      <c r="K453" s="9"/>
      <c r="L453" s="9"/>
      <c r="M453" s="9"/>
      <c r="N453" s="9"/>
      <c r="O453" s="9"/>
      <c r="P453" s="9"/>
      <c r="Q453" s="9"/>
      <c r="R453" s="9"/>
      <c r="S453" s="9"/>
      <c r="T453" s="9"/>
      <c r="U453" s="9"/>
      <c r="V453" s="47"/>
    </row>
    <row r="454" spans="2:30" x14ac:dyDescent="0.2">
      <c r="B454" s="22"/>
      <c r="C454" s="9"/>
      <c r="D454" s="9"/>
      <c r="E454" s="56"/>
      <c r="F454" s="1311"/>
      <c r="G454" s="9"/>
      <c r="H454" s="9"/>
      <c r="I454" s="9"/>
      <c r="J454" s="9"/>
      <c r="K454" s="9"/>
      <c r="L454" s="9"/>
      <c r="M454" s="9"/>
      <c r="N454" s="9"/>
      <c r="O454" s="9"/>
      <c r="P454" s="9"/>
      <c r="Q454" s="9"/>
      <c r="R454" s="9"/>
      <c r="S454" s="9"/>
      <c r="T454" s="9"/>
      <c r="U454" s="9"/>
      <c r="V454" s="47"/>
      <c r="W454" s="28"/>
    </row>
    <row r="455" spans="2:30" x14ac:dyDescent="0.2">
      <c r="B455" s="22"/>
      <c r="C455" s="9"/>
      <c r="D455" s="9"/>
      <c r="E455" s="56"/>
      <c r="F455" s="1311"/>
      <c r="G455" s="9"/>
      <c r="H455" s="9"/>
      <c r="I455" s="9"/>
      <c r="J455" s="9"/>
      <c r="K455" s="9"/>
      <c r="L455" s="9"/>
      <c r="M455" s="9"/>
      <c r="N455" s="9"/>
      <c r="O455" s="9"/>
      <c r="P455" s="9"/>
      <c r="Q455" s="9"/>
      <c r="R455" s="9"/>
      <c r="S455" s="9"/>
      <c r="T455" s="9"/>
      <c r="U455" s="9"/>
      <c r="V455" s="47"/>
      <c r="W455" s="28"/>
    </row>
    <row r="456" spans="2:30" s="679" customFormat="1" x14ac:dyDescent="0.2">
      <c r="B456" s="22"/>
      <c r="C456" s="9"/>
      <c r="D456" s="9"/>
      <c r="E456" s="56"/>
      <c r="F456" s="1311"/>
      <c r="G456" s="9"/>
      <c r="H456" s="9"/>
      <c r="I456" s="9"/>
      <c r="J456" s="9"/>
      <c r="K456" s="9"/>
      <c r="L456" s="9"/>
      <c r="M456" s="9"/>
      <c r="N456" s="9"/>
      <c r="O456" s="9"/>
      <c r="P456" s="9"/>
      <c r="Q456" s="9"/>
      <c r="R456" s="9"/>
      <c r="S456" s="9"/>
      <c r="T456" s="9"/>
      <c r="U456" s="9"/>
      <c r="V456" s="47"/>
      <c r="W456" s="28"/>
    </row>
    <row r="457" spans="2:30" s="679" customFormat="1" x14ac:dyDescent="0.2">
      <c r="B457" s="22"/>
      <c r="C457" s="9"/>
      <c r="D457" s="9"/>
      <c r="E457" s="56"/>
      <c r="F457" s="1311"/>
      <c r="G457" s="9"/>
      <c r="H457" s="9"/>
      <c r="I457" s="9"/>
      <c r="J457" s="9"/>
      <c r="K457" s="9"/>
      <c r="L457" s="9"/>
      <c r="M457" s="9"/>
      <c r="N457" s="9"/>
      <c r="O457" s="9"/>
      <c r="P457" s="9"/>
      <c r="Q457" s="9"/>
      <c r="R457" s="9"/>
      <c r="S457" s="9"/>
      <c r="T457" s="9"/>
      <c r="U457" s="9"/>
      <c r="V457" s="47"/>
      <c r="W457" s="28"/>
    </row>
    <row r="458" spans="2:30" x14ac:dyDescent="0.2">
      <c r="B458" s="22"/>
      <c r="C458" s="9"/>
      <c r="D458" s="9"/>
      <c r="E458" s="56"/>
      <c r="F458" s="1311"/>
      <c r="G458" s="9"/>
      <c r="H458" s="9"/>
      <c r="I458" s="9"/>
      <c r="J458" s="9"/>
      <c r="K458" s="9"/>
      <c r="L458" s="9"/>
      <c r="M458" s="9"/>
      <c r="N458" s="9"/>
      <c r="O458" s="9"/>
      <c r="P458" s="9"/>
      <c r="Q458" s="9"/>
      <c r="R458" s="9"/>
      <c r="S458" s="9"/>
      <c r="T458" s="9"/>
      <c r="U458" s="9"/>
      <c r="V458" s="47"/>
      <c r="W458" s="28"/>
    </row>
    <row r="459" spans="2:30" x14ac:dyDescent="0.2">
      <c r="B459" s="22"/>
      <c r="C459" s="9"/>
      <c r="D459" s="9"/>
      <c r="E459" s="56"/>
      <c r="F459" s="1311"/>
      <c r="G459" s="9"/>
      <c r="H459" s="9"/>
      <c r="I459" s="9"/>
      <c r="J459" s="9"/>
      <c r="K459" s="9"/>
      <c r="L459" s="9"/>
      <c r="M459" s="9"/>
      <c r="N459" s="9"/>
      <c r="O459" s="9"/>
      <c r="P459" s="9"/>
      <c r="Q459" s="9"/>
      <c r="R459" s="9"/>
      <c r="S459" s="9"/>
      <c r="T459" s="9"/>
      <c r="U459" s="9"/>
      <c r="V459" s="47"/>
      <c r="W459" s="28"/>
    </row>
    <row r="460" spans="2:30" x14ac:dyDescent="0.2">
      <c r="B460" s="22"/>
      <c r="C460" s="9"/>
      <c r="D460" s="9"/>
      <c r="E460" s="56"/>
      <c r="F460" s="1311"/>
      <c r="G460" s="9"/>
      <c r="H460" s="9"/>
      <c r="I460" s="9"/>
      <c r="J460" s="9"/>
      <c r="K460" s="9"/>
      <c r="L460" s="9"/>
      <c r="M460" s="9"/>
      <c r="N460" s="9"/>
      <c r="O460" s="9"/>
      <c r="P460" s="9"/>
      <c r="Q460" s="9"/>
      <c r="R460" s="9"/>
      <c r="S460" s="9"/>
      <c r="T460" s="9"/>
      <c r="U460" s="9"/>
      <c r="V460" s="47"/>
      <c r="W460" s="28"/>
    </row>
    <row r="461" spans="2:30" x14ac:dyDescent="0.2">
      <c r="B461" s="22"/>
      <c r="C461" s="9"/>
      <c r="D461" s="9"/>
      <c r="E461" s="56"/>
      <c r="F461" s="1311"/>
      <c r="G461" s="9"/>
      <c r="H461" s="9"/>
      <c r="I461" s="9"/>
      <c r="J461" s="9"/>
      <c r="K461" s="9"/>
      <c r="L461" s="9"/>
      <c r="M461" s="9"/>
      <c r="N461" s="9"/>
      <c r="O461" s="9"/>
      <c r="P461" s="9"/>
      <c r="Q461" s="9"/>
      <c r="R461" s="9"/>
      <c r="S461" s="9"/>
      <c r="T461" s="9"/>
      <c r="U461" s="9"/>
      <c r="V461" s="47"/>
      <c r="W461" s="28"/>
    </row>
    <row r="462" spans="2:30" x14ac:dyDescent="0.2">
      <c r="B462" s="22"/>
      <c r="C462" s="9"/>
      <c r="D462" s="9"/>
      <c r="E462" s="56"/>
      <c r="F462" s="1311"/>
      <c r="G462" s="9"/>
      <c r="H462" s="9"/>
      <c r="I462" s="9"/>
      <c r="J462" s="9"/>
      <c r="K462" s="9"/>
      <c r="L462" s="9"/>
      <c r="M462" s="9"/>
      <c r="N462" s="9"/>
      <c r="O462" s="9"/>
      <c r="P462" s="9"/>
      <c r="Q462" s="9"/>
      <c r="R462" s="9"/>
      <c r="S462" s="9"/>
      <c r="T462" s="9"/>
      <c r="U462" s="9"/>
      <c r="V462" s="47"/>
      <c r="W462" s="28"/>
      <c r="X462" s="28"/>
      <c r="Y462" s="28"/>
      <c r="Z462" s="28"/>
      <c r="AA462" s="28"/>
      <c r="AB462" s="28"/>
      <c r="AC462" s="28"/>
      <c r="AD462" s="28"/>
    </row>
    <row r="463" spans="2:30" x14ac:dyDescent="0.2">
      <c r="B463" s="22"/>
      <c r="C463" s="9"/>
      <c r="D463" s="9"/>
      <c r="E463" s="56"/>
      <c r="F463" s="1311"/>
      <c r="G463" s="9"/>
      <c r="H463" s="9"/>
      <c r="I463" s="9"/>
      <c r="J463" s="9"/>
      <c r="K463" s="9"/>
      <c r="L463" s="9"/>
      <c r="M463" s="9"/>
      <c r="N463" s="9"/>
      <c r="O463" s="9"/>
      <c r="P463" s="9"/>
      <c r="Q463" s="9"/>
      <c r="R463" s="9"/>
      <c r="S463" s="9"/>
      <c r="T463" s="9"/>
      <c r="U463" s="9"/>
      <c r="V463" s="47"/>
      <c r="W463" s="28"/>
      <c r="X463" s="28"/>
      <c r="Y463" s="28"/>
      <c r="Z463" s="28"/>
      <c r="AA463" s="28"/>
      <c r="AB463" s="28"/>
      <c r="AC463" s="28"/>
      <c r="AD463" s="28"/>
    </row>
    <row r="464" spans="2:30" x14ac:dyDescent="0.2">
      <c r="B464" s="22"/>
      <c r="C464" s="9"/>
      <c r="D464" s="9"/>
      <c r="E464" s="56"/>
      <c r="F464" s="1311"/>
      <c r="G464" s="9"/>
      <c r="H464" s="9"/>
      <c r="I464" s="9"/>
      <c r="J464" s="9"/>
      <c r="K464" s="9"/>
      <c r="L464" s="9"/>
      <c r="M464" s="9"/>
      <c r="N464" s="9"/>
      <c r="O464" s="9"/>
      <c r="P464" s="9"/>
      <c r="Q464" s="9"/>
      <c r="R464" s="9"/>
      <c r="S464" s="9"/>
      <c r="T464" s="9"/>
      <c r="U464" s="9"/>
      <c r="V464" s="47"/>
      <c r="W464" s="28"/>
      <c r="X464" s="28"/>
      <c r="Y464" s="28"/>
      <c r="Z464" s="28"/>
      <c r="AA464" s="28"/>
      <c r="AB464" s="28"/>
      <c r="AC464" s="28"/>
      <c r="AD464" s="28"/>
    </row>
    <row r="465" spans="2:30" x14ac:dyDescent="0.2">
      <c r="B465" s="22"/>
      <c r="C465" s="9"/>
      <c r="D465" s="9"/>
      <c r="E465" s="56"/>
      <c r="F465" s="1311"/>
      <c r="G465" s="9"/>
      <c r="H465" s="9"/>
      <c r="I465" s="9"/>
      <c r="J465" s="9"/>
      <c r="K465" s="9"/>
      <c r="L465" s="9"/>
      <c r="M465" s="9"/>
      <c r="N465" s="9"/>
      <c r="O465" s="9"/>
      <c r="P465" s="9"/>
      <c r="Q465" s="9"/>
      <c r="R465" s="9"/>
      <c r="S465" s="9"/>
      <c r="T465" s="9"/>
      <c r="U465" s="9"/>
      <c r="V465" s="47"/>
      <c r="W465" s="28"/>
      <c r="X465" s="70"/>
      <c r="Y465" s="28"/>
      <c r="Z465" s="28"/>
      <c r="AA465" s="28"/>
      <c r="AB465" s="28"/>
      <c r="AC465" s="28"/>
      <c r="AD465" s="28"/>
    </row>
    <row r="466" spans="2:30" x14ac:dyDescent="0.2">
      <c r="B466" s="22"/>
      <c r="C466" s="9"/>
      <c r="D466" s="9"/>
      <c r="E466" s="56"/>
      <c r="F466" s="1311"/>
      <c r="G466" s="9"/>
      <c r="H466" s="9"/>
      <c r="I466" s="9"/>
      <c r="J466" s="9"/>
      <c r="K466" s="9"/>
      <c r="L466" s="9"/>
      <c r="M466" s="9"/>
      <c r="N466" s="9"/>
      <c r="O466" s="9"/>
      <c r="P466" s="9"/>
      <c r="Q466" s="9"/>
      <c r="R466" s="9"/>
      <c r="S466" s="9"/>
      <c r="T466" s="9"/>
      <c r="U466" s="9"/>
      <c r="V466" s="47"/>
      <c r="W466" s="28"/>
      <c r="X466" s="28"/>
      <c r="Y466" s="28"/>
      <c r="Z466" s="28"/>
      <c r="AA466" s="28"/>
      <c r="AB466" s="28"/>
      <c r="AC466" s="28"/>
      <c r="AD466" s="28"/>
    </row>
    <row r="467" spans="2:30" x14ac:dyDescent="0.2">
      <c r="B467" s="22"/>
      <c r="C467" s="9"/>
      <c r="D467" s="9"/>
      <c r="E467" s="56"/>
      <c r="F467" s="1311"/>
      <c r="G467" s="9"/>
      <c r="H467" s="9"/>
      <c r="I467" s="9"/>
      <c r="J467" s="9"/>
      <c r="K467" s="9"/>
      <c r="L467" s="9"/>
      <c r="M467" s="9"/>
      <c r="N467" s="9"/>
      <c r="O467" s="9"/>
      <c r="P467" s="9"/>
      <c r="Q467" s="9"/>
      <c r="R467" s="9"/>
      <c r="S467" s="9"/>
      <c r="T467" s="9"/>
      <c r="U467" s="9"/>
      <c r="V467" s="47"/>
      <c r="W467" s="28"/>
      <c r="X467" s="28"/>
      <c r="Y467" s="28"/>
      <c r="Z467" s="28"/>
      <c r="AA467" s="28"/>
      <c r="AB467" s="28"/>
      <c r="AC467" s="28"/>
      <c r="AD467" s="28"/>
    </row>
    <row r="468" spans="2:30" x14ac:dyDescent="0.2">
      <c r="B468" s="22"/>
      <c r="C468" s="9"/>
      <c r="D468" s="9"/>
      <c r="E468" s="56"/>
      <c r="F468" s="1311"/>
      <c r="G468" s="9"/>
      <c r="H468" s="9"/>
      <c r="I468" s="9"/>
      <c r="J468" s="9"/>
      <c r="K468" s="9"/>
      <c r="L468" s="9"/>
      <c r="M468" s="9"/>
      <c r="N468" s="9"/>
      <c r="O468" s="9"/>
      <c r="P468" s="9"/>
      <c r="Q468" s="9"/>
      <c r="R468" s="9"/>
      <c r="S468" s="9"/>
      <c r="T468" s="9"/>
      <c r="U468" s="9"/>
      <c r="V468" s="47"/>
      <c r="W468" s="28"/>
      <c r="X468" s="28"/>
      <c r="Y468" s="28"/>
    </row>
    <row r="469" spans="2:30" x14ac:dyDescent="0.2">
      <c r="B469" s="22"/>
      <c r="C469" s="9"/>
      <c r="D469" s="9"/>
      <c r="E469" s="56"/>
      <c r="F469" s="1311"/>
      <c r="G469" s="9"/>
      <c r="H469" s="9"/>
      <c r="I469" s="9"/>
      <c r="J469" s="9"/>
      <c r="K469" s="9"/>
      <c r="L469" s="9"/>
      <c r="M469" s="9"/>
      <c r="N469" s="9"/>
      <c r="O469" s="9"/>
      <c r="P469" s="9"/>
      <c r="Q469" s="9"/>
      <c r="R469" s="9"/>
      <c r="S469" s="9"/>
      <c r="T469" s="9"/>
      <c r="U469" s="9"/>
      <c r="V469" s="47"/>
      <c r="W469" s="28"/>
      <c r="X469" s="28"/>
      <c r="Y469" s="28"/>
    </row>
    <row r="470" spans="2:30" x14ac:dyDescent="0.2">
      <c r="B470" s="23"/>
      <c r="C470" s="472"/>
      <c r="D470" s="472"/>
      <c r="E470" s="57"/>
      <c r="F470" s="1314"/>
      <c r="G470" s="472"/>
      <c r="H470" s="472"/>
      <c r="I470" s="472"/>
      <c r="J470" s="472"/>
      <c r="K470" s="472"/>
      <c r="L470" s="472"/>
      <c r="M470" s="472"/>
      <c r="N470" s="472"/>
      <c r="O470" s="472"/>
      <c r="P470" s="472"/>
      <c r="Q470" s="472"/>
      <c r="R470" s="472"/>
      <c r="S470" s="472"/>
      <c r="T470" s="472"/>
      <c r="U470" s="472"/>
      <c r="V470" s="49"/>
      <c r="W470" s="28"/>
      <c r="X470" s="28"/>
      <c r="Y470" s="28"/>
    </row>
    <row r="471" spans="2:30" x14ac:dyDescent="0.2">
      <c r="W471" s="28"/>
      <c r="X471" s="28"/>
      <c r="Y471" s="28"/>
    </row>
    <row r="472" spans="2:30" x14ac:dyDescent="0.2">
      <c r="W472" s="28"/>
      <c r="X472" s="28"/>
      <c r="Y472" s="28"/>
    </row>
    <row r="473" spans="2:30" x14ac:dyDescent="0.2">
      <c r="W473" s="28"/>
      <c r="X473" s="28"/>
      <c r="Y473" s="28"/>
    </row>
    <row r="474" spans="2:30" ht="16.5" x14ac:dyDescent="0.2">
      <c r="B474" s="74"/>
      <c r="C474" s="74"/>
      <c r="D474" s="74"/>
      <c r="E474" s="958"/>
      <c r="F474" s="74"/>
      <c r="G474" s="1324" t="s">
        <v>762</v>
      </c>
      <c r="H474" s="1325"/>
      <c r="I474" s="1281" t="s">
        <v>903</v>
      </c>
      <c r="J474" s="1282"/>
      <c r="K474" s="475"/>
      <c r="L474" s="475"/>
      <c r="M474" s="191"/>
      <c r="N474" s="74"/>
      <c r="O474" s="1294"/>
      <c r="P474" s="1181"/>
      <c r="Q474" s="1181"/>
      <c r="R474" s="1181"/>
      <c r="S474" s="1181"/>
      <c r="T474" s="74"/>
      <c r="U474" s="74"/>
      <c r="V474" s="74"/>
      <c r="W474" s="28"/>
      <c r="X474" s="28"/>
      <c r="Y474" s="679"/>
      <c r="Z474" s="679"/>
    </row>
    <row r="475" spans="2:30" x14ac:dyDescent="0.2">
      <c r="B475" s="74"/>
      <c r="C475" s="74"/>
      <c r="D475" s="74"/>
      <c r="E475" s="958"/>
      <c r="F475" s="74"/>
      <c r="G475" s="74" t="s">
        <v>44</v>
      </c>
      <c r="H475" s="74"/>
      <c r="I475" s="74" t="s">
        <v>902</v>
      </c>
      <c r="J475" s="74"/>
      <c r="K475" s="74"/>
      <c r="L475" s="74"/>
      <c r="M475" s="191">
        <v>43586</v>
      </c>
      <c r="N475" s="74"/>
      <c r="O475" s="1181" t="s">
        <v>1002</v>
      </c>
      <c r="P475" s="1181"/>
      <c r="Q475" s="1181"/>
      <c r="R475" s="1181"/>
      <c r="S475" s="1181"/>
      <c r="T475" s="74"/>
      <c r="U475" s="74"/>
      <c r="V475" s="74"/>
      <c r="W475" s="28"/>
      <c r="X475" s="28"/>
    </row>
    <row r="476" spans="2:30" x14ac:dyDescent="0.2">
      <c r="B476" s="74"/>
      <c r="C476" s="74"/>
      <c r="D476" s="74"/>
      <c r="E476" s="958"/>
      <c r="F476" s="74"/>
      <c r="G476" s="74" t="s">
        <v>249</v>
      </c>
      <c r="H476" s="74"/>
      <c r="I476" s="74" t="s">
        <v>1003</v>
      </c>
      <c r="J476" s="74"/>
      <c r="K476" s="74"/>
      <c r="L476" s="74"/>
      <c r="M476" s="191">
        <v>43252</v>
      </c>
      <c r="N476" s="74">
        <v>2</v>
      </c>
      <c r="O476" s="1181" t="s">
        <v>1004</v>
      </c>
      <c r="P476" s="1181"/>
      <c r="Q476" s="1181"/>
      <c r="R476" s="1181"/>
      <c r="S476" s="1181"/>
      <c r="T476" s="558">
        <v>43571</v>
      </c>
      <c r="U476" s="74"/>
      <c r="V476" s="74"/>
      <c r="W476" s="28"/>
      <c r="X476" s="28"/>
    </row>
    <row r="477" spans="2:30" x14ac:dyDescent="0.2">
      <c r="B477" s="74"/>
      <c r="C477" s="74"/>
      <c r="D477" s="74"/>
      <c r="E477" s="958"/>
      <c r="F477" s="74"/>
      <c r="G477" s="74" t="s">
        <v>44</v>
      </c>
      <c r="H477" s="74"/>
      <c r="I477" s="74" t="s">
        <v>252</v>
      </c>
      <c r="J477" s="74"/>
      <c r="K477" s="74"/>
      <c r="L477" s="74"/>
      <c r="M477" s="191">
        <v>43252</v>
      </c>
      <c r="N477" s="74"/>
      <c r="O477" s="1181" t="s">
        <v>95</v>
      </c>
      <c r="P477" s="1181"/>
      <c r="Q477" s="1181"/>
      <c r="R477" s="1181"/>
      <c r="S477" s="1181"/>
      <c r="T477" s="558">
        <v>43571</v>
      </c>
      <c r="U477" s="74"/>
      <c r="V477" s="74"/>
      <c r="W477" s="28"/>
      <c r="X477" s="28"/>
    </row>
    <row r="478" spans="2:30" x14ac:dyDescent="0.2">
      <c r="B478" s="74"/>
      <c r="C478" s="74"/>
      <c r="D478" s="74"/>
      <c r="E478" s="958"/>
      <c r="F478" s="74"/>
      <c r="G478" s="74" t="s">
        <v>253</v>
      </c>
      <c r="H478" s="74"/>
      <c r="I478" s="74" t="s">
        <v>254</v>
      </c>
      <c r="J478" s="74"/>
      <c r="K478" s="74"/>
      <c r="L478" s="74"/>
      <c r="M478" s="191">
        <v>43536</v>
      </c>
      <c r="N478" s="74"/>
      <c r="O478" s="1181"/>
      <c r="P478" s="1181"/>
      <c r="Q478" s="1181"/>
      <c r="R478" s="1181"/>
      <c r="S478" s="1181"/>
      <c r="T478" s="558">
        <v>43571</v>
      </c>
      <c r="U478" s="74"/>
      <c r="V478" s="584"/>
      <c r="W478" s="28"/>
      <c r="X478" s="28"/>
    </row>
    <row r="479" spans="2:30" x14ac:dyDescent="0.2">
      <c r="B479" s="74"/>
      <c r="C479" s="74"/>
      <c r="D479" s="74"/>
      <c r="E479" s="958"/>
      <c r="F479" s="74"/>
      <c r="G479" s="475" t="s">
        <v>34</v>
      </c>
      <c r="H479" s="475"/>
      <c r="I479" s="475" t="s">
        <v>251</v>
      </c>
      <c r="J479" s="475"/>
      <c r="K479" s="475"/>
      <c r="L479" s="475"/>
      <c r="M479" s="585" t="s">
        <v>578</v>
      </c>
      <c r="N479" s="475"/>
      <c r="O479" s="1181"/>
      <c r="P479" s="1181"/>
      <c r="Q479" s="1181"/>
      <c r="R479" s="1181"/>
      <c r="S479" s="1181"/>
      <c r="T479" s="475"/>
      <c r="U479" s="74"/>
      <c r="V479" s="74"/>
      <c r="W479" s="28"/>
      <c r="X479" s="28"/>
    </row>
    <row r="480" spans="2:30" x14ac:dyDescent="0.2">
      <c r="B480" s="74"/>
      <c r="C480" s="74"/>
      <c r="D480" s="74"/>
      <c r="E480" s="958"/>
      <c r="F480" s="74"/>
      <c r="G480" s="74" t="s">
        <v>34</v>
      </c>
      <c r="H480" s="74"/>
      <c r="I480" s="74" t="s">
        <v>247</v>
      </c>
      <c r="J480" s="74"/>
      <c r="K480" s="74"/>
      <c r="L480" s="74"/>
      <c r="M480" s="191"/>
      <c r="N480" s="74"/>
      <c r="O480" s="1181" t="s">
        <v>119</v>
      </c>
      <c r="P480" s="1181"/>
      <c r="Q480" s="1181"/>
      <c r="R480" s="1181"/>
      <c r="S480" s="1181"/>
      <c r="T480" s="85">
        <v>43556</v>
      </c>
      <c r="U480" s="74"/>
      <c r="V480" s="74"/>
    </row>
    <row r="481" spans="2:26" x14ac:dyDescent="0.2">
      <c r="B481" s="74"/>
      <c r="C481" s="74"/>
      <c r="D481" s="74"/>
      <c r="E481" s="958"/>
      <c r="F481" s="74"/>
      <c r="G481" s="74" t="s">
        <v>169</v>
      </c>
      <c r="H481" s="74"/>
      <c r="I481" s="74" t="s">
        <v>170</v>
      </c>
      <c r="J481" s="74"/>
      <c r="K481" s="74"/>
      <c r="L481" s="74"/>
      <c r="M481" s="191"/>
      <c r="N481" s="74"/>
      <c r="O481" s="1181" t="s">
        <v>171</v>
      </c>
      <c r="P481" s="1181"/>
      <c r="Q481" s="1181"/>
      <c r="R481" s="1181"/>
      <c r="S481" s="1181"/>
      <c r="T481" s="558">
        <v>43525</v>
      </c>
      <c r="U481" s="74"/>
      <c r="V481" s="74"/>
    </row>
    <row r="482" spans="2:26" ht="12.75" x14ac:dyDescent="0.2">
      <c r="B482" s="74"/>
      <c r="C482" s="74"/>
      <c r="D482" s="74"/>
      <c r="E482" s="958"/>
      <c r="F482" s="74"/>
      <c r="G482" s="84" t="s">
        <v>34</v>
      </c>
      <c r="H482" s="84"/>
      <c r="I482" s="74" t="s">
        <v>243</v>
      </c>
      <c r="J482" s="74"/>
      <c r="K482" s="74"/>
      <c r="L482" s="74"/>
      <c r="M482" s="191"/>
      <c r="N482" s="74"/>
      <c r="O482" s="1181" t="s">
        <v>245</v>
      </c>
      <c r="P482" s="1181"/>
      <c r="Q482" s="1181"/>
      <c r="R482" s="1181"/>
      <c r="S482" s="1181"/>
      <c r="T482" s="85">
        <v>43525</v>
      </c>
      <c r="U482" s="74"/>
      <c r="V482" s="74"/>
    </row>
    <row r="483" spans="2:26" x14ac:dyDescent="0.2">
      <c r="B483" s="74"/>
      <c r="C483" s="74"/>
      <c r="D483" s="74"/>
      <c r="E483" s="958"/>
      <c r="F483" s="74"/>
      <c r="G483" s="74" t="s">
        <v>249</v>
      </c>
      <c r="H483" s="74"/>
      <c r="I483" s="74" t="s">
        <v>255</v>
      </c>
      <c r="J483" s="74"/>
      <c r="K483" s="74"/>
      <c r="L483" s="74"/>
      <c r="M483" s="191"/>
      <c r="N483" s="74"/>
      <c r="O483" s="1181"/>
      <c r="P483" s="1181"/>
      <c r="Q483" s="1181"/>
      <c r="R483" s="1181"/>
      <c r="S483" s="1181"/>
      <c r="T483" s="74"/>
      <c r="U483" s="74"/>
      <c r="V483" s="74"/>
    </row>
    <row r="484" spans="2:26" x14ac:dyDescent="0.2">
      <c r="B484" s="74"/>
      <c r="C484" s="74"/>
      <c r="D484" s="74"/>
      <c r="E484" s="958"/>
      <c r="F484" s="74"/>
      <c r="G484" s="74" t="s">
        <v>258</v>
      </c>
      <c r="H484" s="74"/>
      <c r="I484" s="475" t="s">
        <v>259</v>
      </c>
      <c r="J484" s="475"/>
      <c r="K484" s="475"/>
      <c r="L484" s="475"/>
      <c r="M484" s="585">
        <v>43031</v>
      </c>
      <c r="N484" s="475"/>
      <c r="O484" s="1181" t="s">
        <v>260</v>
      </c>
      <c r="P484" s="1181"/>
      <c r="Q484" s="1181"/>
      <c r="R484" s="1181"/>
      <c r="S484" s="1181"/>
      <c r="T484" s="586">
        <v>43571</v>
      </c>
      <c r="U484" s="475"/>
      <c r="V484" s="74"/>
    </row>
    <row r="485" spans="2:26" x14ac:dyDescent="0.2">
      <c r="B485" s="74"/>
      <c r="C485" s="74"/>
      <c r="D485" s="74"/>
      <c r="E485" s="958"/>
      <c r="F485" s="74"/>
      <c r="G485" s="74" t="s">
        <v>264</v>
      </c>
      <c r="H485" s="74"/>
      <c r="I485" s="475" t="s">
        <v>263</v>
      </c>
      <c r="J485" s="475"/>
      <c r="K485" s="475"/>
      <c r="L485" s="475"/>
      <c r="M485" s="191">
        <v>2016</v>
      </c>
      <c r="N485" s="74"/>
      <c r="O485" s="1295" t="s">
        <v>262</v>
      </c>
      <c r="P485" s="1295"/>
      <c r="Q485" s="1295"/>
      <c r="R485" s="1295"/>
      <c r="S485" s="1295"/>
      <c r="T485" s="558">
        <v>43571</v>
      </c>
      <c r="U485" s="74"/>
      <c r="V485" s="587"/>
    </row>
    <row r="486" spans="2:26" x14ac:dyDescent="0.2">
      <c r="B486" s="74"/>
      <c r="C486" s="74"/>
      <c r="D486" s="74"/>
      <c r="E486" s="958"/>
      <c r="F486" s="74"/>
      <c r="G486" s="74" t="str">
        <f>G477</f>
        <v>NSW Government</v>
      </c>
      <c r="H486" s="74"/>
      <c r="I486" s="475" t="s">
        <v>451</v>
      </c>
      <c r="J486" s="74"/>
      <c r="K486" s="74"/>
      <c r="L486" s="74"/>
      <c r="M486" s="191">
        <f>M477</f>
        <v>43252</v>
      </c>
      <c r="N486" s="74"/>
      <c r="O486" s="1181" t="s">
        <v>43</v>
      </c>
      <c r="P486" s="1181"/>
      <c r="Q486" s="1181"/>
      <c r="R486" s="1181"/>
      <c r="S486" s="1181"/>
      <c r="T486" s="586">
        <v>43571</v>
      </c>
      <c r="U486" s="74"/>
      <c r="V486" s="74"/>
    </row>
    <row r="487" spans="2:26" x14ac:dyDescent="0.2">
      <c r="B487" s="74"/>
      <c r="C487" s="74"/>
      <c r="D487" s="74"/>
      <c r="E487" s="958"/>
      <c r="F487" s="74"/>
      <c r="G487" s="74" t="str">
        <f>G486</f>
        <v>NSW Government</v>
      </c>
      <c r="H487" s="74"/>
      <c r="I487" s="475" t="s">
        <v>452</v>
      </c>
      <c r="J487" s="74"/>
      <c r="K487" s="74"/>
      <c r="L487" s="74"/>
      <c r="M487" s="191">
        <f>M486</f>
        <v>43252</v>
      </c>
      <c r="N487" s="74"/>
      <c r="O487" s="1181" t="s">
        <v>116</v>
      </c>
      <c r="P487" s="1181"/>
      <c r="Q487" s="1181"/>
      <c r="R487" s="1181"/>
      <c r="S487" s="1181"/>
      <c r="T487" s="586">
        <v>43571</v>
      </c>
      <c r="U487" s="74"/>
      <c r="V487" s="74"/>
    </row>
    <row r="488" spans="2:26" x14ac:dyDescent="0.2">
      <c r="B488" s="74"/>
      <c r="C488" s="74"/>
      <c r="D488" s="74"/>
      <c r="E488" s="958"/>
      <c r="F488" s="74"/>
      <c r="G488" s="74" t="s">
        <v>44</v>
      </c>
      <c r="H488" s="74"/>
      <c r="I488" s="74" t="s">
        <v>453</v>
      </c>
      <c r="J488" s="74"/>
      <c r="K488" s="74"/>
      <c r="L488" s="74"/>
      <c r="M488" s="191">
        <f>M487</f>
        <v>43252</v>
      </c>
      <c r="N488" s="74"/>
      <c r="O488" s="1181" t="s">
        <v>98</v>
      </c>
      <c r="P488" s="1181"/>
      <c r="Q488" s="1181"/>
      <c r="R488" s="1181"/>
      <c r="S488" s="1181"/>
      <c r="T488" s="586">
        <v>43571</v>
      </c>
      <c r="U488" s="74"/>
      <c r="V488" s="74"/>
    </row>
    <row r="489" spans="2:26" x14ac:dyDescent="0.2">
      <c r="B489" s="74"/>
      <c r="C489" s="74"/>
      <c r="D489" s="74"/>
      <c r="E489" s="958"/>
      <c r="F489" s="74"/>
      <c r="G489" s="74" t="s">
        <v>34</v>
      </c>
      <c r="H489" s="74"/>
      <c r="I489" s="74" t="s">
        <v>901</v>
      </c>
      <c r="J489" s="191"/>
      <c r="K489" s="74"/>
      <c r="L489" s="74"/>
      <c r="M489" s="191"/>
      <c r="N489" s="74"/>
      <c r="O489" s="1181"/>
      <c r="P489" s="1181"/>
      <c r="Q489" s="1181"/>
      <c r="R489" s="1181"/>
      <c r="S489" s="1181"/>
      <c r="T489" s="74"/>
      <c r="U489" s="958"/>
      <c r="V489" s="74"/>
    </row>
    <row r="490" spans="2:26" x14ac:dyDescent="0.2">
      <c r="B490" s="74"/>
      <c r="C490" s="74"/>
      <c r="D490" s="74"/>
      <c r="E490" s="958"/>
      <c r="F490" s="74"/>
      <c r="G490" s="74" t="str">
        <f>'Contents, list of sources'!G377</f>
        <v>NSW Government</v>
      </c>
      <c r="H490" s="74"/>
      <c r="I490" s="74" t="str">
        <f>'Contents, list of sources'!I377</f>
        <v>Future transport strategy 2056</v>
      </c>
      <c r="J490" s="74"/>
      <c r="K490" s="74"/>
      <c r="L490" s="74"/>
      <c r="M490" s="191">
        <f>'Contents, list of sources'!M377</f>
        <v>43160</v>
      </c>
      <c r="N490" s="74">
        <v>137</v>
      </c>
      <c r="O490" s="1181" t="str">
        <f>'Contents, list of sources'!O377</f>
        <v>https://future.transport.nsw.gov.au/sites/default/files/media/documents/2018/Future_Transport_2056_Strategy.pdf</v>
      </c>
      <c r="P490" s="1181"/>
      <c r="Q490" s="1181"/>
      <c r="R490" s="1181"/>
      <c r="S490" s="1181"/>
      <c r="T490" s="191">
        <f>'Contents, list of sources'!T377</f>
        <v>43570</v>
      </c>
      <c r="U490" s="74"/>
      <c r="V490" s="74"/>
    </row>
    <row r="491" spans="2:26" x14ac:dyDescent="0.2">
      <c r="B491" s="74"/>
      <c r="C491" s="74"/>
      <c r="D491" s="74"/>
      <c r="E491" s="958"/>
      <c r="F491" s="74"/>
      <c r="G491" s="74" t="s">
        <v>249</v>
      </c>
      <c r="H491" s="74"/>
      <c r="I491" s="74" t="s">
        <v>898</v>
      </c>
      <c r="J491" s="74"/>
      <c r="K491" s="74"/>
      <c r="L491" s="74"/>
      <c r="M491" s="191">
        <v>40148</v>
      </c>
      <c r="N491" s="74">
        <v>2</v>
      </c>
      <c r="O491" s="1181" t="s">
        <v>698</v>
      </c>
      <c r="P491" s="1181"/>
      <c r="Q491" s="1181"/>
      <c r="R491" s="1181"/>
      <c r="S491" s="1181"/>
      <c r="T491" s="74"/>
      <c r="U491" s="74"/>
      <c r="V491" s="74"/>
    </row>
    <row r="492" spans="2:26" x14ac:dyDescent="0.2">
      <c r="B492" s="74"/>
      <c r="C492" s="74"/>
      <c r="D492" s="74"/>
      <c r="E492" s="958"/>
      <c r="F492" s="74"/>
      <c r="G492" s="74" t="s">
        <v>899</v>
      </c>
      <c r="H492" s="74"/>
      <c r="I492" s="74" t="s">
        <v>900</v>
      </c>
      <c r="J492" s="74"/>
      <c r="K492" s="74"/>
      <c r="L492" s="74"/>
      <c r="M492" s="191">
        <v>39630</v>
      </c>
      <c r="N492" s="74"/>
      <c r="O492" s="1181"/>
      <c r="P492" s="1181"/>
      <c r="Q492" s="1181"/>
      <c r="R492" s="1181"/>
      <c r="S492" s="1181"/>
      <c r="T492" s="74"/>
      <c r="U492" s="74"/>
      <c r="V492" s="74"/>
    </row>
    <row r="493" spans="2:26" x14ac:dyDescent="0.2">
      <c r="B493" s="74"/>
      <c r="C493" s="74"/>
      <c r="D493" s="74"/>
      <c r="E493" s="958"/>
      <c r="F493" s="74"/>
      <c r="G493" s="74" t="s">
        <v>824</v>
      </c>
      <c r="H493" s="74"/>
      <c r="I493" s="74" t="s">
        <v>904</v>
      </c>
      <c r="J493" s="74"/>
      <c r="K493" s="74"/>
      <c r="L493" s="74"/>
      <c r="M493" s="191"/>
      <c r="N493" s="74"/>
      <c r="O493" s="1181"/>
      <c r="P493" s="1181"/>
      <c r="Q493" s="1181"/>
      <c r="R493" s="1181"/>
      <c r="S493" s="1181"/>
      <c r="T493" s="74"/>
      <c r="U493" s="74"/>
      <c r="V493" s="74"/>
    </row>
    <row r="494" spans="2:26" x14ac:dyDescent="0.2">
      <c r="B494" s="74"/>
      <c r="C494" s="74"/>
      <c r="D494" s="74"/>
      <c r="E494" s="958"/>
      <c r="F494" s="74"/>
      <c r="G494" s="74" t="s">
        <v>249</v>
      </c>
      <c r="H494" s="74"/>
      <c r="I494" s="74" t="s">
        <v>910</v>
      </c>
      <c r="J494" s="74"/>
      <c r="K494" s="74"/>
      <c r="L494" s="74"/>
      <c r="M494" s="191">
        <v>43630</v>
      </c>
      <c r="N494" s="74">
        <v>4</v>
      </c>
      <c r="O494" s="1181" t="s">
        <v>1005</v>
      </c>
      <c r="P494" s="1181"/>
      <c r="Q494" s="1181"/>
      <c r="R494" s="1181"/>
      <c r="S494" s="1181"/>
      <c r="T494" s="74"/>
      <c r="U494" s="74"/>
      <c r="V494" s="74"/>
    </row>
    <row r="495" spans="2:26" x14ac:dyDescent="0.2">
      <c r="B495" s="74"/>
      <c r="C495" s="74"/>
      <c r="D495" s="74"/>
      <c r="E495" s="958"/>
      <c r="F495" s="74"/>
      <c r="G495" s="74" t="s">
        <v>762</v>
      </c>
      <c r="H495" s="74"/>
      <c r="I495" s="74" t="s">
        <v>974</v>
      </c>
      <c r="J495" s="74"/>
      <c r="K495" s="74"/>
      <c r="L495" s="74"/>
      <c r="M495" s="191">
        <v>43648</v>
      </c>
      <c r="N495" s="74"/>
      <c r="O495" s="1181"/>
      <c r="P495" s="1181"/>
      <c r="Q495" s="1181"/>
      <c r="R495" s="1181"/>
      <c r="S495" s="1181"/>
      <c r="T495" s="74"/>
      <c r="U495" s="74"/>
      <c r="V495" s="74"/>
      <c r="W495" s="679"/>
      <c r="X495" s="679"/>
      <c r="Y495" s="679"/>
      <c r="Z495" s="679"/>
    </row>
    <row r="496" spans="2:26" x14ac:dyDescent="0.2">
      <c r="B496" s="74"/>
      <c r="C496" s="74"/>
      <c r="D496" s="74"/>
      <c r="E496" s="958"/>
      <c r="F496" s="74"/>
      <c r="G496" s="74" t="s">
        <v>762</v>
      </c>
      <c r="H496" s="74"/>
      <c r="I496" s="74" t="s">
        <v>994</v>
      </c>
      <c r="J496" s="74"/>
      <c r="K496" s="74"/>
      <c r="L496" s="74"/>
      <c r="M496" s="191">
        <v>43740</v>
      </c>
      <c r="N496" s="74"/>
      <c r="O496" s="1181"/>
      <c r="P496" s="1181"/>
      <c r="Q496" s="1181"/>
      <c r="R496" s="1181"/>
      <c r="S496" s="1181"/>
      <c r="T496" s="74"/>
      <c r="U496" s="74"/>
      <c r="V496" s="74"/>
    </row>
    <row r="497" spans="2:22" x14ac:dyDescent="0.2">
      <c r="B497" s="74"/>
      <c r="C497" s="74"/>
      <c r="D497" s="74"/>
      <c r="E497" s="958"/>
      <c r="F497" s="74"/>
      <c r="G497" s="74" t="s">
        <v>249</v>
      </c>
      <c r="H497" s="74"/>
      <c r="I497" s="74" t="s">
        <v>488</v>
      </c>
      <c r="J497" s="74"/>
      <c r="K497" s="74"/>
      <c r="L497" s="74"/>
      <c r="M497" s="191">
        <v>39052</v>
      </c>
      <c r="N497" s="74"/>
      <c r="O497" s="1181" t="s">
        <v>454</v>
      </c>
      <c r="P497" s="1181"/>
      <c r="Q497" s="1181"/>
      <c r="R497" s="1181"/>
      <c r="S497" s="1181"/>
      <c r="T497" s="74"/>
      <c r="U497" s="74"/>
      <c r="V497" s="74"/>
    </row>
    <row r="498" spans="2:22" x14ac:dyDescent="0.2">
      <c r="B498" s="74"/>
      <c r="C498" s="74"/>
      <c r="D498" s="74"/>
      <c r="E498" s="958"/>
      <c r="F498" s="74"/>
      <c r="G498" s="74" t="s">
        <v>249</v>
      </c>
      <c r="H498" s="74"/>
      <c r="I498" s="74" t="s">
        <v>489</v>
      </c>
      <c r="J498" s="74"/>
      <c r="K498" s="74"/>
      <c r="L498" s="74"/>
      <c r="M498" s="191">
        <v>0</v>
      </c>
      <c r="N498" s="74"/>
      <c r="O498" s="1181"/>
      <c r="P498" s="1181"/>
      <c r="Q498" s="1181"/>
      <c r="R498" s="1181"/>
      <c r="S498" s="1181"/>
      <c r="T498" s="74"/>
      <c r="U498" s="74"/>
      <c r="V498" s="74"/>
    </row>
    <row r="499" spans="2:22" x14ac:dyDescent="0.2">
      <c r="B499" s="74"/>
      <c r="C499" s="74"/>
      <c r="D499" s="74"/>
      <c r="E499" s="958"/>
      <c r="F499" s="74"/>
      <c r="G499" s="74" t="s">
        <v>503</v>
      </c>
      <c r="H499" s="74"/>
      <c r="I499" s="74" t="s">
        <v>480</v>
      </c>
      <c r="J499" s="74"/>
      <c r="K499" s="74"/>
      <c r="L499" s="74"/>
      <c r="M499" s="191">
        <v>39783</v>
      </c>
      <c r="N499" s="74"/>
      <c r="O499" s="1181" t="s">
        <v>481</v>
      </c>
      <c r="P499" s="1181"/>
      <c r="Q499" s="1181"/>
      <c r="R499" s="1181"/>
      <c r="S499" s="1181"/>
      <c r="T499" s="74"/>
      <c r="U499" s="74"/>
      <c r="V499" s="74"/>
    </row>
    <row r="500" spans="2:22" x14ac:dyDescent="0.2">
      <c r="B500" s="74"/>
      <c r="C500" s="74"/>
      <c r="D500" s="74"/>
      <c r="E500" s="958"/>
      <c r="F500" s="74"/>
      <c r="G500" s="74" t="s">
        <v>503</v>
      </c>
      <c r="H500" s="74"/>
      <c r="I500" s="74" t="s">
        <v>504</v>
      </c>
      <c r="J500" s="74"/>
      <c r="K500" s="74"/>
      <c r="L500" s="74"/>
      <c r="M500" s="191">
        <v>0</v>
      </c>
      <c r="N500" s="74"/>
      <c r="O500" s="1181"/>
      <c r="P500" s="1181"/>
      <c r="Q500" s="1181"/>
      <c r="R500" s="1181"/>
      <c r="S500" s="1181"/>
      <c r="T500" s="74"/>
      <c r="U500" s="74"/>
      <c r="V500" s="74"/>
    </row>
    <row r="501" spans="2:22" x14ac:dyDescent="0.2">
      <c r="B501" s="74"/>
      <c r="C501" s="74"/>
      <c r="D501" s="74"/>
      <c r="E501" s="958"/>
      <c r="F501" s="74"/>
      <c r="G501" s="74" t="s">
        <v>249</v>
      </c>
      <c r="H501" s="74"/>
      <c r="I501" s="74" t="s">
        <v>491</v>
      </c>
      <c r="J501" s="74"/>
      <c r="K501" s="74"/>
      <c r="L501" s="74"/>
      <c r="M501" s="191">
        <v>39783</v>
      </c>
      <c r="N501" s="74"/>
      <c r="O501" s="1181" t="s">
        <v>490</v>
      </c>
      <c r="P501" s="1181"/>
      <c r="Q501" s="1181"/>
      <c r="R501" s="1181"/>
      <c r="S501" s="1181"/>
      <c r="T501" s="74"/>
      <c r="U501" s="74"/>
      <c r="V501" s="74"/>
    </row>
    <row r="502" spans="2:22" x14ac:dyDescent="0.2">
      <c r="B502" s="74"/>
      <c r="C502" s="74"/>
      <c r="D502" s="74"/>
      <c r="E502" s="958"/>
      <c r="F502" s="74"/>
      <c r="G502" s="74" t="s">
        <v>34</v>
      </c>
      <c r="H502" s="74"/>
      <c r="I502" s="74" t="s">
        <v>493</v>
      </c>
      <c r="J502" s="74"/>
      <c r="K502" s="74"/>
      <c r="L502" s="74"/>
      <c r="M502" s="191">
        <v>42125</v>
      </c>
      <c r="N502" s="74">
        <v>38</v>
      </c>
      <c r="O502" s="1181" t="s">
        <v>492</v>
      </c>
      <c r="P502" s="1181"/>
      <c r="Q502" s="1181"/>
      <c r="R502" s="1181"/>
      <c r="S502" s="1181"/>
      <c r="T502" s="74"/>
      <c r="U502" s="74"/>
      <c r="V502" s="74"/>
    </row>
    <row r="503" spans="2:22" x14ac:dyDescent="0.2">
      <c r="B503" s="74"/>
      <c r="C503" s="74"/>
      <c r="D503" s="74"/>
      <c r="E503" s="958"/>
      <c r="F503" s="74"/>
      <c r="G503" s="74"/>
      <c r="H503" s="74"/>
      <c r="I503" s="74"/>
      <c r="J503" s="74"/>
      <c r="K503" s="74"/>
      <c r="L503" s="74"/>
      <c r="M503" s="74"/>
      <c r="N503" s="74"/>
      <c r="O503" s="1181"/>
      <c r="P503" s="1181"/>
      <c r="Q503" s="1181"/>
      <c r="R503" s="1181"/>
      <c r="S503" s="1181"/>
      <c r="T503" s="74"/>
      <c r="U503" s="74"/>
      <c r="V503" s="74"/>
    </row>
  </sheetData>
  <mergeCells count="29">
    <mergeCell ref="B449:C449"/>
    <mergeCell ref="B377:C377"/>
    <mergeCell ref="B403:C403"/>
    <mergeCell ref="B426:C426"/>
    <mergeCell ref="B286:C286"/>
    <mergeCell ref="B304:C304"/>
    <mergeCell ref="B321:C321"/>
    <mergeCell ref="B340:C341"/>
    <mergeCell ref="B178:C178"/>
    <mergeCell ref="B196:C196"/>
    <mergeCell ref="B214:C214"/>
    <mergeCell ref="B250:C250"/>
    <mergeCell ref="B268:C268"/>
    <mergeCell ref="B87:C87"/>
    <mergeCell ref="B106:C106"/>
    <mergeCell ref="B124:C124"/>
    <mergeCell ref="B142:C142"/>
    <mergeCell ref="B160:C160"/>
    <mergeCell ref="F16:F17"/>
    <mergeCell ref="G474:H474"/>
    <mergeCell ref="E286:E287"/>
    <mergeCell ref="E304:E305"/>
    <mergeCell ref="E321:E322"/>
    <mergeCell ref="E340:E341"/>
    <mergeCell ref="E358:E359"/>
    <mergeCell ref="E377:E378"/>
    <mergeCell ref="E403:E404"/>
    <mergeCell ref="E426:E427"/>
    <mergeCell ref="E449:E450"/>
  </mergeCells>
  <hyperlinks>
    <hyperlink ref="O357" r:id="rId1"/>
    <hyperlink ref="O358" r:id="rId2"/>
    <hyperlink ref="O359" r:id="rId3"/>
    <hyperlink ref="O360" r:id="rId4"/>
    <hyperlink ref="O377" r:id="rId5"/>
    <hyperlink ref="F286" location="'External benefits'!A1" display="'External benefits'!A1"/>
    <hyperlink ref="F322" location="'Patronage since 2011-12'!A1" display="'Patronage since 2011-12'!A1"/>
    <hyperlink ref="F430" location="'Rail - capacity and crowding'!A1" display="'Rail - capacity and crowding'!A1"/>
    <hyperlink ref="F340" location="'Revenue growth'!A1" display="'Revenue growth'!A1"/>
    <hyperlink ref="F453" location="'Rail - Punctuality'!A1" display="'Rail - Punctuality'!A1"/>
    <hyperlink ref="O476" r:id="rId6" display="https://www.ipart.nsw.gov.au/files/sharedassets/website/shared-files/investigation-compliance-monitoring-transport-publications-fare-for-opal-services-201819/compliance-statement-2018-19-fares-for-opal-services.pdf"/>
    <hyperlink ref="O480" r:id="rId7"/>
    <hyperlink ref="O481" r:id="rId8"/>
    <hyperlink ref="O482" r:id="rId9"/>
    <hyperlink ref="O477" r:id="rId10"/>
    <hyperlink ref="O484" r:id="rId11"/>
    <hyperlink ref="O485" r:id="rId12"/>
    <hyperlink ref="O486" r:id="rId13" display="https://www.budget.nsw.gov.au/sites/default/files/budget-2018-06/Budget_Paper_2-Infrastructure Statement-Budget_201819.pdf"/>
    <hyperlink ref="O487" r:id="rId14"/>
    <hyperlink ref="O488" r:id="rId15"/>
    <hyperlink ref="F304" location="'Fare change index'!A1" display="'Fare change index'!A1"/>
    <hyperlink ref="F19" location="'Change in average single fare'!A1" display="Change in average fare'!A1"/>
    <hyperlink ref="F37" location="'Change in operating costs'!A1" display="'Change in operating costs'!A1"/>
    <hyperlink ref="F87" location="'Taxpayer spending'!A1" display="'Taxpayer spending'!A1"/>
    <hyperlink ref="F56" location="'Mode of travel'!A1" display="'Mode of travel'!A1"/>
    <hyperlink ref="O491" r:id="rId16"/>
    <hyperlink ref="O106" r:id="rId17"/>
    <hyperlink ref="F403" location="'Cost by mode'!A106" display="Cost by mode'!A106"/>
    <hyperlink ref="O494" r:id="rId18" display="https://www.ipart.nsw.gov.au/files/sharedassets/website/shared-files/investigation-compliance-monitoring-transport-publications-fares-for-opal-services-201920/compliance-statement-opal-fares-201920.pdf"/>
    <hyperlink ref="F124" location="'Historical fare comparison'!A1" display="'Historical fare comparison'!A1"/>
    <hyperlink ref="F142" location="'Historical fare comparison'!A1" display="'Historical fare comparison'!A1"/>
    <hyperlink ref="F232" location="'Cost by mode'!A1" display="'Cost by mode'!A1"/>
    <hyperlink ref="F196" location="'Ferry patronage by day'!A1" display="'Ferry patronage by day'!A1"/>
    <hyperlink ref="F160" location="'Demand by time of day'!A1" display="'Demand by time of day'!A1"/>
    <hyperlink ref="F214" location="'Demand by time of day'!A1" display="'Demand by time of day'!A1"/>
    <hyperlink ref="F178" location="'Peak and off peak journeys'!A1" display="'Peak and off peak journeys'!A1"/>
    <hyperlink ref="F250" location="'Relativities between fares'!A1" display="'Relativities between fares'!A1"/>
    <hyperlink ref="F268" location="'Distance travelled distribution'!A1" display="Trip distance distribution'!A1"/>
    <hyperlink ref="O475" r:id="rId19" display="https://transportnsw.info/tickets-opal/opal/fares-payments/adult-fares"/>
    <hyperlink ref="O497" r:id="rId20"/>
    <hyperlink ref="O499" r:id="rId21"/>
    <hyperlink ref="O501" r:id="rId22"/>
    <hyperlink ref="O502" r:id="rId23"/>
  </hyperlinks>
  <pageMargins left="0.7" right="0.7" top="0.75" bottom="0.75" header="0.3" footer="0.3"/>
  <pageSetup paperSize="9" orientation="portrait" r:id="rId24"/>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A1:Y94"/>
  <sheetViews>
    <sheetView showGridLines="0" zoomScale="75" zoomScaleNormal="75" workbookViewId="0"/>
  </sheetViews>
  <sheetFormatPr defaultColWidth="12.85546875" defaultRowHeight="12" x14ac:dyDescent="0.2"/>
  <cols>
    <col min="1" max="1" width="14.42578125" style="352" customWidth="1"/>
    <col min="2" max="2" width="39.42578125" style="352" customWidth="1"/>
    <col min="3" max="3" width="18.7109375" style="352" customWidth="1"/>
    <col min="4" max="4" width="15.42578125" style="352" customWidth="1"/>
    <col min="5" max="12" width="16.28515625" style="352" customWidth="1"/>
    <col min="13" max="13" width="29.28515625" style="352" customWidth="1"/>
    <col min="14" max="14" width="3.85546875" style="352" customWidth="1"/>
    <col min="15" max="15" width="18.42578125" style="352" customWidth="1"/>
    <col min="16" max="16" width="15.42578125" style="352" customWidth="1"/>
    <col min="17" max="21" width="12.85546875" style="352"/>
    <col min="22" max="22" width="14.7109375" style="352" bestFit="1" customWidth="1"/>
    <col min="23" max="16384" width="12.85546875" style="352"/>
  </cols>
  <sheetData>
    <row r="1" spans="1:25" ht="18.600000000000001" customHeight="1" x14ac:dyDescent="0.2"/>
    <row r="2" spans="1:25" ht="18.600000000000001" customHeight="1" x14ac:dyDescent="0.2"/>
    <row r="3" spans="1:25" ht="18.600000000000001" customHeight="1" x14ac:dyDescent="0.2">
      <c r="K3" s="82" t="s">
        <v>409</v>
      </c>
    </row>
    <row r="4" spans="1:25" ht="18.600000000000001" customHeight="1" x14ac:dyDescent="0.2"/>
    <row r="5" spans="1:25" s="679" customFormat="1" ht="18.600000000000001" customHeight="1" x14ac:dyDescent="0.2">
      <c r="K5" s="679" t="str">
        <f>'Contents, list of sources'!G17</f>
        <v>Organisation</v>
      </c>
      <c r="M5" s="679" t="str">
        <f>'Contents, list of sources'!I17</f>
        <v>Title</v>
      </c>
      <c r="S5" s="679" t="str">
        <f>'Contents, list of sources'!O17</f>
        <v>Link</v>
      </c>
      <c r="X5" s="679" t="str">
        <f>'Contents, list of sources'!T17</f>
        <v>Date accessed</v>
      </c>
    </row>
    <row r="6" spans="1:25" ht="18.600000000000001" customHeight="1" x14ac:dyDescent="0.2">
      <c r="K6" s="74" t="str">
        <f>'Contents, list of sources'!G481</f>
        <v>Transport Performance and Analytics (TPA)</v>
      </c>
      <c r="L6" s="74"/>
      <c r="M6" s="74" t="str">
        <f>'Contents, list of sources'!I481</f>
        <v>Peak Train Load Estimates</v>
      </c>
      <c r="N6" s="74"/>
      <c r="O6" s="74"/>
      <c r="P6" s="74"/>
      <c r="Q6" s="191"/>
      <c r="R6" s="74"/>
      <c r="S6" s="74" t="str">
        <f>'Contents, list of sources'!O481</f>
        <v>https://opendata.transport.nsw.gov.au/dataset/peak-train-load-estimates</v>
      </c>
      <c r="T6" s="74"/>
      <c r="U6" s="74"/>
      <c r="V6" s="74"/>
      <c r="W6" s="74"/>
      <c r="X6" s="191">
        <f>'Contents, list of sources'!T481</f>
        <v>43525</v>
      </c>
      <c r="Y6" s="74"/>
    </row>
    <row r="7" spans="1:25" ht="18.600000000000001" customHeight="1" x14ac:dyDescent="0.2">
      <c r="E7" s="28"/>
      <c r="F7" s="28"/>
      <c r="G7" s="28"/>
      <c r="H7" s="28"/>
      <c r="I7" s="28"/>
      <c r="J7" s="28"/>
      <c r="K7" s="369"/>
      <c r="L7" s="28"/>
      <c r="M7" s="28"/>
      <c r="N7" s="28"/>
      <c r="O7" s="28"/>
      <c r="P7" s="28"/>
      <c r="Q7" s="28"/>
      <c r="R7" s="28"/>
      <c r="S7" s="28"/>
      <c r="T7" s="28"/>
    </row>
    <row r="8" spans="1:25" s="28" customFormat="1" ht="18.600000000000001" customHeight="1" x14ac:dyDescent="0.2">
      <c r="K8" s="369"/>
    </row>
    <row r="9" spans="1:25" s="70" customFormat="1" ht="18.600000000000001" customHeight="1" x14ac:dyDescent="0.2">
      <c r="A9" s="372"/>
      <c r="B9" s="295"/>
      <c r="D9" s="295"/>
      <c r="E9" s="28"/>
      <c r="F9" s="28"/>
      <c r="G9" s="28"/>
      <c r="H9" s="28"/>
      <c r="I9" s="28"/>
      <c r="J9" s="28"/>
      <c r="K9" s="369"/>
      <c r="L9" s="28"/>
      <c r="M9" s="28"/>
      <c r="N9" s="28"/>
      <c r="O9" s="28"/>
      <c r="P9" s="28"/>
      <c r="Q9" s="28"/>
      <c r="R9" s="28"/>
      <c r="S9" s="28"/>
    </row>
    <row r="10" spans="1:25" s="28" customFormat="1" ht="18.600000000000001" customHeight="1" x14ac:dyDescent="0.2">
      <c r="A10" s="372"/>
      <c r="K10" s="369"/>
    </row>
    <row r="11" spans="1:25" s="270" customFormat="1" ht="18.600000000000001" customHeight="1" x14ac:dyDescent="0.3">
      <c r="B11" s="450" t="s">
        <v>405</v>
      </c>
    </row>
    <row r="12" spans="1:25" s="79" customFormat="1" ht="18.600000000000001" customHeight="1" x14ac:dyDescent="0.2">
      <c r="A12" s="374"/>
      <c r="C12" s="81"/>
    </row>
    <row r="13" spans="1:25" s="28" customFormat="1" ht="24" customHeight="1" x14ac:dyDescent="0.2">
      <c r="A13" s="372"/>
      <c r="C13" s="71"/>
    </row>
    <row r="14" spans="1:25" s="28" customFormat="1" x14ac:dyDescent="0.2"/>
    <row r="15" spans="1:25" ht="15.75" x14ac:dyDescent="0.25">
      <c r="B15" s="1"/>
    </row>
    <row r="16" spans="1:25" s="9" customFormat="1" ht="14.25" x14ac:dyDescent="0.2">
      <c r="B16" s="20" t="s">
        <v>172</v>
      </c>
      <c r="G16" s="20" t="s">
        <v>172</v>
      </c>
      <c r="M16" s="20" t="s">
        <v>172</v>
      </c>
    </row>
    <row r="17" spans="2:16" s="9" customFormat="1" ht="24" x14ac:dyDescent="0.2">
      <c r="B17" s="377" t="s">
        <v>173</v>
      </c>
      <c r="C17" s="65" t="s">
        <v>174</v>
      </c>
      <c r="D17" s="65"/>
      <c r="E17" s="51"/>
      <c r="G17" s="377" t="str">
        <f>B17</f>
        <v>Pre 2018 lines</v>
      </c>
      <c r="H17" s="65" t="s">
        <v>175</v>
      </c>
      <c r="I17" s="65"/>
      <c r="J17" s="51"/>
      <c r="L17" s="581" t="s">
        <v>176</v>
      </c>
      <c r="M17" s="65" t="s">
        <v>177</v>
      </c>
      <c r="N17" s="65"/>
      <c r="O17" s="65" t="s">
        <v>174</v>
      </c>
      <c r="P17" s="51" t="s">
        <v>175</v>
      </c>
    </row>
    <row r="18" spans="2:16" s="9" customFormat="1" x14ac:dyDescent="0.2">
      <c r="B18" s="22"/>
      <c r="C18" s="9" t="s">
        <v>178</v>
      </c>
      <c r="D18" s="9" t="s">
        <v>178</v>
      </c>
      <c r="E18" s="47" t="s">
        <v>178</v>
      </c>
      <c r="G18" s="22"/>
      <c r="H18" s="9" t="s">
        <v>178</v>
      </c>
      <c r="I18" s="9" t="s">
        <v>178</v>
      </c>
      <c r="J18" s="47" t="s">
        <v>178</v>
      </c>
      <c r="L18" s="22"/>
      <c r="O18" s="9" t="s">
        <v>178</v>
      </c>
      <c r="P18" s="47" t="s">
        <v>178</v>
      </c>
    </row>
    <row r="19" spans="2:16" s="9" customFormat="1" ht="13.15" customHeight="1" x14ac:dyDescent="0.2">
      <c r="B19" s="22"/>
      <c r="C19" s="457" t="s">
        <v>179</v>
      </c>
      <c r="D19" s="457" t="s">
        <v>179</v>
      </c>
      <c r="E19" s="458" t="s">
        <v>179</v>
      </c>
      <c r="F19" s="457"/>
      <c r="G19" s="22"/>
      <c r="H19" s="457" t="s">
        <v>179</v>
      </c>
      <c r="I19" s="457" t="s">
        <v>179</v>
      </c>
      <c r="J19" s="458" t="s">
        <v>179</v>
      </c>
      <c r="L19" s="22"/>
      <c r="O19" s="457" t="s">
        <v>179</v>
      </c>
      <c r="P19" s="458" t="s">
        <v>179</v>
      </c>
    </row>
    <row r="20" spans="2:16" s="9" customFormat="1" ht="13.15" customHeight="1" x14ac:dyDescent="0.2">
      <c r="B20" s="22"/>
      <c r="C20" s="459">
        <v>42614</v>
      </c>
      <c r="D20" s="460">
        <v>42795</v>
      </c>
      <c r="E20" s="461">
        <v>42979</v>
      </c>
      <c r="F20" s="460"/>
      <c r="G20" s="22"/>
      <c r="H20" s="459">
        <v>42614</v>
      </c>
      <c r="I20" s="460">
        <v>42795</v>
      </c>
      <c r="J20" s="461">
        <v>42979</v>
      </c>
      <c r="L20" s="22"/>
      <c r="N20" s="9" t="s">
        <v>1</v>
      </c>
      <c r="O20" s="460">
        <v>43160</v>
      </c>
      <c r="P20" s="461">
        <v>43160</v>
      </c>
    </row>
    <row r="21" spans="2:16" s="9" customFormat="1" ht="12.4" customHeight="1" x14ac:dyDescent="0.2">
      <c r="B21" s="324" t="s">
        <v>180</v>
      </c>
      <c r="C21" s="462">
        <v>1.1000000000000001</v>
      </c>
      <c r="D21" s="462">
        <v>1.26</v>
      </c>
      <c r="E21" s="463">
        <v>1.17</v>
      </c>
      <c r="F21" s="633"/>
      <c r="G21" s="324" t="s">
        <v>180</v>
      </c>
      <c r="H21" s="464">
        <v>0.86</v>
      </c>
      <c r="I21" s="464">
        <v>1.07</v>
      </c>
      <c r="J21" s="465">
        <v>0.93</v>
      </c>
      <c r="L21" s="324" t="str">
        <f>B21</f>
        <v>T1 North Shore</v>
      </c>
      <c r="M21" s="32" t="s">
        <v>180</v>
      </c>
      <c r="N21" s="32"/>
      <c r="O21" s="462">
        <v>1.26</v>
      </c>
      <c r="P21" s="465">
        <v>1.08</v>
      </c>
    </row>
    <row r="22" spans="2:16" s="9" customFormat="1" ht="12.4" customHeight="1" x14ac:dyDescent="0.2">
      <c r="B22" s="324" t="s">
        <v>181</v>
      </c>
      <c r="C22" s="462">
        <v>1.07</v>
      </c>
      <c r="D22" s="462">
        <v>1.06</v>
      </c>
      <c r="E22" s="463">
        <v>1.1499999999999999</v>
      </c>
      <c r="F22" s="633"/>
      <c r="G22" s="324" t="s">
        <v>181</v>
      </c>
      <c r="H22" s="464">
        <v>1.01</v>
      </c>
      <c r="I22" s="464">
        <v>0.95</v>
      </c>
      <c r="J22" s="465">
        <v>1.1499999999999999</v>
      </c>
      <c r="L22" s="324" t="str">
        <f t="shared" ref="L22:L25" si="0">B22</f>
        <v>T1 Central Coast via Shore</v>
      </c>
      <c r="M22" s="32" t="s">
        <v>182</v>
      </c>
      <c r="N22" s="32"/>
      <c r="O22" s="462">
        <v>1.23</v>
      </c>
      <c r="P22" s="465">
        <v>1.1100000000000001</v>
      </c>
    </row>
    <row r="23" spans="2:16" s="9" customFormat="1" ht="12.4" customHeight="1" x14ac:dyDescent="0.2">
      <c r="B23" s="324" t="s">
        <v>183</v>
      </c>
      <c r="C23" s="462">
        <v>1.28</v>
      </c>
      <c r="D23" s="462">
        <v>1.36</v>
      </c>
      <c r="E23" s="463">
        <v>1.37</v>
      </c>
      <c r="F23" s="633"/>
      <c r="G23" s="324" t="s">
        <v>183</v>
      </c>
      <c r="H23" s="464">
        <v>1.22</v>
      </c>
      <c r="I23" s="464">
        <v>1.39</v>
      </c>
      <c r="J23" s="465">
        <v>1.33</v>
      </c>
      <c r="L23" s="324" t="str">
        <f t="shared" si="0"/>
        <v>T1 Northern via Strathfield</v>
      </c>
      <c r="M23" s="32" t="s">
        <v>183</v>
      </c>
      <c r="N23" s="32" t="s">
        <v>186</v>
      </c>
      <c r="O23" s="462">
        <v>1.56</v>
      </c>
      <c r="P23" s="465">
        <v>1.36</v>
      </c>
    </row>
    <row r="24" spans="2:16" s="9" customFormat="1" ht="12.4" customHeight="1" x14ac:dyDescent="0.2">
      <c r="B24" s="324" t="s">
        <v>184</v>
      </c>
      <c r="C24" s="462">
        <v>1.01</v>
      </c>
      <c r="D24" s="462">
        <v>1.26</v>
      </c>
      <c r="E24" s="463">
        <v>1.1299999999999999</v>
      </c>
      <c r="F24" s="633"/>
      <c r="G24" s="324" t="s">
        <v>184</v>
      </c>
      <c r="H24" s="464">
        <v>0.96</v>
      </c>
      <c r="I24" s="464">
        <v>1.21</v>
      </c>
      <c r="J24" s="465">
        <v>0.99</v>
      </c>
      <c r="L24" s="324" t="str">
        <f t="shared" si="0"/>
        <v>T1 Northern via Macquarie Park</v>
      </c>
      <c r="M24" s="32" t="s">
        <v>184</v>
      </c>
      <c r="N24" s="32"/>
      <c r="O24" s="462">
        <v>1.18</v>
      </c>
      <c r="P24" s="465">
        <v>1.19</v>
      </c>
    </row>
    <row r="25" spans="2:16" s="9" customFormat="1" ht="12.4" customHeight="1" x14ac:dyDescent="0.2">
      <c r="B25" s="324" t="s">
        <v>185</v>
      </c>
      <c r="C25" s="462">
        <v>1.35</v>
      </c>
      <c r="D25" s="462">
        <v>1.44</v>
      </c>
      <c r="E25" s="463">
        <v>1.45</v>
      </c>
      <c r="F25" s="633"/>
      <c r="G25" s="324" t="s">
        <v>185</v>
      </c>
      <c r="H25" s="464">
        <v>1.2</v>
      </c>
      <c r="I25" s="464">
        <v>1.31</v>
      </c>
      <c r="J25" s="465">
        <v>1.31</v>
      </c>
      <c r="L25" s="324" t="str">
        <f t="shared" si="0"/>
        <v>T1 Western</v>
      </c>
      <c r="M25" s="32" t="s">
        <v>185</v>
      </c>
      <c r="N25" s="32" t="s">
        <v>186</v>
      </c>
      <c r="O25" s="462">
        <v>1.39</v>
      </c>
      <c r="P25" s="465">
        <v>1.2</v>
      </c>
    </row>
    <row r="26" spans="2:16" s="9" customFormat="1" ht="12.4" customHeight="1" x14ac:dyDescent="0.2">
      <c r="B26" s="324" t="s">
        <v>187</v>
      </c>
      <c r="C26" s="462">
        <v>1.17</v>
      </c>
      <c r="D26" s="462">
        <v>1.33</v>
      </c>
      <c r="E26" s="463">
        <v>1.26</v>
      </c>
      <c r="F26" s="633"/>
      <c r="G26" s="324" t="s">
        <v>187</v>
      </c>
      <c r="H26" s="464">
        <v>0.86</v>
      </c>
      <c r="I26" s="464">
        <v>0.92</v>
      </c>
      <c r="J26" s="465">
        <v>0.85</v>
      </c>
      <c r="L26" s="324" t="str">
        <f>B27</f>
        <v>T2 Inner West</v>
      </c>
      <c r="M26" s="32" t="s">
        <v>188</v>
      </c>
      <c r="N26" s="32" t="s">
        <v>186</v>
      </c>
      <c r="O26" s="462">
        <v>1.06</v>
      </c>
      <c r="P26" s="465">
        <v>0.96</v>
      </c>
    </row>
    <row r="27" spans="2:16" s="9" customFormat="1" ht="12.4" customHeight="1" x14ac:dyDescent="0.2">
      <c r="B27" s="324" t="s">
        <v>188</v>
      </c>
      <c r="C27" s="462">
        <v>1.48</v>
      </c>
      <c r="D27" s="462">
        <v>1.64</v>
      </c>
      <c r="E27" s="463">
        <v>1.31</v>
      </c>
      <c r="F27" s="633"/>
      <c r="G27" s="324" t="s">
        <v>188</v>
      </c>
      <c r="H27" s="464">
        <v>0.97</v>
      </c>
      <c r="I27" s="464">
        <v>1.0900000000000001</v>
      </c>
      <c r="J27" s="465">
        <v>1.06</v>
      </c>
      <c r="L27" s="324"/>
      <c r="M27" s="32" t="s">
        <v>189</v>
      </c>
      <c r="N27" s="32" t="s">
        <v>186</v>
      </c>
      <c r="O27" s="462">
        <v>1.45</v>
      </c>
      <c r="P27" s="465">
        <v>1.41</v>
      </c>
    </row>
    <row r="28" spans="2:16" s="9" customFormat="1" ht="12.4" customHeight="1" x14ac:dyDescent="0.2">
      <c r="B28" s="324" t="s">
        <v>190</v>
      </c>
      <c r="C28" s="462">
        <v>1.19</v>
      </c>
      <c r="D28" s="462">
        <v>1.35</v>
      </c>
      <c r="E28" s="463">
        <v>1.24</v>
      </c>
      <c r="F28" s="633"/>
      <c r="G28" s="324" t="s">
        <v>190</v>
      </c>
      <c r="H28" s="464">
        <v>1.06</v>
      </c>
      <c r="I28" s="464">
        <v>1.1399999999999999</v>
      </c>
      <c r="J28" s="465">
        <v>1</v>
      </c>
      <c r="L28" s="324" t="str">
        <f>B29</f>
        <v>T3 Bankstown</v>
      </c>
      <c r="M28" s="32" t="s">
        <v>191</v>
      </c>
      <c r="N28" s="32" t="s">
        <v>186</v>
      </c>
      <c r="O28" s="462">
        <v>1.23</v>
      </c>
      <c r="P28" s="465">
        <v>1.06</v>
      </c>
    </row>
    <row r="29" spans="2:16" s="9" customFormat="1" ht="12.4" customHeight="1" x14ac:dyDescent="0.2">
      <c r="B29" s="324" t="s">
        <v>191</v>
      </c>
      <c r="C29" s="462">
        <v>1.1100000000000001</v>
      </c>
      <c r="D29" s="462">
        <v>1.28</v>
      </c>
      <c r="E29" s="463">
        <v>1.23</v>
      </c>
      <c r="F29" s="633"/>
      <c r="G29" s="324" t="s">
        <v>191</v>
      </c>
      <c r="H29" s="464">
        <v>0.81</v>
      </c>
      <c r="I29" s="464">
        <v>0.86</v>
      </c>
      <c r="J29" s="465">
        <v>0.91</v>
      </c>
      <c r="L29" s="324" t="str">
        <f>B30</f>
        <v>T4 Eastern Suburbs</v>
      </c>
      <c r="M29" s="32" t="s">
        <v>192</v>
      </c>
      <c r="N29" s="32"/>
      <c r="O29" s="462">
        <v>0.72</v>
      </c>
      <c r="P29" s="465">
        <v>0.56000000000000005</v>
      </c>
    </row>
    <row r="30" spans="2:16" s="9" customFormat="1" ht="12.4" customHeight="1" x14ac:dyDescent="0.2">
      <c r="B30" s="324" t="s">
        <v>192</v>
      </c>
      <c r="C30" s="462">
        <v>0.64</v>
      </c>
      <c r="D30" s="462">
        <v>0.73</v>
      </c>
      <c r="E30" s="463">
        <v>0.67</v>
      </c>
      <c r="F30" s="633"/>
      <c r="G30" s="324" t="s">
        <v>192</v>
      </c>
      <c r="H30" s="464">
        <v>0.48</v>
      </c>
      <c r="I30" s="464">
        <v>0.54</v>
      </c>
      <c r="J30" s="465">
        <v>0.53</v>
      </c>
      <c r="L30" s="324" t="str">
        <f>B31</f>
        <v>T4 Illawarra</v>
      </c>
      <c r="M30" s="32" t="s">
        <v>193</v>
      </c>
      <c r="N30" s="32" t="s">
        <v>194</v>
      </c>
      <c r="O30" s="462">
        <v>1.46</v>
      </c>
      <c r="P30" s="465">
        <v>1.07</v>
      </c>
    </row>
    <row r="31" spans="2:16" s="9" customFormat="1" ht="12.4" customHeight="1" x14ac:dyDescent="0.2">
      <c r="B31" s="324" t="s">
        <v>193</v>
      </c>
      <c r="C31" s="462">
        <v>1.24</v>
      </c>
      <c r="D31" s="462">
        <v>1.44</v>
      </c>
      <c r="E31" s="463">
        <v>1.32</v>
      </c>
      <c r="F31" s="633"/>
      <c r="G31" s="324" t="s">
        <v>193</v>
      </c>
      <c r="H31" s="464">
        <v>0.95</v>
      </c>
      <c r="I31" s="464">
        <v>1.04</v>
      </c>
      <c r="J31" s="465">
        <v>0.97</v>
      </c>
      <c r="L31" s="324"/>
      <c r="M31" s="32" t="s">
        <v>609</v>
      </c>
      <c r="N31" s="32" t="s">
        <v>608</v>
      </c>
      <c r="O31" s="464">
        <v>1.64</v>
      </c>
      <c r="P31" s="465">
        <v>1.01</v>
      </c>
    </row>
    <row r="32" spans="2:16" s="9" customFormat="1" ht="12.4" customHeight="1" x14ac:dyDescent="0.2">
      <c r="B32" s="324" t="s">
        <v>195</v>
      </c>
      <c r="C32" s="462">
        <v>1.1200000000000001</v>
      </c>
      <c r="D32" s="462">
        <v>1.26</v>
      </c>
      <c r="E32" s="463">
        <v>1.2</v>
      </c>
      <c r="F32" s="633"/>
      <c r="G32" s="324" t="s">
        <v>195</v>
      </c>
      <c r="H32" s="464">
        <v>0.91</v>
      </c>
      <c r="I32" s="464">
        <v>0.99720785026455805</v>
      </c>
      <c r="J32" s="465">
        <v>0.94</v>
      </c>
      <c r="L32" s="324" t="str">
        <f>B26</f>
        <v>T2 Airport</v>
      </c>
      <c r="M32" s="32" t="s">
        <v>196</v>
      </c>
      <c r="N32" s="32"/>
      <c r="O32" s="462">
        <v>1.35</v>
      </c>
      <c r="P32" s="465">
        <v>0.99</v>
      </c>
    </row>
    <row r="33" spans="1:16" s="9" customFormat="1" ht="12.4" customHeight="1" x14ac:dyDescent="0.2">
      <c r="B33" s="324" t="s">
        <v>197</v>
      </c>
      <c r="C33" s="462">
        <v>0.51</v>
      </c>
      <c r="D33" s="462">
        <v>0.6</v>
      </c>
      <c r="E33" s="463">
        <v>0.66</v>
      </c>
      <c r="F33" s="633"/>
      <c r="G33" s="324" t="s">
        <v>197</v>
      </c>
      <c r="H33" s="464">
        <v>0.72</v>
      </c>
      <c r="I33" s="464">
        <v>0.73</v>
      </c>
      <c r="J33" s="465">
        <v>0.6</v>
      </c>
      <c r="L33" s="324" t="str">
        <f>B28</f>
        <v>T2 South</v>
      </c>
      <c r="M33" s="32" t="s">
        <v>198</v>
      </c>
      <c r="N33" s="32" t="s">
        <v>186</v>
      </c>
      <c r="O33" s="462">
        <v>1.41</v>
      </c>
      <c r="P33" s="465">
        <v>1.17</v>
      </c>
    </row>
    <row r="34" spans="1:16" s="9" customFormat="1" ht="12.4" customHeight="1" x14ac:dyDescent="0.2">
      <c r="B34" s="324" t="s">
        <v>199</v>
      </c>
      <c r="C34" s="462">
        <v>0.73</v>
      </c>
      <c r="D34" s="462">
        <v>0.81</v>
      </c>
      <c r="E34" s="463">
        <v>0.76</v>
      </c>
      <c r="F34" s="633"/>
      <c r="G34" s="324" t="s">
        <v>199</v>
      </c>
      <c r="H34" s="464">
        <v>0.75</v>
      </c>
      <c r="I34" s="464">
        <v>0.77</v>
      </c>
      <c r="J34" s="465">
        <v>0.76</v>
      </c>
      <c r="L34" s="22"/>
      <c r="M34" s="32" t="s">
        <v>200</v>
      </c>
      <c r="N34" s="32"/>
      <c r="O34" s="462">
        <v>1.25</v>
      </c>
      <c r="P34" s="465">
        <v>1.05</v>
      </c>
    </row>
    <row r="35" spans="1:16" s="9" customFormat="1" ht="12.4" customHeight="1" x14ac:dyDescent="0.2">
      <c r="B35" s="324" t="s">
        <v>201</v>
      </c>
      <c r="C35" s="462">
        <v>1.1000000000000001</v>
      </c>
      <c r="D35" s="462">
        <v>1.19</v>
      </c>
      <c r="E35" s="463">
        <v>1.1599999999999999</v>
      </c>
      <c r="F35" s="633"/>
      <c r="G35" s="324" t="s">
        <v>201</v>
      </c>
      <c r="H35" s="464">
        <v>0.69</v>
      </c>
      <c r="I35" s="464">
        <v>0.8</v>
      </c>
      <c r="J35" s="465">
        <v>0.74</v>
      </c>
      <c r="L35" s="22"/>
      <c r="M35" s="32" t="s">
        <v>197</v>
      </c>
      <c r="N35" s="32" t="s">
        <v>186</v>
      </c>
      <c r="O35" s="464">
        <v>0.41</v>
      </c>
      <c r="P35" s="465">
        <v>0.42</v>
      </c>
    </row>
    <row r="36" spans="1:16" s="9" customFormat="1" ht="12.4" customHeight="1" x14ac:dyDescent="0.2">
      <c r="B36" s="324" t="s">
        <v>202</v>
      </c>
      <c r="C36" s="462">
        <v>0.77</v>
      </c>
      <c r="D36" s="462">
        <v>0.87</v>
      </c>
      <c r="E36" s="463">
        <v>0.86</v>
      </c>
      <c r="F36" s="633"/>
      <c r="G36" s="324" t="s">
        <v>202</v>
      </c>
      <c r="H36" s="464">
        <v>0.72</v>
      </c>
      <c r="I36" s="464">
        <v>0.76088739067055389</v>
      </c>
      <c r="J36" s="465">
        <v>0.77</v>
      </c>
      <c r="L36" s="22"/>
      <c r="M36" s="32" t="s">
        <v>199</v>
      </c>
      <c r="N36" s="32"/>
      <c r="O36" s="462">
        <v>0.63</v>
      </c>
      <c r="P36" s="465">
        <v>0.37</v>
      </c>
    </row>
    <row r="37" spans="1:16" s="9" customFormat="1" ht="13.15" customHeight="1" x14ac:dyDescent="0.2">
      <c r="B37" s="34" t="s">
        <v>203</v>
      </c>
      <c r="C37" s="466">
        <v>1.08</v>
      </c>
      <c r="D37" s="466">
        <v>1.22</v>
      </c>
      <c r="E37" s="467">
        <v>1.1599999999999999</v>
      </c>
      <c r="F37" s="633"/>
      <c r="G37" s="34" t="s">
        <v>203</v>
      </c>
      <c r="H37" s="468">
        <v>0.89</v>
      </c>
      <c r="I37" s="468">
        <v>0.97431750892411961</v>
      </c>
      <c r="J37" s="469">
        <v>0.92</v>
      </c>
      <c r="L37" s="22"/>
      <c r="M37" s="32" t="s">
        <v>201</v>
      </c>
      <c r="N37" s="32"/>
      <c r="O37" s="464">
        <v>0.67</v>
      </c>
      <c r="P37" s="465">
        <v>0.56000000000000005</v>
      </c>
    </row>
    <row r="38" spans="1:16" s="9" customFormat="1" ht="12.4" customHeight="1" x14ac:dyDescent="0.2">
      <c r="L38" s="23"/>
      <c r="M38" s="79" t="s">
        <v>204</v>
      </c>
      <c r="N38" s="79"/>
      <c r="O38" s="466">
        <v>0.56000000000000005</v>
      </c>
      <c r="P38" s="469">
        <v>0.45</v>
      </c>
    </row>
    <row r="39" spans="1:16" s="9" customFormat="1" ht="12.4" customHeight="1" x14ac:dyDescent="0.2">
      <c r="O39" s="633"/>
      <c r="P39" s="46"/>
    </row>
    <row r="40" spans="1:16" s="9" customFormat="1" ht="12.75" x14ac:dyDescent="0.2">
      <c r="I40" s="61"/>
      <c r="N40" s="62" t="s">
        <v>205</v>
      </c>
    </row>
    <row r="41" spans="1:16" s="9" customFormat="1" ht="12.75" x14ac:dyDescent="0.2">
      <c r="A41" s="634"/>
      <c r="I41" s="62"/>
      <c r="N41" s="62" t="s">
        <v>206</v>
      </c>
    </row>
    <row r="42" spans="1:16" s="9" customFormat="1" ht="14.25" x14ac:dyDescent="0.2">
      <c r="B42" s="20" t="s">
        <v>207</v>
      </c>
      <c r="H42" s="20" t="s">
        <v>208</v>
      </c>
      <c r="N42" s="61" t="s">
        <v>637</v>
      </c>
    </row>
    <row r="43" spans="1:16" s="9" customFormat="1" ht="12.75" x14ac:dyDescent="0.2">
      <c r="A43" s="635"/>
      <c r="B43" s="377"/>
      <c r="C43" s="65"/>
      <c r="D43" s="65"/>
      <c r="E43" s="51"/>
      <c r="G43" s="377" t="s">
        <v>103</v>
      </c>
      <c r="H43" s="65"/>
      <c r="I43" s="636"/>
      <c r="J43" s="65"/>
      <c r="K43" s="65" t="s">
        <v>209</v>
      </c>
      <c r="L43" s="51" t="s">
        <v>210</v>
      </c>
    </row>
    <row r="44" spans="1:16" s="9" customFormat="1" ht="12.75" x14ac:dyDescent="0.2">
      <c r="A44" s="634"/>
      <c r="B44" s="22"/>
      <c r="C44" s="459">
        <f>C20</f>
        <v>42614</v>
      </c>
      <c r="D44" s="459">
        <f>O20</f>
        <v>43160</v>
      </c>
      <c r="E44" s="47" t="s">
        <v>211</v>
      </c>
      <c r="G44" s="22"/>
      <c r="I44" s="64">
        <f>C44</f>
        <v>42614</v>
      </c>
      <c r="J44" s="459">
        <f>D44</f>
        <v>43160</v>
      </c>
      <c r="L44" s="47"/>
    </row>
    <row r="45" spans="1:16" s="9" customFormat="1" x14ac:dyDescent="0.2">
      <c r="B45" s="22" t="str">
        <f t="shared" ref="B45:C55" si="1">B21</f>
        <v>T1 North Shore</v>
      </c>
      <c r="C45" s="46">
        <f>C21</f>
        <v>1.1000000000000001</v>
      </c>
      <c r="D45" s="46">
        <f>INDEX($O$21:$O$33,MATCH(B45,$L$21:$L$33, 0))</f>
        <v>1.26</v>
      </c>
      <c r="E45" s="47">
        <f t="shared" ref="E45:E52" si="2">RANK(D45, $D$45:$D$55)</f>
        <v>6</v>
      </c>
      <c r="G45" s="22">
        <v>11</v>
      </c>
      <c r="H45" s="9" t="str">
        <f>INDEX($B$45:$B$55,MATCH($G45,$E$45:$E$55,0))</f>
        <v>T4 Eastern Suburbs</v>
      </c>
      <c r="I45" s="46">
        <f>INDEX($C$45:$C$55,MATCH($G45,$E$45:$E$55,0))</f>
        <v>0.64</v>
      </c>
      <c r="J45" s="46">
        <f>INDEX($D$45:$D$55,MATCH($G45,$E$45:$E$55,0))</f>
        <v>0.72</v>
      </c>
      <c r="K45" s="464">
        <v>1</v>
      </c>
      <c r="L45" s="465">
        <v>1.35</v>
      </c>
    </row>
    <row r="46" spans="1:16" s="9" customFormat="1" x14ac:dyDescent="0.2">
      <c r="B46" s="22" t="str">
        <f t="shared" si="1"/>
        <v>T1 Central Coast via Shore</v>
      </c>
      <c r="C46" s="46">
        <f t="shared" si="1"/>
        <v>1.07</v>
      </c>
      <c r="D46" s="46">
        <f t="shared" ref="D46:D55" si="3">INDEX($O$21:$O$33,MATCH(B46,$L$21:$L$33, 0))</f>
        <v>1.23</v>
      </c>
      <c r="E46" s="47">
        <f t="shared" si="2"/>
        <v>7</v>
      </c>
      <c r="G46" s="22">
        <v>10</v>
      </c>
      <c r="H46" s="9" t="str">
        <f t="shared" ref="H46:H55" si="4">INDEX($B$45:$B$55,MATCH($G46,$E$45:$E$55,0))</f>
        <v>T2 Inner West</v>
      </c>
      <c r="I46" s="46">
        <f t="shared" ref="I46:I55" si="5">INDEX($C$45:$C$55,MATCH($G46,$E$45:$E$55,0))</f>
        <v>1.48</v>
      </c>
      <c r="J46" s="46">
        <f t="shared" ref="J46:J55" si="6">INDEX($D$45:$D$55,MATCH($G46,$E$45:$E$55,0))</f>
        <v>1.06</v>
      </c>
      <c r="K46" s="464">
        <v>1</v>
      </c>
      <c r="L46" s="465">
        <v>1.35</v>
      </c>
    </row>
    <row r="47" spans="1:16" s="9" customFormat="1" x14ac:dyDescent="0.2">
      <c r="B47" s="22" t="str">
        <f t="shared" si="1"/>
        <v>T1 Northern via Strathfield</v>
      </c>
      <c r="C47" s="46">
        <f t="shared" si="1"/>
        <v>1.28</v>
      </c>
      <c r="D47" s="46">
        <f t="shared" si="3"/>
        <v>1.56</v>
      </c>
      <c r="E47" s="47">
        <f t="shared" si="2"/>
        <v>1</v>
      </c>
      <c r="G47" s="22">
        <v>9</v>
      </c>
      <c r="H47" s="9" t="str">
        <f t="shared" si="4"/>
        <v>T1 Northern via Macquarie Park</v>
      </c>
      <c r="I47" s="46">
        <f t="shared" si="5"/>
        <v>1.01</v>
      </c>
      <c r="J47" s="46">
        <f t="shared" si="6"/>
        <v>1.18</v>
      </c>
      <c r="K47" s="464">
        <v>1</v>
      </c>
      <c r="L47" s="465">
        <v>1.35</v>
      </c>
    </row>
    <row r="48" spans="1:16" s="9" customFormat="1" x14ac:dyDescent="0.2">
      <c r="B48" s="22" t="str">
        <f t="shared" si="1"/>
        <v>T1 Northern via Macquarie Park</v>
      </c>
      <c r="C48" s="46">
        <f t="shared" si="1"/>
        <v>1.01</v>
      </c>
      <c r="D48" s="46">
        <f t="shared" si="3"/>
        <v>1.18</v>
      </c>
      <c r="E48" s="47">
        <f t="shared" si="2"/>
        <v>9</v>
      </c>
      <c r="G48" s="22">
        <v>8</v>
      </c>
      <c r="H48" s="9" t="str">
        <f t="shared" si="4"/>
        <v>T3 Bankstown</v>
      </c>
      <c r="I48" s="46">
        <f t="shared" si="5"/>
        <v>1.1100000000000001</v>
      </c>
      <c r="J48" s="46">
        <f t="shared" si="6"/>
        <v>1.23</v>
      </c>
      <c r="K48" s="464">
        <v>1</v>
      </c>
      <c r="L48" s="465">
        <v>1.35</v>
      </c>
    </row>
    <row r="49" spans="2:12" s="9" customFormat="1" x14ac:dyDescent="0.2">
      <c r="B49" s="22" t="str">
        <f t="shared" si="1"/>
        <v>T1 Western</v>
      </c>
      <c r="C49" s="46">
        <f t="shared" si="1"/>
        <v>1.35</v>
      </c>
      <c r="D49" s="46">
        <f t="shared" si="3"/>
        <v>1.39</v>
      </c>
      <c r="E49" s="47">
        <f t="shared" si="2"/>
        <v>4</v>
      </c>
      <c r="G49" s="22">
        <v>7</v>
      </c>
      <c r="H49" s="9" t="str">
        <f t="shared" si="4"/>
        <v>T1 Central Coast via Shore</v>
      </c>
      <c r="I49" s="46">
        <f t="shared" si="5"/>
        <v>1.07</v>
      </c>
      <c r="J49" s="46">
        <f t="shared" si="6"/>
        <v>1.23</v>
      </c>
      <c r="K49" s="464">
        <v>1</v>
      </c>
      <c r="L49" s="465">
        <v>1.35</v>
      </c>
    </row>
    <row r="50" spans="2:12" s="9" customFormat="1" x14ac:dyDescent="0.2">
      <c r="B50" s="22" t="str">
        <f t="shared" si="1"/>
        <v>T2 Airport</v>
      </c>
      <c r="C50" s="46">
        <f t="shared" si="1"/>
        <v>1.17</v>
      </c>
      <c r="D50" s="46">
        <f t="shared" si="3"/>
        <v>1.35</v>
      </c>
      <c r="E50" s="47">
        <f t="shared" si="2"/>
        <v>5</v>
      </c>
      <c r="G50" s="22">
        <v>6</v>
      </c>
      <c r="H50" s="9" t="str">
        <f t="shared" si="4"/>
        <v>T1 North Shore</v>
      </c>
      <c r="I50" s="46">
        <f t="shared" si="5"/>
        <v>1.1000000000000001</v>
      </c>
      <c r="J50" s="46">
        <f t="shared" si="6"/>
        <v>1.26</v>
      </c>
      <c r="K50" s="464">
        <v>1</v>
      </c>
      <c r="L50" s="465">
        <v>1.35</v>
      </c>
    </row>
    <row r="51" spans="2:12" s="9" customFormat="1" x14ac:dyDescent="0.2">
      <c r="B51" s="22" t="str">
        <f t="shared" si="1"/>
        <v>T2 Inner West</v>
      </c>
      <c r="C51" s="46">
        <f t="shared" si="1"/>
        <v>1.48</v>
      </c>
      <c r="D51" s="46">
        <f t="shared" si="3"/>
        <v>1.06</v>
      </c>
      <c r="E51" s="47">
        <f t="shared" si="2"/>
        <v>10</v>
      </c>
      <c r="G51" s="22">
        <v>5</v>
      </c>
      <c r="H51" s="9" t="str">
        <f t="shared" si="4"/>
        <v>T2 Airport</v>
      </c>
      <c r="I51" s="46">
        <f t="shared" si="5"/>
        <v>1.17</v>
      </c>
      <c r="J51" s="46">
        <f t="shared" si="6"/>
        <v>1.35</v>
      </c>
      <c r="K51" s="464">
        <v>1</v>
      </c>
      <c r="L51" s="465">
        <v>1.35</v>
      </c>
    </row>
    <row r="52" spans="2:12" s="9" customFormat="1" x14ac:dyDescent="0.2">
      <c r="B52" s="22" t="str">
        <f t="shared" si="1"/>
        <v>T2 South</v>
      </c>
      <c r="C52" s="46">
        <f t="shared" si="1"/>
        <v>1.19</v>
      </c>
      <c r="D52" s="46">
        <f t="shared" si="3"/>
        <v>1.41</v>
      </c>
      <c r="E52" s="47">
        <f t="shared" si="2"/>
        <v>3</v>
      </c>
      <c r="G52" s="22">
        <v>4</v>
      </c>
      <c r="H52" s="9" t="str">
        <f t="shared" si="4"/>
        <v>T1 Western</v>
      </c>
      <c r="I52" s="46">
        <f t="shared" si="5"/>
        <v>1.35</v>
      </c>
      <c r="J52" s="46">
        <f t="shared" si="6"/>
        <v>1.39</v>
      </c>
      <c r="K52" s="464">
        <v>1</v>
      </c>
      <c r="L52" s="465">
        <v>1.35</v>
      </c>
    </row>
    <row r="53" spans="2:12" s="9" customFormat="1" x14ac:dyDescent="0.2">
      <c r="B53" s="22" t="str">
        <f t="shared" si="1"/>
        <v>T3 Bankstown</v>
      </c>
      <c r="C53" s="46">
        <f t="shared" si="1"/>
        <v>1.1100000000000001</v>
      </c>
      <c r="D53" s="46">
        <f t="shared" si="3"/>
        <v>1.23</v>
      </c>
      <c r="E53" s="470">
        <v>8</v>
      </c>
      <c r="G53" s="22">
        <v>3</v>
      </c>
      <c r="H53" s="9" t="str">
        <f t="shared" si="4"/>
        <v>T2 South</v>
      </c>
      <c r="I53" s="46">
        <f t="shared" si="5"/>
        <v>1.19</v>
      </c>
      <c r="J53" s="46">
        <f t="shared" si="6"/>
        <v>1.41</v>
      </c>
      <c r="K53" s="464">
        <v>1</v>
      </c>
      <c r="L53" s="465">
        <v>1.35</v>
      </c>
    </row>
    <row r="54" spans="2:12" s="9" customFormat="1" x14ac:dyDescent="0.2">
      <c r="B54" s="22" t="str">
        <f t="shared" si="1"/>
        <v>T4 Eastern Suburbs</v>
      </c>
      <c r="C54" s="46">
        <f t="shared" si="1"/>
        <v>0.64</v>
      </c>
      <c r="D54" s="46">
        <f t="shared" si="3"/>
        <v>0.72</v>
      </c>
      <c r="E54" s="47">
        <f>RANK(D54, $D$45:$D$55)</f>
        <v>11</v>
      </c>
      <c r="G54" s="22">
        <v>2</v>
      </c>
      <c r="H54" s="9" t="str">
        <f t="shared" si="4"/>
        <v>T4 Illawarra</v>
      </c>
      <c r="I54" s="46">
        <f t="shared" si="5"/>
        <v>1.24</v>
      </c>
      <c r="J54" s="46">
        <f t="shared" si="6"/>
        <v>1.46</v>
      </c>
      <c r="K54" s="464">
        <v>1</v>
      </c>
      <c r="L54" s="465">
        <v>1.35</v>
      </c>
    </row>
    <row r="55" spans="2:12" s="9" customFormat="1" x14ac:dyDescent="0.2">
      <c r="B55" s="23" t="str">
        <f t="shared" si="1"/>
        <v>T4 Illawarra</v>
      </c>
      <c r="C55" s="471">
        <f t="shared" si="1"/>
        <v>1.24</v>
      </c>
      <c r="D55" s="471">
        <f t="shared" si="3"/>
        <v>1.46</v>
      </c>
      <c r="E55" s="49">
        <f>RANK(D55, $D$45:$D$55)</f>
        <v>2</v>
      </c>
      <c r="G55" s="23">
        <v>1</v>
      </c>
      <c r="H55" s="472" t="str">
        <f t="shared" si="4"/>
        <v>T1 Northern via Strathfield</v>
      </c>
      <c r="I55" s="471">
        <f t="shared" si="5"/>
        <v>1.28</v>
      </c>
      <c r="J55" s="471">
        <f t="shared" si="6"/>
        <v>1.56</v>
      </c>
      <c r="K55" s="468">
        <v>1</v>
      </c>
      <c r="L55" s="469">
        <v>1.35</v>
      </c>
    </row>
    <row r="56" spans="2:12" s="9" customFormat="1" x14ac:dyDescent="0.2"/>
    <row r="57" spans="2:12" ht="108" x14ac:dyDescent="0.2">
      <c r="K57" s="351" t="s">
        <v>212</v>
      </c>
      <c r="L57" s="351" t="s">
        <v>213</v>
      </c>
    </row>
    <row r="88" spans="2:11" ht="14.25" x14ac:dyDescent="0.2">
      <c r="B88" s="20" t="s">
        <v>257</v>
      </c>
    </row>
    <row r="90" spans="2:11" x14ac:dyDescent="0.2">
      <c r="B90" s="352" t="s">
        <v>214</v>
      </c>
    </row>
    <row r="91" spans="2:11" x14ac:dyDescent="0.2">
      <c r="B91" s="352" t="s">
        <v>215</v>
      </c>
    </row>
    <row r="92" spans="2:11" x14ac:dyDescent="0.2">
      <c r="B92" s="352" t="s">
        <v>216</v>
      </c>
      <c r="D92" s="8"/>
      <c r="E92" s="8"/>
      <c r="F92" s="8"/>
      <c r="G92" s="8"/>
      <c r="H92" s="8"/>
      <c r="I92" s="8"/>
    </row>
    <row r="93" spans="2:11" x14ac:dyDescent="0.2">
      <c r="B93" s="352" t="s">
        <v>217</v>
      </c>
      <c r="D93" s="8"/>
      <c r="E93" s="8"/>
      <c r="F93" s="8"/>
      <c r="G93" s="8"/>
      <c r="H93" s="8"/>
      <c r="I93" s="8"/>
    </row>
    <row r="94" spans="2:11" ht="12.75" x14ac:dyDescent="0.2">
      <c r="B94" s="352" t="s">
        <v>218</v>
      </c>
      <c r="D94" s="8"/>
      <c r="E94" s="8"/>
      <c r="F94" s="8"/>
      <c r="G94" s="8"/>
      <c r="H94" s="8"/>
      <c r="I94" s="8"/>
      <c r="K94" s="61"/>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Z48"/>
  <sheetViews>
    <sheetView showGridLines="0" zoomScale="75" zoomScaleNormal="75" workbookViewId="0">
      <selection activeCell="T31" sqref="T31"/>
    </sheetView>
  </sheetViews>
  <sheetFormatPr defaultColWidth="12.85546875" defaultRowHeight="12" x14ac:dyDescent="0.2"/>
  <cols>
    <col min="1" max="1" width="14.42578125" style="352" customWidth="1"/>
    <col min="2" max="2" width="39.42578125" style="352" customWidth="1"/>
    <col min="3" max="3" width="18.7109375" style="352" customWidth="1"/>
    <col min="4" max="4" width="15.42578125" style="352" customWidth="1"/>
    <col min="5" max="8" width="12.85546875" style="352"/>
    <col min="9" max="9" width="12.85546875" style="352" customWidth="1"/>
    <col min="10" max="10" width="19.7109375" style="352" customWidth="1"/>
    <col min="11" max="12" width="16.28515625" style="352" customWidth="1"/>
    <col min="13" max="13" width="12.85546875" style="352"/>
    <col min="14" max="19" width="16.28515625" style="352" customWidth="1"/>
    <col min="20" max="22" width="12.85546875" style="352"/>
    <col min="23" max="23" width="24.42578125" style="352" customWidth="1"/>
    <col min="24" max="24" width="20.140625" style="352" customWidth="1"/>
    <col min="25" max="29" width="12.85546875" style="352"/>
    <col min="30" max="30" width="20.5703125" style="352" bestFit="1" customWidth="1"/>
    <col min="31" max="31" width="14.7109375" style="352" bestFit="1" customWidth="1"/>
    <col min="32" max="16384" width="12.85546875" style="352"/>
  </cols>
  <sheetData>
    <row r="1" spans="1:26" ht="18.600000000000001" customHeight="1" x14ac:dyDescent="0.2"/>
    <row r="2" spans="1:26" ht="18.600000000000001" customHeight="1" x14ac:dyDescent="0.2"/>
    <row r="3" spans="1:26" ht="18.600000000000001" customHeight="1" x14ac:dyDescent="0.2">
      <c r="K3" s="82" t="s">
        <v>409</v>
      </c>
    </row>
    <row r="4" spans="1:26" ht="18.600000000000001" customHeight="1" x14ac:dyDescent="0.2"/>
    <row r="5" spans="1:26" s="679" customFormat="1" ht="18.600000000000001" customHeight="1" x14ac:dyDescent="0.2">
      <c r="K5" s="28" t="str">
        <f>'Contents, list of sources'!G17</f>
        <v>Organisation</v>
      </c>
      <c r="L5" s="28"/>
      <c r="M5" s="28" t="str">
        <f>'Contents, list of sources'!I17</f>
        <v>Title</v>
      </c>
      <c r="N5" s="28"/>
      <c r="O5" s="28"/>
      <c r="P5" s="28"/>
      <c r="Q5" s="28"/>
      <c r="R5" s="28"/>
      <c r="S5" s="28" t="str">
        <f>'Contents, list of sources'!O17</f>
        <v>Link</v>
      </c>
      <c r="T5" s="28"/>
      <c r="U5" s="28"/>
      <c r="V5" s="28"/>
      <c r="W5" s="28"/>
      <c r="X5" s="28" t="str">
        <f>'Contents, list of sources'!T17</f>
        <v>Date accessed</v>
      </c>
      <c r="Y5" s="28"/>
      <c r="Z5" s="28"/>
    </row>
    <row r="6" spans="1:26" ht="18.600000000000001" customHeight="1" x14ac:dyDescent="0.2">
      <c r="K6" s="447" t="str">
        <f>'Contents, list of sources'!G480</f>
        <v>Transport for NSW</v>
      </c>
      <c r="L6" s="74"/>
      <c r="M6" s="447" t="str">
        <f>'Contents, list of sources'!I480</f>
        <v>All modes historical patronage - Top Level Chart</v>
      </c>
      <c r="N6" s="74"/>
      <c r="O6" s="74"/>
      <c r="P6" s="74"/>
      <c r="Q6" s="448"/>
      <c r="R6" s="447"/>
      <c r="S6" s="447" t="str">
        <f>'Contents, list of sources'!O480</f>
        <v>https://www.transport.nsw.gov.au/data-and-research/passenger-travel/all-modes-patronage-historical/all-modes-historical-patronage</v>
      </c>
      <c r="T6" s="74"/>
      <c r="U6" s="74"/>
      <c r="V6" s="74"/>
      <c r="W6" s="74"/>
      <c r="X6" s="448">
        <f>'Contents, list of sources'!T480</f>
        <v>43556</v>
      </c>
      <c r="Y6" s="447"/>
    </row>
    <row r="7" spans="1:26" ht="18.600000000000001" customHeight="1" x14ac:dyDescent="0.2">
      <c r="K7" s="447" t="str">
        <f>'Contents, list of sources'!G482</f>
        <v>Transport for NSW</v>
      </c>
      <c r="L7" s="74"/>
      <c r="M7" s="447" t="str">
        <f>'Contents, list of sources'!I482</f>
        <v>Historical Trains Punctuality Performance</v>
      </c>
      <c r="N7" s="74"/>
      <c r="O7" s="74"/>
      <c r="P7" s="74"/>
      <c r="Q7" s="448"/>
      <c r="R7" s="447"/>
      <c r="S7" s="447" t="str">
        <f>'Contents, list of sources'!O482</f>
        <v>https://www.transport.nsw.gov.au/data-and-research/passenger-travel/sydney-trains-and-nsw-trainlink-intercity-performance-reports</v>
      </c>
      <c r="T7" s="74"/>
      <c r="U7" s="74"/>
      <c r="V7" s="74"/>
      <c r="W7" s="74"/>
      <c r="X7" s="448">
        <f>'Contents, list of sources'!T482</f>
        <v>43525</v>
      </c>
      <c r="Y7" s="447"/>
    </row>
    <row r="8" spans="1:26" ht="18.600000000000001" customHeight="1" x14ac:dyDescent="0.25">
      <c r="A8" s="1"/>
      <c r="E8" s="28"/>
      <c r="F8" s="28"/>
      <c r="G8" s="28"/>
      <c r="H8" s="28"/>
      <c r="I8" s="28"/>
      <c r="J8" s="28"/>
      <c r="K8" s="28"/>
      <c r="L8" s="28"/>
      <c r="M8" s="28"/>
      <c r="N8" s="28"/>
      <c r="O8" s="28"/>
      <c r="P8" s="28"/>
      <c r="Q8" s="28"/>
      <c r="R8" s="28"/>
      <c r="S8" s="28"/>
    </row>
    <row r="9" spans="1:26" s="70" customFormat="1" ht="18.600000000000001" customHeight="1" x14ac:dyDescent="0.2">
      <c r="A9" s="372"/>
      <c r="B9" s="449"/>
      <c r="D9" s="295"/>
      <c r="E9" s="28"/>
      <c r="F9" s="28"/>
      <c r="G9" s="28"/>
      <c r="H9" s="28"/>
      <c r="I9" s="28"/>
      <c r="J9" s="28"/>
      <c r="K9" s="369"/>
      <c r="L9" s="28"/>
      <c r="M9" s="28"/>
      <c r="N9" s="28"/>
      <c r="O9" s="28"/>
      <c r="P9" s="28"/>
      <c r="Q9" s="28"/>
      <c r="R9" s="28"/>
      <c r="S9" s="28"/>
    </row>
    <row r="10" spans="1:26" s="28" customFormat="1" ht="18.600000000000001" customHeight="1" x14ac:dyDescent="0.2">
      <c r="A10" s="372"/>
    </row>
    <row r="11" spans="1:26" s="270" customFormat="1" ht="18.600000000000001" customHeight="1" x14ac:dyDescent="0.3">
      <c r="B11" s="450" t="s">
        <v>404</v>
      </c>
      <c r="E11" s="76"/>
      <c r="F11" s="76"/>
      <c r="G11" s="76"/>
      <c r="H11" s="76"/>
      <c r="I11" s="76"/>
      <c r="J11" s="76"/>
      <c r="K11" s="269"/>
      <c r="L11" s="76"/>
      <c r="M11" s="76"/>
      <c r="N11" s="76"/>
      <c r="O11" s="76"/>
      <c r="P11" s="76"/>
      <c r="Q11" s="76"/>
      <c r="R11" s="76"/>
      <c r="S11" s="76"/>
    </row>
    <row r="12" spans="1:26" s="79" customFormat="1" ht="18.600000000000001" customHeight="1" x14ac:dyDescent="0.2">
      <c r="A12" s="374"/>
      <c r="I12" s="80"/>
      <c r="J12" s="80"/>
      <c r="K12" s="80"/>
    </row>
    <row r="13" spans="1:26" s="28" customFormat="1" x14ac:dyDescent="0.2">
      <c r="A13" s="372"/>
      <c r="J13" s="13"/>
    </row>
    <row r="14" spans="1:26" s="2" customFormat="1" x14ac:dyDescent="0.2">
      <c r="J14" s="5"/>
    </row>
    <row r="16" spans="1:26" s="9" customFormat="1" ht="22.9" customHeight="1" x14ac:dyDescent="0.2">
      <c r="B16" s="20" t="s">
        <v>610</v>
      </c>
      <c r="H16" s="20" t="s">
        <v>237</v>
      </c>
      <c r="M16" s="20" t="s">
        <v>611</v>
      </c>
    </row>
    <row r="17" spans="2:26" s="9" customFormat="1" ht="22.9" customHeight="1" x14ac:dyDescent="0.2">
      <c r="B17" s="627"/>
      <c r="C17" s="65" t="s">
        <v>238</v>
      </c>
      <c r="D17" s="65" t="s">
        <v>240</v>
      </c>
      <c r="E17" s="51" t="s">
        <v>239</v>
      </c>
      <c r="H17" s="627"/>
      <c r="I17" s="65" t="s">
        <v>238</v>
      </c>
      <c r="J17" s="65" t="s">
        <v>240</v>
      </c>
      <c r="K17" s="51" t="s">
        <v>239</v>
      </c>
      <c r="M17" s="627"/>
      <c r="N17" s="65" t="s">
        <v>238</v>
      </c>
      <c r="O17" s="65" t="s">
        <v>240</v>
      </c>
      <c r="P17" s="51" t="s">
        <v>239</v>
      </c>
    </row>
    <row r="18" spans="2:26" s="9" customFormat="1" x14ac:dyDescent="0.2">
      <c r="B18" s="628"/>
      <c r="C18" s="9" t="s">
        <v>242</v>
      </c>
      <c r="D18" s="9" t="s">
        <v>242</v>
      </c>
      <c r="E18" s="47" t="s">
        <v>242</v>
      </c>
      <c r="H18" s="628"/>
      <c r="I18" s="9" t="s">
        <v>242</v>
      </c>
      <c r="J18" s="9" t="s">
        <v>242</v>
      </c>
      <c r="K18" s="47" t="s">
        <v>242</v>
      </c>
      <c r="M18" s="628"/>
      <c r="N18" s="9" t="s">
        <v>242</v>
      </c>
      <c r="O18" s="9" t="s">
        <v>242</v>
      </c>
      <c r="P18" s="47" t="s">
        <v>242</v>
      </c>
    </row>
    <row r="19" spans="2:26" s="9" customFormat="1" x14ac:dyDescent="0.2">
      <c r="B19" s="631">
        <v>41791</v>
      </c>
      <c r="C19" s="331">
        <v>0.95399999999999996</v>
      </c>
      <c r="D19" s="331">
        <v>0.91700000000000004</v>
      </c>
      <c r="E19" s="332">
        <v>0.93600000000000005</v>
      </c>
      <c r="H19" s="631">
        <v>41791</v>
      </c>
      <c r="I19" s="331">
        <v>0.95699999999999996</v>
      </c>
      <c r="J19" s="331">
        <v>0.92600000000000005</v>
      </c>
      <c r="K19" s="332">
        <v>0.94099999999999995</v>
      </c>
      <c r="M19" s="631">
        <v>41791</v>
      </c>
      <c r="N19" s="331">
        <v>0.93500000000000005</v>
      </c>
      <c r="O19" s="331">
        <v>0.85099999999999998</v>
      </c>
      <c r="P19" s="332">
        <v>0.89300000000000002</v>
      </c>
    </row>
    <row r="20" spans="2:26" s="9" customFormat="1" x14ac:dyDescent="0.2">
      <c r="B20" s="631">
        <v>42156</v>
      </c>
      <c r="C20" s="331">
        <v>0.95099999999999996</v>
      </c>
      <c r="D20" s="331">
        <v>0.91200000000000003</v>
      </c>
      <c r="E20" s="332">
        <v>0.93200000000000005</v>
      </c>
      <c r="H20" s="631">
        <v>42156</v>
      </c>
      <c r="I20" s="331">
        <v>0.95599999999999996</v>
      </c>
      <c r="J20" s="331">
        <v>0.92200000000000004</v>
      </c>
      <c r="K20" s="332">
        <v>0.93899999999999995</v>
      </c>
      <c r="M20" s="631">
        <v>42156</v>
      </c>
      <c r="N20" s="331">
        <v>0.91</v>
      </c>
      <c r="O20" s="331">
        <v>0.83799999999999997</v>
      </c>
      <c r="P20" s="332">
        <v>0.874</v>
      </c>
    </row>
    <row r="21" spans="2:26" s="9" customFormat="1" x14ac:dyDescent="0.2">
      <c r="B21" s="631">
        <v>42522</v>
      </c>
      <c r="C21" s="331">
        <v>0.95699999999999996</v>
      </c>
      <c r="D21" s="331">
        <v>0.91500000000000004</v>
      </c>
      <c r="E21" s="332">
        <v>0.93600000000000005</v>
      </c>
      <c r="H21" s="631">
        <v>42522</v>
      </c>
      <c r="I21" s="331">
        <v>0.96099999999999997</v>
      </c>
      <c r="J21" s="331">
        <v>0.92300000000000004</v>
      </c>
      <c r="K21" s="332">
        <v>0.94199999999999995</v>
      </c>
      <c r="M21" s="631">
        <v>42522</v>
      </c>
      <c r="N21" s="331">
        <v>0.93</v>
      </c>
      <c r="O21" s="331">
        <v>0.85499999999999998</v>
      </c>
      <c r="P21" s="332">
        <v>0.89300000000000002</v>
      </c>
    </row>
    <row r="22" spans="2:26" s="9" customFormat="1" x14ac:dyDescent="0.2">
      <c r="B22" s="631">
        <v>42887</v>
      </c>
      <c r="C22" s="331">
        <v>0.95199999999999996</v>
      </c>
      <c r="D22" s="331">
        <v>0.90500000000000003</v>
      </c>
      <c r="E22" s="332">
        <v>0.92900000000000005</v>
      </c>
      <c r="H22" s="631">
        <v>42887</v>
      </c>
      <c r="I22" s="331">
        <v>0.95599999999999996</v>
      </c>
      <c r="J22" s="331">
        <v>0.91200000000000003</v>
      </c>
      <c r="K22" s="332">
        <v>0.93400000000000005</v>
      </c>
      <c r="M22" s="631">
        <v>42887</v>
      </c>
      <c r="N22" s="331">
        <v>0.92600000000000005</v>
      </c>
      <c r="O22" s="331">
        <v>0.85</v>
      </c>
      <c r="P22" s="332">
        <v>0.88800000000000001</v>
      </c>
    </row>
    <row r="23" spans="2:26" s="9" customFormat="1" x14ac:dyDescent="0.2">
      <c r="B23" s="632">
        <v>43252</v>
      </c>
      <c r="C23" s="333">
        <v>0.93899999999999995</v>
      </c>
      <c r="D23" s="333">
        <v>0.89</v>
      </c>
      <c r="E23" s="334">
        <v>0.91400000000000003</v>
      </c>
      <c r="H23" s="632">
        <v>43252</v>
      </c>
      <c r="I23" s="333">
        <v>0.94</v>
      </c>
      <c r="J23" s="333">
        <v>0.89300000000000002</v>
      </c>
      <c r="K23" s="334">
        <v>0.91600000000000004</v>
      </c>
      <c r="M23" s="632">
        <v>43252</v>
      </c>
      <c r="N23" s="333">
        <v>0.92800000000000005</v>
      </c>
      <c r="O23" s="333">
        <v>0.87</v>
      </c>
      <c r="P23" s="334">
        <v>0.9</v>
      </c>
      <c r="V23" s="46"/>
    </row>
    <row r="24" spans="2:26" s="9" customFormat="1" x14ac:dyDescent="0.2"/>
    <row r="25" spans="2:26" s="9" customFormat="1" x14ac:dyDescent="0.2"/>
    <row r="26" spans="2:26" s="9" customFormat="1" x14ac:dyDescent="0.2"/>
    <row r="27" spans="2:26" s="9" customFormat="1" ht="14.25" x14ac:dyDescent="0.2">
      <c r="B27" s="20" t="s">
        <v>612</v>
      </c>
    </row>
    <row r="28" spans="2:26" s="9" customFormat="1" ht="11.45" customHeight="1" x14ac:dyDescent="0.2">
      <c r="B28" s="627"/>
      <c r="C28" s="30" t="str">
        <f>C18</f>
        <v>Per cent</v>
      </c>
      <c r="D28" s="30" t="str">
        <f>D18</f>
        <v>Per cent</v>
      </c>
      <c r="E28" s="1374" t="s">
        <v>241</v>
      </c>
      <c r="F28" s="1375"/>
      <c r="G28" s="32"/>
      <c r="H28" s="32"/>
      <c r="I28" s="32"/>
      <c r="J28" s="32"/>
      <c r="K28" s="32"/>
      <c r="L28" s="32"/>
      <c r="M28" s="32"/>
      <c r="N28" s="32"/>
      <c r="O28" s="32"/>
      <c r="P28" s="32"/>
      <c r="Q28" s="32"/>
      <c r="R28" s="32"/>
      <c r="S28" s="32"/>
      <c r="T28" s="32"/>
      <c r="U28" s="32"/>
      <c r="V28" s="32"/>
      <c r="W28" s="32"/>
      <c r="X28" s="32"/>
      <c r="Y28" s="32"/>
      <c r="Z28" s="32"/>
    </row>
    <row r="29" spans="2:26" s="9" customFormat="1" ht="24" x14ac:dyDescent="0.2">
      <c r="B29" s="628"/>
      <c r="C29" s="32" t="str">
        <f>C17</f>
        <v>AM peak</v>
      </c>
      <c r="D29" s="32" t="str">
        <f>D17</f>
        <v>PM peak</v>
      </c>
      <c r="E29" s="335" t="s">
        <v>244</v>
      </c>
      <c r="F29" s="336" t="s">
        <v>22</v>
      </c>
      <c r="G29" s="32"/>
      <c r="H29" s="32"/>
      <c r="I29" s="32"/>
      <c r="J29" s="32"/>
      <c r="K29" s="32"/>
      <c r="L29" s="32"/>
      <c r="M29" s="32"/>
      <c r="N29" s="32"/>
      <c r="O29" s="32"/>
      <c r="P29" s="32"/>
      <c r="Q29" s="32"/>
      <c r="R29" s="32"/>
      <c r="S29" s="32"/>
      <c r="T29" s="32"/>
      <c r="U29" s="32"/>
      <c r="V29" s="32"/>
      <c r="W29" s="32"/>
      <c r="X29" s="32"/>
      <c r="Y29" s="32"/>
      <c r="Z29" s="32"/>
    </row>
    <row r="30" spans="2:26" s="9" customFormat="1" x14ac:dyDescent="0.2">
      <c r="B30" s="629">
        <f t="shared" ref="B30:D34" si="0">B19</f>
        <v>41791</v>
      </c>
      <c r="C30" s="451">
        <f t="shared" si="0"/>
        <v>0.95399999999999996</v>
      </c>
      <c r="D30" s="451">
        <f t="shared" si="0"/>
        <v>0.91700000000000004</v>
      </c>
      <c r="E30" s="452">
        <f>F30/'IPART inputs'!$C$18</f>
        <v>315.09899999999999</v>
      </c>
      <c r="F30" s="453">
        <f t="array" ref="F30:F34">TRANSPOSE('Patronage since 2011-12'!F18:J18)</f>
        <v>315099</v>
      </c>
      <c r="G30" s="32"/>
      <c r="H30" s="32"/>
      <c r="I30" s="32"/>
      <c r="J30" s="32"/>
      <c r="K30" s="32"/>
      <c r="L30" s="32"/>
      <c r="M30" s="32"/>
      <c r="N30" s="32"/>
      <c r="O30" s="32"/>
      <c r="P30" s="32"/>
      <c r="Q30" s="32"/>
      <c r="R30" s="32"/>
      <c r="S30" s="32"/>
      <c r="T30" s="32"/>
      <c r="U30" s="32"/>
      <c r="V30" s="32"/>
      <c r="W30" s="32"/>
      <c r="X30" s="32"/>
      <c r="Y30" s="32"/>
      <c r="Z30" s="32"/>
    </row>
    <row r="31" spans="2:26" s="9" customFormat="1" x14ac:dyDescent="0.2">
      <c r="B31" s="629">
        <f t="shared" si="0"/>
        <v>42156</v>
      </c>
      <c r="C31" s="451">
        <f t="shared" si="0"/>
        <v>0.95099999999999996</v>
      </c>
      <c r="D31" s="451">
        <f t="shared" si="0"/>
        <v>0.91200000000000003</v>
      </c>
      <c r="E31" s="452">
        <f>F31/'IPART inputs'!$C$18</f>
        <v>328.209</v>
      </c>
      <c r="F31" s="453">
        <v>328209</v>
      </c>
      <c r="G31" s="32"/>
      <c r="H31" s="32"/>
      <c r="I31" s="32"/>
      <c r="J31" s="32"/>
      <c r="K31" s="32"/>
      <c r="L31" s="32"/>
      <c r="M31" s="32"/>
      <c r="N31" s="32"/>
      <c r="O31" s="32"/>
      <c r="P31" s="32"/>
      <c r="Q31" s="32"/>
      <c r="R31" s="32"/>
      <c r="S31" s="32"/>
      <c r="T31" s="32"/>
      <c r="U31" s="32"/>
      <c r="V31" s="32"/>
      <c r="W31" s="32"/>
      <c r="X31" s="32"/>
      <c r="Y31" s="32"/>
      <c r="Z31" s="32"/>
    </row>
    <row r="32" spans="2:26" s="9" customFormat="1" x14ac:dyDescent="0.2">
      <c r="B32" s="629">
        <f t="shared" si="0"/>
        <v>42522</v>
      </c>
      <c r="C32" s="451">
        <f t="shared" si="0"/>
        <v>0.95699999999999996</v>
      </c>
      <c r="D32" s="451">
        <f t="shared" si="0"/>
        <v>0.91500000000000004</v>
      </c>
      <c r="E32" s="452">
        <f>F32/'IPART inputs'!$C$18</f>
        <v>362.89100000000002</v>
      </c>
      <c r="F32" s="453">
        <v>362891</v>
      </c>
      <c r="G32" s="32"/>
      <c r="H32" s="32"/>
      <c r="I32" s="32"/>
      <c r="J32" s="32"/>
      <c r="K32" s="32"/>
      <c r="L32" s="32"/>
      <c r="M32" s="32"/>
      <c r="N32" s="32"/>
      <c r="O32" s="32"/>
      <c r="P32" s="32"/>
      <c r="Q32" s="32"/>
      <c r="R32" s="32"/>
      <c r="S32" s="32"/>
      <c r="T32" s="32"/>
      <c r="U32" s="32"/>
      <c r="V32" s="32"/>
      <c r="W32" s="32"/>
      <c r="X32" s="32"/>
      <c r="Y32" s="32"/>
      <c r="Z32" s="32"/>
    </row>
    <row r="33" spans="2:26" s="9" customFormat="1" x14ac:dyDescent="0.2">
      <c r="B33" s="629">
        <f t="shared" si="0"/>
        <v>42887</v>
      </c>
      <c r="C33" s="451">
        <f t="shared" si="0"/>
        <v>0.95199999999999996</v>
      </c>
      <c r="D33" s="451">
        <f t="shared" si="0"/>
        <v>0.90500000000000003</v>
      </c>
      <c r="E33" s="452">
        <f>F33/'IPART inputs'!$C$18</f>
        <v>387.56900000000002</v>
      </c>
      <c r="F33" s="453">
        <v>387569</v>
      </c>
      <c r="G33" s="32"/>
      <c r="H33" s="32"/>
      <c r="I33" s="32"/>
      <c r="J33" s="32"/>
      <c r="K33" s="32"/>
      <c r="L33" s="32"/>
      <c r="M33" s="32"/>
      <c r="N33" s="32"/>
      <c r="O33" s="32"/>
      <c r="P33" s="32"/>
      <c r="Q33" s="32"/>
      <c r="R33" s="32"/>
      <c r="S33" s="32"/>
      <c r="T33" s="32"/>
      <c r="U33" s="32"/>
      <c r="V33" s="32"/>
      <c r="W33" s="32"/>
      <c r="X33" s="32"/>
      <c r="Y33" s="32"/>
      <c r="Z33" s="32"/>
    </row>
    <row r="34" spans="2:26" s="9" customFormat="1" x14ac:dyDescent="0.2">
      <c r="B34" s="630">
        <f t="shared" si="0"/>
        <v>43252</v>
      </c>
      <c r="C34" s="454">
        <f t="shared" si="0"/>
        <v>0.93899999999999995</v>
      </c>
      <c r="D34" s="454">
        <f t="shared" si="0"/>
        <v>0.89</v>
      </c>
      <c r="E34" s="455">
        <f>F34/'IPART inputs'!$C$18</f>
        <v>405.92500000000001</v>
      </c>
      <c r="F34" s="456">
        <v>405925</v>
      </c>
      <c r="G34" s="32"/>
      <c r="H34" s="32"/>
      <c r="I34" s="32"/>
      <c r="J34" s="32"/>
      <c r="K34" s="32"/>
      <c r="L34" s="32"/>
      <c r="M34" s="32"/>
      <c r="N34" s="32"/>
      <c r="O34" s="32"/>
      <c r="P34" s="32"/>
      <c r="Q34" s="32"/>
      <c r="R34" s="32"/>
      <c r="S34" s="32"/>
      <c r="T34" s="32"/>
      <c r="U34" s="32"/>
      <c r="V34" s="32"/>
      <c r="W34" s="32"/>
      <c r="X34" s="32"/>
      <c r="Y34" s="32"/>
      <c r="Z34" s="32"/>
    </row>
    <row r="35" spans="2:26" s="9" customFormat="1" x14ac:dyDescent="0.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2:26" s="9" customFormat="1" x14ac:dyDescent="0.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2:26" s="9" customFormat="1" x14ac:dyDescent="0.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2:26" s="9" customFormat="1" x14ac:dyDescent="0.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2:26" s="9" customFormat="1" x14ac:dyDescent="0.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2:26" s="9" customFormat="1" x14ac:dyDescent="0.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2:26" x14ac:dyDescent="0.2">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2:26" x14ac:dyDescent="0.2">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2:26" x14ac:dyDescent="0.2">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2:26" x14ac:dyDescent="0.2">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2:26" ht="14.25" x14ac:dyDescent="0.2">
      <c r="B45" s="28"/>
      <c r="C45" s="28"/>
      <c r="D45" s="28"/>
      <c r="E45" s="28"/>
      <c r="F45" s="28"/>
      <c r="G45" s="28"/>
      <c r="H45" s="28"/>
      <c r="I45" s="337" t="s">
        <v>256</v>
      </c>
      <c r="J45" s="28"/>
      <c r="K45" s="28"/>
      <c r="L45" s="28"/>
      <c r="M45" s="28"/>
      <c r="N45" s="28"/>
      <c r="O45" s="28"/>
      <c r="P45" s="28"/>
      <c r="Q45" s="28"/>
      <c r="R45" s="28"/>
      <c r="S45" s="28"/>
      <c r="T45" s="28"/>
      <c r="U45" s="28"/>
      <c r="V45" s="28"/>
      <c r="W45" s="28"/>
      <c r="X45" s="28"/>
      <c r="Y45" s="28"/>
      <c r="Z45" s="28"/>
    </row>
    <row r="46" spans="2:26" x14ac:dyDescent="0.2">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2:26" x14ac:dyDescent="0.2">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2:26" x14ac:dyDescent="0.2">
      <c r="B48" s="28" t="s">
        <v>246</v>
      </c>
      <c r="C48" s="28"/>
      <c r="D48" s="28"/>
      <c r="E48" s="28"/>
      <c r="F48" s="28"/>
      <c r="G48" s="28"/>
      <c r="H48" s="28"/>
      <c r="I48" s="28"/>
      <c r="J48" s="28"/>
      <c r="K48" s="28"/>
      <c r="L48" s="28"/>
      <c r="M48" s="28"/>
      <c r="N48" s="28"/>
      <c r="O48" s="28"/>
      <c r="P48" s="28"/>
      <c r="Q48" s="28"/>
      <c r="R48" s="28"/>
      <c r="S48" s="28"/>
      <c r="T48" s="28"/>
      <c r="U48" s="28"/>
      <c r="V48" s="28"/>
      <c r="W48" s="28"/>
      <c r="X48" s="28"/>
      <c r="Y48" s="28"/>
      <c r="Z48" s="28"/>
    </row>
  </sheetData>
  <mergeCells count="1">
    <mergeCell ref="E28:F28"/>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6"/>
  <sheetViews>
    <sheetView showGridLines="0" zoomScale="75" zoomScaleNormal="75" workbookViewId="0">
      <selection activeCell="D32" sqref="D32"/>
    </sheetView>
  </sheetViews>
  <sheetFormatPr defaultColWidth="9" defaultRowHeight="12" x14ac:dyDescent="0.2"/>
  <cols>
    <col min="1" max="1" width="14.42578125" style="713" customWidth="1"/>
    <col min="2" max="2" width="39.42578125" style="713" customWidth="1"/>
    <col min="3" max="3" width="15.85546875" style="713" customWidth="1"/>
    <col min="4" max="4" width="20" style="713" customWidth="1"/>
    <col min="5" max="5" width="12" style="713" customWidth="1"/>
    <col min="6" max="6" width="9" style="713"/>
    <col min="7" max="7" width="10.7109375" style="713" customWidth="1"/>
    <col min="8" max="8" width="17" style="713" customWidth="1"/>
    <col min="9" max="9" width="14.5703125" style="713" customWidth="1"/>
    <col min="10" max="10" width="10.28515625" style="713" customWidth="1"/>
    <col min="11" max="11" width="11.28515625" style="713" customWidth="1"/>
    <col min="12" max="14" width="6.7109375" style="713" customWidth="1"/>
    <col min="15" max="15" width="14.5703125" style="713" customWidth="1"/>
    <col min="16" max="16" width="12.42578125" style="713" customWidth="1"/>
    <col min="17" max="24" width="6.7109375" style="713" customWidth="1"/>
    <col min="25" max="16384" width="9" style="713"/>
  </cols>
  <sheetData>
    <row r="1" spans="1:26" s="679" customFormat="1" ht="18.600000000000001" customHeight="1" x14ac:dyDescent="0.2"/>
    <row r="2" spans="1:26" s="679" customFormat="1" ht="18.600000000000001" customHeight="1" x14ac:dyDescent="0.2"/>
    <row r="3" spans="1:26" s="679" customFormat="1" ht="18.600000000000001" customHeight="1" x14ac:dyDescent="0.2">
      <c r="K3" s="83" t="s">
        <v>409</v>
      </c>
      <c r="L3" s="28"/>
      <c r="M3" s="28"/>
      <c r="N3" s="28"/>
      <c r="O3" s="28"/>
      <c r="P3" s="28"/>
      <c r="Q3" s="28"/>
      <c r="R3" s="28"/>
      <c r="S3" s="28"/>
      <c r="T3" s="28"/>
      <c r="U3" s="28"/>
      <c r="V3" s="28"/>
      <c r="W3" s="28"/>
      <c r="X3" s="28"/>
      <c r="Y3" s="28"/>
    </row>
    <row r="4" spans="1:26" s="679" customFormat="1" ht="18.600000000000001" customHeight="1" x14ac:dyDescent="0.2">
      <c r="K4" s="28"/>
      <c r="L4" s="28"/>
      <c r="M4" s="28"/>
      <c r="N4" s="28"/>
      <c r="O4" s="28"/>
      <c r="P4" s="28"/>
      <c r="Q4" s="28"/>
      <c r="R4" s="28"/>
      <c r="S4" s="28"/>
      <c r="T4" s="28"/>
      <c r="U4" s="28"/>
      <c r="V4" s="28"/>
      <c r="W4" s="28"/>
      <c r="X4" s="28"/>
      <c r="Y4" s="28"/>
    </row>
    <row r="5" spans="1:26" s="679" customFormat="1" ht="18.600000000000001" customHeight="1" x14ac:dyDescent="0.2">
      <c r="K5" s="28" t="str">
        <f>'Contents, list of sources'!G17</f>
        <v>Organisation</v>
      </c>
      <c r="L5" s="28"/>
      <c r="M5" s="28" t="str">
        <f>'Contents, list of sources'!I17</f>
        <v>Title</v>
      </c>
      <c r="N5" s="28"/>
      <c r="O5" s="28"/>
      <c r="P5" s="28"/>
      <c r="Q5" s="28"/>
      <c r="R5" s="28"/>
      <c r="S5" s="28"/>
      <c r="T5" s="28"/>
      <c r="U5" s="28"/>
      <c r="V5" s="28"/>
      <c r="W5" s="28"/>
      <c r="X5" s="28"/>
      <c r="Y5" s="28"/>
    </row>
    <row r="6" spans="1:26" s="679" customFormat="1" ht="18.600000000000001" customHeight="1" x14ac:dyDescent="0.2">
      <c r="K6" s="447" t="s">
        <v>34</v>
      </c>
      <c r="L6" s="74"/>
      <c r="M6" s="447" t="s">
        <v>969</v>
      </c>
      <c r="N6" s="74"/>
      <c r="O6" s="74"/>
      <c r="P6" s="74"/>
      <c r="Q6" s="448"/>
      <c r="R6" s="74"/>
      <c r="S6" s="447"/>
      <c r="T6" s="74"/>
      <c r="U6" s="74"/>
      <c r="V6" s="74"/>
      <c r="W6" s="74"/>
      <c r="X6" s="447"/>
      <c r="Y6" s="1262"/>
    </row>
    <row r="7" spans="1:26" s="679" customFormat="1" ht="18.600000000000001" customHeight="1" x14ac:dyDescent="0.2">
      <c r="I7" s="715"/>
      <c r="K7" s="28"/>
      <c r="L7" s="28"/>
      <c r="M7" s="28"/>
      <c r="N7" s="28"/>
      <c r="O7" s="28"/>
      <c r="P7" s="28"/>
      <c r="Q7" s="28"/>
      <c r="R7" s="28"/>
      <c r="S7" s="28"/>
      <c r="T7" s="28"/>
      <c r="U7" s="28"/>
      <c r="V7" s="28"/>
      <c r="W7" s="28"/>
      <c r="X7" s="28"/>
      <c r="Y7" s="1292"/>
    </row>
    <row r="8" spans="1:26" s="679" customFormat="1" ht="18.600000000000001" customHeight="1" x14ac:dyDescent="0.2">
      <c r="X8" s="1263"/>
      <c r="Y8" s="1261"/>
      <c r="Z8" s="1263"/>
    </row>
    <row r="9" spans="1:26" s="679" customFormat="1" ht="18.600000000000001" customHeight="1" x14ac:dyDescent="0.2">
      <c r="X9" s="1263"/>
      <c r="Y9" s="1261"/>
      <c r="Z9" s="1263"/>
    </row>
    <row r="10" spans="1:26" s="679" customFormat="1" ht="18.600000000000001" customHeight="1" x14ac:dyDescent="0.2">
      <c r="X10" s="1263"/>
      <c r="Y10" s="1263"/>
      <c r="Z10" s="1263"/>
    </row>
    <row r="11" spans="1:26" s="270" customFormat="1" ht="18.600000000000001" customHeight="1" x14ac:dyDescent="0.3">
      <c r="B11" s="373" t="s">
        <v>709</v>
      </c>
    </row>
    <row r="12" spans="1:26" s="79" customFormat="1" ht="18.600000000000001" customHeight="1" x14ac:dyDescent="0.2">
      <c r="A12" s="374"/>
    </row>
    <row r="16" spans="1:26" ht="14.25" x14ac:dyDescent="0.2">
      <c r="B16" s="20" t="s">
        <v>970</v>
      </c>
    </row>
    <row r="17" spans="2:15" ht="47.45" customHeight="1" x14ac:dyDescent="0.2">
      <c r="B17" s="859" t="s">
        <v>669</v>
      </c>
      <c r="C17" s="860" t="s">
        <v>668</v>
      </c>
      <c r="D17" s="860" t="s">
        <v>708</v>
      </c>
      <c r="E17" s="861" t="s">
        <v>667</v>
      </c>
      <c r="G17" s="857"/>
      <c r="H17" s="888"/>
      <c r="I17" s="1376" t="s">
        <v>975</v>
      </c>
      <c r="J17" s="1376"/>
      <c r="K17" s="1376"/>
      <c r="L17" s="1376"/>
      <c r="M17" s="1376"/>
      <c r="N17" s="1376"/>
      <c r="O17" s="1376"/>
    </row>
    <row r="18" spans="2:15" x14ac:dyDescent="0.2">
      <c r="B18" s="802" t="s">
        <v>458</v>
      </c>
      <c r="C18" s="862"/>
      <c r="D18" s="793" t="s">
        <v>666</v>
      </c>
      <c r="E18" s="863">
        <v>2009</v>
      </c>
      <c r="G18" s="875"/>
      <c r="H18" s="862"/>
      <c r="I18" s="1376"/>
      <c r="J18" s="1376"/>
      <c r="K18" s="1376"/>
      <c r="L18" s="1376"/>
      <c r="M18" s="1376"/>
      <c r="N18" s="1376"/>
      <c r="O18" s="1376"/>
    </row>
    <row r="19" spans="2:15" x14ac:dyDescent="0.2">
      <c r="B19" s="864">
        <f>'Historical fare comparison'!C85</f>
        <v>0</v>
      </c>
      <c r="C19" s="875" t="str">
        <f>'Historical fare comparison'!D85</f>
        <v>Section 1-2</v>
      </c>
      <c r="D19" s="875">
        <f>B19*$C$30</f>
        <v>0</v>
      </c>
      <c r="E19" s="866">
        <f>'Historical fare comparison'!F85</f>
        <v>1.9</v>
      </c>
      <c r="G19" s="875"/>
      <c r="H19" s="862"/>
      <c r="I19" s="1376"/>
      <c r="J19" s="1376"/>
      <c r="K19" s="1376"/>
      <c r="L19" s="1376"/>
      <c r="M19" s="1376"/>
      <c r="N19" s="1376"/>
      <c r="O19" s="1376"/>
    </row>
    <row r="20" spans="2:15" x14ac:dyDescent="0.2">
      <c r="B20" s="864">
        <f>'Historical fare comparison'!C86</f>
        <v>3.2</v>
      </c>
      <c r="C20" s="875" t="str">
        <f>'Historical fare comparison'!D86</f>
        <v>section 3-5</v>
      </c>
      <c r="D20" s="875">
        <f t="shared" ref="D20:D24" si="0">B20*$C$30</f>
        <v>2.5600000000000005</v>
      </c>
      <c r="E20" s="866">
        <f>'Historical fare comparison'!F86</f>
        <v>3.2</v>
      </c>
      <c r="G20" s="875"/>
      <c r="H20" s="862"/>
      <c r="I20" s="1376"/>
      <c r="J20" s="1376"/>
      <c r="K20" s="1376"/>
      <c r="L20" s="1376"/>
      <c r="M20" s="1376"/>
      <c r="N20" s="1376"/>
      <c r="O20" s="1376"/>
    </row>
    <row r="21" spans="2:15" x14ac:dyDescent="0.2">
      <c r="B21" s="864">
        <f>'Historical fare comparison'!C87</f>
        <v>8</v>
      </c>
      <c r="C21" s="875" t="str">
        <f>'Historical fare comparison'!D87</f>
        <v>section 6-9</v>
      </c>
      <c r="D21" s="875">
        <f t="shared" si="0"/>
        <v>6.4</v>
      </c>
      <c r="E21" s="866">
        <f>'Historical fare comparison'!F87</f>
        <v>4.2</v>
      </c>
      <c r="G21" s="875"/>
      <c r="H21" s="862"/>
      <c r="I21" s="1376"/>
      <c r="J21" s="1376"/>
      <c r="K21" s="1376"/>
      <c r="L21" s="1376"/>
      <c r="M21" s="1376"/>
      <c r="N21" s="1376"/>
      <c r="O21" s="1376"/>
    </row>
    <row r="22" spans="2:15" x14ac:dyDescent="0.2">
      <c r="B22" s="864">
        <f>'Historical fare comparison'!C88</f>
        <v>14.4</v>
      </c>
      <c r="C22" s="875" t="str">
        <f>'Historical fare comparison'!D88</f>
        <v>Section 10-15</v>
      </c>
      <c r="D22" s="875">
        <f t="shared" si="0"/>
        <v>11.520000000000001</v>
      </c>
      <c r="E22" s="866">
        <f>'Historical fare comparison'!F88</f>
        <v>5</v>
      </c>
      <c r="G22" s="875"/>
      <c r="H22" s="862"/>
      <c r="I22" s="1376"/>
      <c r="J22" s="1376"/>
      <c r="K22" s="1376"/>
      <c r="L22" s="1376"/>
      <c r="M22" s="1376"/>
      <c r="N22" s="1376"/>
      <c r="O22" s="1376"/>
    </row>
    <row r="23" spans="2:15" x14ac:dyDescent="0.2">
      <c r="B23" s="864">
        <f>'Historical fare comparison'!C89</f>
        <v>24</v>
      </c>
      <c r="C23" s="875" t="str">
        <f>'Historical fare comparison'!D89</f>
        <v>16-21 Sections</v>
      </c>
      <c r="D23" s="875">
        <f t="shared" si="0"/>
        <v>19.200000000000003</v>
      </c>
      <c r="E23" s="866">
        <f>'Historical fare comparison'!F89</f>
        <v>6.1</v>
      </c>
      <c r="G23" s="875"/>
      <c r="H23" s="862"/>
      <c r="I23" s="1376"/>
      <c r="J23" s="1376"/>
      <c r="K23" s="1376"/>
      <c r="L23" s="1376"/>
      <c r="M23" s="1376"/>
      <c r="N23" s="1376"/>
      <c r="O23" s="1376"/>
    </row>
    <row r="24" spans="2:15" x14ac:dyDescent="0.2">
      <c r="B24" s="864">
        <f>'Historical fare comparison'!C90</f>
        <v>33.6</v>
      </c>
      <c r="C24" s="875" t="str">
        <f>'Historical fare comparison'!D90</f>
        <v>22-27 Sections</v>
      </c>
      <c r="D24" s="875">
        <f t="shared" si="0"/>
        <v>26.880000000000003</v>
      </c>
      <c r="E24" s="866">
        <f>'Historical fare comparison'!F90</f>
        <v>6.1</v>
      </c>
      <c r="H24" s="862"/>
    </row>
    <row r="25" spans="2:15" x14ac:dyDescent="0.2">
      <c r="B25" s="796" t="s">
        <v>649</v>
      </c>
      <c r="C25" s="862"/>
      <c r="D25" s="862"/>
      <c r="E25" s="916">
        <f>SUMPRODUCT('Bus2009 average fare'!$E$36:$E$126, 'Bus2009 average fare'!C36:C126)</f>
        <v>2.9917025642593806</v>
      </c>
    </row>
    <row r="26" spans="2:15" x14ac:dyDescent="0.2">
      <c r="B26" s="798" t="s">
        <v>976</v>
      </c>
      <c r="C26" s="813"/>
      <c r="D26" s="813"/>
      <c r="E26" s="876">
        <f>SUMPRODUCT('Bus2009 average fare'!$E$36:$E$126, 'Bus2009 average fare'!D36:D126)</f>
        <v>3.0482806390708457</v>
      </c>
      <c r="K26" s="1260"/>
    </row>
    <row r="27" spans="2:15" x14ac:dyDescent="0.2">
      <c r="K27" s="1260"/>
    </row>
    <row r="28" spans="2:15" x14ac:dyDescent="0.2">
      <c r="K28" s="862"/>
    </row>
    <row r="29" spans="2:15" x14ac:dyDescent="0.2">
      <c r="K29" s="862"/>
    </row>
    <row r="30" spans="2:15" ht="24" x14ac:dyDescent="0.2">
      <c r="B30" s="867" t="s">
        <v>665</v>
      </c>
      <c r="C30" s="293">
        <v>0.8</v>
      </c>
    </row>
    <row r="34" spans="2:27" ht="14.25" x14ac:dyDescent="0.2">
      <c r="B34" s="20" t="s">
        <v>971</v>
      </c>
    </row>
    <row r="35" spans="2:27" s="857" customFormat="1" ht="56.25" customHeight="1" x14ac:dyDescent="0.2">
      <c r="B35" s="868" t="s">
        <v>930</v>
      </c>
      <c r="C35" s="869" t="s">
        <v>972</v>
      </c>
      <c r="D35" s="1259" t="s">
        <v>1015</v>
      </c>
      <c r="E35" s="870" t="s">
        <v>707</v>
      </c>
      <c r="F35" s="858"/>
      <c r="I35" s="1059"/>
      <c r="J35" s="1060"/>
    </row>
    <row r="36" spans="2:27" ht="12.75" x14ac:dyDescent="0.2">
      <c r="B36" s="871">
        <v>0</v>
      </c>
      <c r="C36" s="961">
        <v>5.8376177324953107E-3</v>
      </c>
      <c r="D36" s="1099">
        <v>5.6516500713207499E-3</v>
      </c>
      <c r="E36" s="863">
        <f t="shared" ref="E36:E67" si="1">VLOOKUP(B36, $D$19:$E$24, 2)</f>
        <v>1.9</v>
      </c>
      <c r="R36" s="715"/>
      <c r="S36" s="715"/>
      <c r="T36" s="715"/>
      <c r="U36" s="715"/>
      <c r="V36" s="715"/>
      <c r="W36" s="715"/>
      <c r="X36" s="715"/>
      <c r="Y36" s="715"/>
      <c r="Z36" s="715"/>
      <c r="AA36" s="715"/>
    </row>
    <row r="37" spans="2:27" ht="12.75" x14ac:dyDescent="0.2">
      <c r="B37" s="871">
        <v>0.2</v>
      </c>
      <c r="C37" s="961">
        <v>4.4919417053673576E-3</v>
      </c>
      <c r="D37" s="1099">
        <v>3.1847368979859392E-3</v>
      </c>
      <c r="E37" s="863">
        <f t="shared" si="1"/>
        <v>1.9</v>
      </c>
    </row>
    <row r="38" spans="2:27" ht="12.75" x14ac:dyDescent="0.2">
      <c r="B38" s="871">
        <v>0.4</v>
      </c>
      <c r="C38" s="961">
        <v>1.4514009735151554E-2</v>
      </c>
      <c r="D38" s="1099">
        <v>1.206867103362E-2</v>
      </c>
      <c r="E38" s="863">
        <f t="shared" si="1"/>
        <v>1.9</v>
      </c>
    </row>
    <row r="39" spans="2:27" ht="12.75" x14ac:dyDescent="0.2">
      <c r="B39" s="871">
        <v>0.6</v>
      </c>
      <c r="C39" s="961">
        <v>2.4992123953958213E-2</v>
      </c>
      <c r="D39" s="1099">
        <v>2.185046185378554E-2</v>
      </c>
      <c r="E39" s="863">
        <f t="shared" si="1"/>
        <v>1.9</v>
      </c>
    </row>
    <row r="40" spans="2:27" ht="12.75" x14ac:dyDescent="0.2">
      <c r="B40" s="871">
        <v>0.8</v>
      </c>
      <c r="C40" s="961">
        <v>3.5639745406929678E-2</v>
      </c>
      <c r="D40" s="1097">
        <v>3.2565423515997546E-2</v>
      </c>
      <c r="E40" s="863">
        <f t="shared" si="1"/>
        <v>1.9</v>
      </c>
    </row>
    <row r="41" spans="2:27" ht="12.75" x14ac:dyDescent="0.2">
      <c r="B41" s="871">
        <v>1</v>
      </c>
      <c r="C41" s="961">
        <v>4.4187213755983952E-2</v>
      </c>
      <c r="D41" s="1097">
        <v>4.2005382523877449E-2</v>
      </c>
      <c r="E41" s="863">
        <f t="shared" si="1"/>
        <v>1.9</v>
      </c>
    </row>
    <row r="42" spans="2:27" ht="12.75" x14ac:dyDescent="0.2">
      <c r="B42" s="871">
        <v>1.2</v>
      </c>
      <c r="C42" s="961">
        <v>4.6272077231875139E-2</v>
      </c>
      <c r="D42" s="1097">
        <v>4.4273797818369827E-2</v>
      </c>
      <c r="E42" s="863">
        <f t="shared" si="1"/>
        <v>1.9</v>
      </c>
    </row>
    <row r="43" spans="2:27" ht="12.75" x14ac:dyDescent="0.2">
      <c r="B43" s="871">
        <v>1.4</v>
      </c>
      <c r="C43" s="961">
        <v>4.4623251295984739E-2</v>
      </c>
      <c r="D43" s="1097">
        <v>4.3192907624626665E-2</v>
      </c>
      <c r="E43" s="863">
        <f t="shared" si="1"/>
        <v>1.9</v>
      </c>
    </row>
    <row r="44" spans="2:27" ht="12.75" x14ac:dyDescent="0.2">
      <c r="B44" s="871">
        <v>1.6</v>
      </c>
      <c r="C44" s="961">
        <v>4.4264794461152925E-2</v>
      </c>
      <c r="D44" s="1097">
        <v>4.3013797910694422E-2</v>
      </c>
      <c r="E44" s="863">
        <f t="shared" si="1"/>
        <v>1.9</v>
      </c>
    </row>
    <row r="45" spans="2:27" ht="12.75" x14ac:dyDescent="0.2">
      <c r="B45" s="871">
        <v>1.8</v>
      </c>
      <c r="C45" s="961">
        <v>3.9039705653896806E-2</v>
      </c>
      <c r="D45" s="1097">
        <v>3.7830233535062575E-2</v>
      </c>
      <c r="E45" s="863">
        <f t="shared" si="1"/>
        <v>1.9</v>
      </c>
    </row>
    <row r="46" spans="2:27" ht="12.75" x14ac:dyDescent="0.2">
      <c r="B46" s="871">
        <v>2</v>
      </c>
      <c r="C46" s="961">
        <v>4.1865455426109664E-2</v>
      </c>
      <c r="D46" s="1097">
        <v>4.1318025915513763E-2</v>
      </c>
      <c r="E46" s="863">
        <f t="shared" si="1"/>
        <v>1.9</v>
      </c>
    </row>
    <row r="47" spans="2:27" ht="12.75" x14ac:dyDescent="0.2">
      <c r="B47" s="871">
        <v>2.2000000000000002</v>
      </c>
      <c r="C47" s="961">
        <v>4.057244367329349E-2</v>
      </c>
      <c r="D47" s="1097">
        <v>4.0811394701491505E-2</v>
      </c>
      <c r="E47" s="863">
        <f t="shared" si="1"/>
        <v>1.9</v>
      </c>
    </row>
    <row r="48" spans="2:27" ht="12.75" x14ac:dyDescent="0.2">
      <c r="B48" s="871">
        <v>2.4</v>
      </c>
      <c r="C48" s="961">
        <v>3.0634374217232391E-2</v>
      </c>
      <c r="D48" s="1097">
        <v>3.0104973064299465E-2</v>
      </c>
      <c r="E48" s="863">
        <f t="shared" si="1"/>
        <v>1.9</v>
      </c>
    </row>
    <row r="49" spans="2:11" ht="12.75" x14ac:dyDescent="0.2">
      <c r="B49" s="871">
        <v>2.6</v>
      </c>
      <c r="C49" s="961">
        <v>3.1396212966774882E-2</v>
      </c>
      <c r="D49" s="1097">
        <v>3.104829961177508E-2</v>
      </c>
      <c r="E49" s="863">
        <f t="shared" si="1"/>
        <v>3.2</v>
      </c>
    </row>
    <row r="50" spans="2:11" ht="12.75" x14ac:dyDescent="0.2">
      <c r="B50" s="871">
        <v>2.8</v>
      </c>
      <c r="C50" s="961">
        <v>2.9105600175472077E-2</v>
      </c>
      <c r="D50" s="1097">
        <v>2.9160030836414667E-2</v>
      </c>
      <c r="E50" s="863">
        <f t="shared" si="1"/>
        <v>3.2</v>
      </c>
    </row>
    <row r="51" spans="2:11" ht="12.75" x14ac:dyDescent="0.2">
      <c r="B51" s="871">
        <v>3</v>
      </c>
      <c r="C51" s="961">
        <v>2.6289477206090407E-2</v>
      </c>
      <c r="D51" s="1097">
        <v>2.6074081254875894E-2</v>
      </c>
      <c r="E51" s="863">
        <f t="shared" si="1"/>
        <v>3.2</v>
      </c>
    </row>
    <row r="52" spans="2:11" ht="12.75" x14ac:dyDescent="0.2">
      <c r="B52" s="871">
        <v>3.2</v>
      </c>
      <c r="C52" s="961">
        <v>2.3358398885253984E-2</v>
      </c>
      <c r="D52" s="1097">
        <v>2.2950509400951866E-2</v>
      </c>
      <c r="E52" s="863">
        <f t="shared" si="1"/>
        <v>3.2</v>
      </c>
    </row>
    <row r="53" spans="2:11" ht="12.75" x14ac:dyDescent="0.2">
      <c r="B53" s="871">
        <v>3.4</v>
      </c>
      <c r="C53" s="961">
        <v>2.0455445929551813E-2</v>
      </c>
      <c r="D53" s="1097">
        <v>1.98876409681157E-2</v>
      </c>
      <c r="E53" s="863">
        <f t="shared" si="1"/>
        <v>3.2</v>
      </c>
    </row>
    <row r="54" spans="2:11" ht="12.75" x14ac:dyDescent="0.2">
      <c r="B54" s="871">
        <v>3.6</v>
      </c>
      <c r="C54" s="961">
        <v>2.0715935888513316E-2</v>
      </c>
      <c r="D54" s="1097">
        <v>1.9874253901868189E-2</v>
      </c>
      <c r="E54" s="863">
        <f t="shared" si="1"/>
        <v>3.2</v>
      </c>
    </row>
    <row r="55" spans="2:11" ht="12.75" x14ac:dyDescent="0.2">
      <c r="B55" s="871">
        <v>3.8</v>
      </c>
      <c r="C55" s="961">
        <v>1.8889863524025198E-2</v>
      </c>
      <c r="D55" s="1097">
        <v>1.8298734691428124E-2</v>
      </c>
      <c r="E55" s="863">
        <f t="shared" si="1"/>
        <v>3.2</v>
      </c>
    </row>
    <row r="56" spans="2:11" ht="12.75" x14ac:dyDescent="0.2">
      <c r="B56" s="871">
        <v>4</v>
      </c>
      <c r="C56" s="961">
        <v>2.4109289506086498E-2</v>
      </c>
      <c r="D56" s="1097">
        <v>2.4637972182599582E-2</v>
      </c>
      <c r="E56" s="863">
        <f t="shared" si="1"/>
        <v>3.2</v>
      </c>
    </row>
    <row r="57" spans="2:11" ht="12.75" x14ac:dyDescent="0.2">
      <c r="B57" s="871">
        <v>4.2</v>
      </c>
      <c r="C57" s="961">
        <v>1.9491444320554413E-2</v>
      </c>
      <c r="D57" s="1097">
        <v>1.966536950610958E-2</v>
      </c>
      <c r="E57" s="863">
        <f t="shared" si="1"/>
        <v>3.2</v>
      </c>
      <c r="J57" s="714"/>
      <c r="K57" s="714"/>
    </row>
    <row r="58" spans="2:11" ht="12.75" x14ac:dyDescent="0.2">
      <c r="B58" s="871">
        <v>4.4000000000000004</v>
      </c>
      <c r="C58" s="961">
        <v>2.1388868282497208E-2</v>
      </c>
      <c r="D58" s="1097">
        <v>2.2189985551200914E-2</v>
      </c>
      <c r="E58" s="863">
        <f t="shared" si="1"/>
        <v>3.2</v>
      </c>
      <c r="J58" s="714"/>
      <c r="K58" s="714"/>
    </row>
    <row r="59" spans="2:11" ht="12.75" x14ac:dyDescent="0.2">
      <c r="B59" s="871">
        <v>4.5999999999999996</v>
      </c>
      <c r="C59" s="961">
        <v>1.6825574979675177E-2</v>
      </c>
      <c r="D59" s="1097">
        <v>1.6932561499720718E-2</v>
      </c>
      <c r="E59" s="863">
        <f t="shared" si="1"/>
        <v>3.2</v>
      </c>
      <c r="J59" s="714"/>
      <c r="K59" s="714"/>
    </row>
    <row r="60" spans="2:11" ht="12.75" x14ac:dyDescent="0.2">
      <c r="B60" s="871">
        <v>4.8</v>
      </c>
      <c r="C60" s="961">
        <v>1.7019243601337861E-2</v>
      </c>
      <c r="D60" s="1097">
        <v>1.7077049490599048E-2</v>
      </c>
      <c r="E60" s="863">
        <f t="shared" si="1"/>
        <v>3.2</v>
      </c>
      <c r="J60" s="714"/>
      <c r="K60" s="714"/>
    </row>
    <row r="61" spans="2:11" ht="12.75" x14ac:dyDescent="0.2">
      <c r="B61" s="871">
        <v>5</v>
      </c>
      <c r="C61" s="961">
        <v>1.4263901622380542E-2</v>
      </c>
      <c r="D61" s="1097">
        <v>1.4247993094120307E-2</v>
      </c>
      <c r="E61" s="863">
        <f t="shared" si="1"/>
        <v>3.2</v>
      </c>
      <c r="J61" s="714"/>
      <c r="K61" s="714"/>
    </row>
    <row r="62" spans="2:11" ht="12.75" x14ac:dyDescent="0.2">
      <c r="B62" s="871">
        <v>5.2</v>
      </c>
      <c r="C62" s="961">
        <v>1.4966846989896953E-2</v>
      </c>
      <c r="D62" s="1097">
        <v>1.5566619119500339E-2</v>
      </c>
      <c r="E62" s="863">
        <f t="shared" si="1"/>
        <v>3.2</v>
      </c>
      <c r="J62" s="714"/>
      <c r="K62" s="714"/>
    </row>
    <row r="63" spans="2:11" ht="12.75" x14ac:dyDescent="0.2">
      <c r="B63" s="871">
        <v>5.4</v>
      </c>
      <c r="C63" s="961">
        <v>1.2488983445485586E-2</v>
      </c>
      <c r="D63" s="1097">
        <v>1.2695785843869878E-2</v>
      </c>
      <c r="E63" s="863">
        <f t="shared" si="1"/>
        <v>3.2</v>
      </c>
      <c r="J63" s="714"/>
      <c r="K63" s="714"/>
    </row>
    <row r="64" spans="2:11" ht="12" customHeight="1" x14ac:dyDescent="0.2">
      <c r="B64" s="871">
        <v>5.6</v>
      </c>
      <c r="C64" s="961">
        <v>1.5254329748953745E-2</v>
      </c>
      <c r="D64" s="1097">
        <v>1.5914452030448653E-2</v>
      </c>
      <c r="E64" s="863">
        <f t="shared" si="1"/>
        <v>3.2</v>
      </c>
      <c r="J64" s="714"/>
      <c r="K64" s="714"/>
    </row>
    <row r="65" spans="2:11" ht="12.75" x14ac:dyDescent="0.2">
      <c r="B65" s="871">
        <v>5.8</v>
      </c>
      <c r="C65" s="961">
        <v>1.0154578139342875E-2</v>
      </c>
      <c r="D65" s="1097">
        <v>1.0444450599417432E-2</v>
      </c>
      <c r="E65" s="863">
        <f t="shared" si="1"/>
        <v>3.2</v>
      </c>
      <c r="J65" s="714"/>
      <c r="K65" s="714"/>
    </row>
    <row r="66" spans="2:11" ht="12.75" x14ac:dyDescent="0.2">
      <c r="B66" s="871">
        <v>6</v>
      </c>
      <c r="C66" s="961">
        <v>1.1180304542963761E-2</v>
      </c>
      <c r="D66" s="1097">
        <v>1.1640284913699585E-2</v>
      </c>
      <c r="E66" s="863">
        <f t="shared" si="1"/>
        <v>3.2</v>
      </c>
      <c r="J66" s="714"/>
      <c r="K66" s="714"/>
    </row>
    <row r="67" spans="2:11" ht="12.75" x14ac:dyDescent="0.2">
      <c r="B67" s="871">
        <v>6.2</v>
      </c>
      <c r="C67" s="961">
        <v>9.9131530252039128E-3</v>
      </c>
      <c r="D67" s="1097">
        <v>1.0268341434816529E-2</v>
      </c>
      <c r="E67" s="863">
        <f t="shared" si="1"/>
        <v>3.2</v>
      </c>
    </row>
    <row r="68" spans="2:11" ht="12.75" x14ac:dyDescent="0.2">
      <c r="B68" s="871">
        <v>6.4</v>
      </c>
      <c r="C68" s="961">
        <v>1.1276761332115448E-2</v>
      </c>
      <c r="D68" s="1097">
        <v>1.1818471381683723E-2</v>
      </c>
      <c r="E68" s="863">
        <f t="shared" ref="E68:E99" si="2">VLOOKUP(B68, $D$19:$E$24, 2)</f>
        <v>4.2</v>
      </c>
    </row>
    <row r="69" spans="2:11" ht="12.75" x14ac:dyDescent="0.2">
      <c r="B69" s="871">
        <v>6.6</v>
      </c>
      <c r="C69" s="961">
        <v>1.1377937142262816E-2</v>
      </c>
      <c r="D69" s="1097">
        <v>1.1991810808440315E-2</v>
      </c>
      <c r="E69" s="863">
        <f t="shared" si="2"/>
        <v>4.2</v>
      </c>
    </row>
    <row r="70" spans="2:11" ht="12.75" x14ac:dyDescent="0.2">
      <c r="B70" s="871">
        <v>6.8</v>
      </c>
      <c r="C70" s="961">
        <v>8.2452622444909671E-3</v>
      </c>
      <c r="D70" s="1097">
        <v>8.5970354572606367E-3</v>
      </c>
      <c r="E70" s="863">
        <f t="shared" si="2"/>
        <v>4.2</v>
      </c>
    </row>
    <row r="71" spans="2:11" ht="12.75" x14ac:dyDescent="0.2">
      <c r="B71" s="871">
        <v>7</v>
      </c>
      <c r="C71" s="961">
        <v>8.7292450378078524E-3</v>
      </c>
      <c r="D71" s="1097">
        <v>9.0727379320214002E-3</v>
      </c>
      <c r="E71" s="863">
        <f t="shared" si="2"/>
        <v>4.2</v>
      </c>
    </row>
    <row r="72" spans="2:11" ht="12.75" x14ac:dyDescent="0.2">
      <c r="B72" s="871">
        <v>7.2</v>
      </c>
      <c r="C72" s="961">
        <v>7.5921497386889315E-3</v>
      </c>
      <c r="D72" s="1097">
        <v>7.9371454158530565E-3</v>
      </c>
      <c r="E72" s="863">
        <f t="shared" si="2"/>
        <v>4.2</v>
      </c>
    </row>
    <row r="73" spans="2:11" ht="12.75" x14ac:dyDescent="0.2">
      <c r="B73" s="871">
        <v>7.4</v>
      </c>
      <c r="C73" s="961">
        <v>7.4183010052081E-3</v>
      </c>
      <c r="D73" s="1097">
        <v>7.7153355768209871E-3</v>
      </c>
      <c r="E73" s="863">
        <f t="shared" si="2"/>
        <v>4.2</v>
      </c>
    </row>
    <row r="74" spans="2:11" ht="12.75" x14ac:dyDescent="0.2">
      <c r="B74" s="871">
        <v>7.6</v>
      </c>
      <c r="C74" s="961">
        <v>6.2613858179073256E-3</v>
      </c>
      <c r="D74" s="1097">
        <v>6.5171931476685728E-3</v>
      </c>
      <c r="E74" s="863">
        <f t="shared" si="2"/>
        <v>4.2</v>
      </c>
    </row>
    <row r="75" spans="2:11" ht="12.75" x14ac:dyDescent="0.2">
      <c r="B75" s="871">
        <v>7.8</v>
      </c>
      <c r="C75" s="961">
        <v>5.8446018835689164E-3</v>
      </c>
      <c r="D75" s="1097">
        <v>6.1695910482072874E-3</v>
      </c>
      <c r="E75" s="863">
        <f t="shared" si="2"/>
        <v>4.2</v>
      </c>
    </row>
    <row r="76" spans="2:11" ht="12.75" x14ac:dyDescent="0.2">
      <c r="B76" s="871">
        <v>8</v>
      </c>
      <c r="C76" s="961">
        <v>5.0803092431086719E-3</v>
      </c>
      <c r="D76" s="1097">
        <v>5.2089536392047157E-3</v>
      </c>
      <c r="E76" s="863">
        <f t="shared" si="2"/>
        <v>4.2</v>
      </c>
    </row>
    <row r="77" spans="2:11" ht="12.75" x14ac:dyDescent="0.2">
      <c r="B77" s="871">
        <v>8.1999999999999993</v>
      </c>
      <c r="C77" s="961">
        <v>5.0984302837320814E-3</v>
      </c>
      <c r="D77" s="1097">
        <v>5.2881219792546633E-3</v>
      </c>
      <c r="E77" s="863">
        <f t="shared" si="2"/>
        <v>4.2</v>
      </c>
    </row>
    <row r="78" spans="2:11" ht="12.75" x14ac:dyDescent="0.2">
      <c r="B78" s="871">
        <v>8.4</v>
      </c>
      <c r="C78" s="961">
        <v>5.540885692286987E-3</v>
      </c>
      <c r="D78" s="1097">
        <v>5.8570722947739661E-3</v>
      </c>
      <c r="E78" s="863">
        <f t="shared" si="2"/>
        <v>4.2</v>
      </c>
    </row>
    <row r="79" spans="2:11" ht="12.75" x14ac:dyDescent="0.2">
      <c r="B79" s="871">
        <v>8.6</v>
      </c>
      <c r="C79" s="961">
        <v>4.8522861485974407E-3</v>
      </c>
      <c r="D79" s="1097">
        <v>5.027535810402212E-3</v>
      </c>
      <c r="E79" s="863">
        <f t="shared" si="2"/>
        <v>4.2</v>
      </c>
    </row>
    <row r="80" spans="2:11" ht="12.75" x14ac:dyDescent="0.2">
      <c r="B80" s="871">
        <v>8.8000000000000007</v>
      </c>
      <c r="C80" s="961">
        <v>5.3689245672044273E-3</v>
      </c>
      <c r="D80" s="1097">
        <v>5.6271840536959846E-3</v>
      </c>
      <c r="E80" s="863">
        <f t="shared" si="2"/>
        <v>4.2</v>
      </c>
    </row>
    <row r="81" spans="2:5" ht="12.75" x14ac:dyDescent="0.2">
      <c r="B81" s="871">
        <v>9</v>
      </c>
      <c r="C81" s="961">
        <v>3.6781937248723928E-3</v>
      </c>
      <c r="D81" s="1097">
        <v>3.815775503515259E-3</v>
      </c>
      <c r="E81" s="863">
        <f t="shared" si="2"/>
        <v>4.2</v>
      </c>
    </row>
    <row r="82" spans="2:5" ht="12.75" x14ac:dyDescent="0.2">
      <c r="B82" s="871">
        <v>9.1999999999999993</v>
      </c>
      <c r="C82" s="961">
        <v>3.2965193067418389E-3</v>
      </c>
      <c r="D82" s="1097">
        <v>3.4266273363892773E-3</v>
      </c>
      <c r="E82" s="863">
        <f t="shared" si="2"/>
        <v>4.2</v>
      </c>
    </row>
    <row r="83" spans="2:5" ht="12.75" x14ac:dyDescent="0.2">
      <c r="B83" s="871">
        <v>9.4</v>
      </c>
      <c r="C83" s="961">
        <v>3.7956029672448978E-3</v>
      </c>
      <c r="D83" s="1097">
        <v>3.9591094369584587E-3</v>
      </c>
      <c r="E83" s="863">
        <f t="shared" si="2"/>
        <v>4.2</v>
      </c>
    </row>
    <row r="84" spans="2:5" ht="12.75" x14ac:dyDescent="0.2">
      <c r="B84" s="871">
        <v>9.6</v>
      </c>
      <c r="C84" s="961">
        <v>4.5145930061466196E-3</v>
      </c>
      <c r="D84" s="1097">
        <v>4.867583449893134E-3</v>
      </c>
      <c r="E84" s="863">
        <f t="shared" si="2"/>
        <v>4.2</v>
      </c>
    </row>
    <row r="85" spans="2:5" ht="12.75" x14ac:dyDescent="0.2">
      <c r="B85" s="871">
        <v>9.8000000000000007</v>
      </c>
      <c r="C85" s="961">
        <v>3.4110971365169359E-3</v>
      </c>
      <c r="D85" s="1097">
        <v>3.6126613949323031E-3</v>
      </c>
      <c r="E85" s="863">
        <f t="shared" si="2"/>
        <v>4.2</v>
      </c>
    </row>
    <row r="86" spans="2:5" ht="12.75" x14ac:dyDescent="0.2">
      <c r="B86" s="871">
        <v>10</v>
      </c>
      <c r="C86" s="961">
        <v>1.6500906335172431E-2</v>
      </c>
      <c r="D86" s="1097">
        <v>1.7724014088733166E-2</v>
      </c>
      <c r="E86" s="863">
        <f t="shared" si="2"/>
        <v>4.2</v>
      </c>
    </row>
    <row r="87" spans="2:5" ht="12.75" x14ac:dyDescent="0.2">
      <c r="B87" s="871">
        <v>11</v>
      </c>
      <c r="C87" s="961">
        <v>1.323326743692415E-2</v>
      </c>
      <c r="D87" s="1097">
        <v>1.4267150447543474E-2</v>
      </c>
      <c r="E87" s="863">
        <f t="shared" si="2"/>
        <v>4.2</v>
      </c>
    </row>
    <row r="88" spans="2:5" ht="12.75" x14ac:dyDescent="0.2">
      <c r="B88" s="871">
        <v>12</v>
      </c>
      <c r="C88" s="961">
        <v>1.2821391284421247E-2</v>
      </c>
      <c r="D88" s="1097">
        <v>1.4253301758321908E-2</v>
      </c>
      <c r="E88" s="863">
        <f t="shared" si="2"/>
        <v>5</v>
      </c>
    </row>
    <row r="89" spans="2:5" ht="12.75" x14ac:dyDescent="0.2">
      <c r="B89" s="871">
        <v>13</v>
      </c>
      <c r="C89" s="961">
        <v>6.3302835244442458E-3</v>
      </c>
      <c r="D89" s="1097">
        <v>6.7620841354032509E-3</v>
      </c>
      <c r="E89" s="863">
        <f t="shared" si="2"/>
        <v>5</v>
      </c>
    </row>
    <row r="90" spans="2:5" ht="12.75" x14ac:dyDescent="0.2">
      <c r="B90" s="871">
        <v>14</v>
      </c>
      <c r="C90" s="961">
        <v>9.5154339356880498E-3</v>
      </c>
      <c r="D90" s="1097">
        <v>1.0612481361972423E-2</v>
      </c>
      <c r="E90" s="863">
        <f t="shared" si="2"/>
        <v>5</v>
      </c>
    </row>
    <row r="91" spans="2:5" ht="12.75" x14ac:dyDescent="0.2">
      <c r="B91" s="871">
        <v>15</v>
      </c>
      <c r="C91" s="961">
        <v>3.6540323373745139E-3</v>
      </c>
      <c r="D91" s="1097">
        <v>3.9817289626870147E-3</v>
      </c>
      <c r="E91" s="863">
        <f t="shared" si="2"/>
        <v>5</v>
      </c>
    </row>
    <row r="92" spans="2:5" ht="12.75" x14ac:dyDescent="0.2">
      <c r="B92" s="871">
        <v>16</v>
      </c>
      <c r="C92" s="961">
        <v>3.260654747174675E-3</v>
      </c>
      <c r="D92" s="1097">
        <v>3.563960171169799E-3</v>
      </c>
      <c r="E92" s="863">
        <f t="shared" si="2"/>
        <v>5</v>
      </c>
    </row>
    <row r="93" spans="2:5" ht="12.75" x14ac:dyDescent="0.2">
      <c r="B93" s="871">
        <v>17</v>
      </c>
      <c r="C93" s="961">
        <v>4.4047341973672011E-3</v>
      </c>
      <c r="D93" s="1097">
        <v>4.9105143864799864E-3</v>
      </c>
      <c r="E93" s="863">
        <f t="shared" si="2"/>
        <v>5</v>
      </c>
    </row>
    <row r="94" spans="2:5" ht="12.75" x14ac:dyDescent="0.2">
      <c r="B94" s="871">
        <v>18</v>
      </c>
      <c r="C94" s="961">
        <v>2.4367136813290423E-3</v>
      </c>
      <c r="D94" s="1097">
        <v>2.6277887797919925E-3</v>
      </c>
      <c r="E94" s="863">
        <f t="shared" si="2"/>
        <v>5</v>
      </c>
    </row>
    <row r="95" spans="2:5" ht="12.75" x14ac:dyDescent="0.2">
      <c r="B95" s="871">
        <v>19</v>
      </c>
      <c r="C95" s="961">
        <v>5.7351205964691534E-3</v>
      </c>
      <c r="D95" s="1097">
        <v>6.5984387911017552E-3</v>
      </c>
      <c r="E95" s="863">
        <f t="shared" si="2"/>
        <v>5</v>
      </c>
    </row>
    <row r="96" spans="2:5" ht="12.75" x14ac:dyDescent="0.2">
      <c r="B96" s="871">
        <v>20</v>
      </c>
      <c r="C96" s="961">
        <v>4.1714257993408091E-3</v>
      </c>
      <c r="D96" s="1097">
        <v>4.7660263956016561E-3</v>
      </c>
      <c r="E96" s="863">
        <f t="shared" si="2"/>
        <v>6.1</v>
      </c>
    </row>
    <row r="97" spans="2:5" ht="12.75" x14ac:dyDescent="0.2">
      <c r="B97" s="871">
        <v>21</v>
      </c>
      <c r="C97" s="961">
        <v>3.3155841515643838E-3</v>
      </c>
      <c r="D97" s="1097">
        <v>3.7878473135851023E-3</v>
      </c>
      <c r="E97" s="863">
        <f t="shared" si="2"/>
        <v>6.1</v>
      </c>
    </row>
    <row r="98" spans="2:5" ht="12.75" x14ac:dyDescent="0.2">
      <c r="B98" s="871">
        <v>22</v>
      </c>
      <c r="C98" s="961">
        <v>6.6128585016655313E-3</v>
      </c>
      <c r="D98" s="1097">
        <v>7.4132033403038399E-3</v>
      </c>
      <c r="E98" s="863">
        <f t="shared" si="2"/>
        <v>6.1</v>
      </c>
    </row>
    <row r="99" spans="2:5" ht="12.75" x14ac:dyDescent="0.2">
      <c r="B99" s="871">
        <v>23</v>
      </c>
      <c r="C99" s="961">
        <v>5.4627387045985349E-3</v>
      </c>
      <c r="D99" s="1097">
        <v>6.2152917226384521E-3</v>
      </c>
      <c r="E99" s="863">
        <f t="shared" si="2"/>
        <v>6.1</v>
      </c>
    </row>
    <row r="100" spans="2:5" ht="12.75" x14ac:dyDescent="0.2">
      <c r="B100" s="871">
        <v>24</v>
      </c>
      <c r="C100" s="961">
        <v>3.144000548161479E-3</v>
      </c>
      <c r="D100" s="1097">
        <v>3.5159513818683727E-3</v>
      </c>
      <c r="E100" s="863">
        <f t="shared" ref="E100:E126" si="3">VLOOKUP(B100, $D$19:$E$24, 2)</f>
        <v>6.1</v>
      </c>
    </row>
    <row r="101" spans="2:5" ht="12.75" x14ac:dyDescent="0.2">
      <c r="B101" s="871">
        <v>25</v>
      </c>
      <c r="C101" s="961">
        <v>1.2933892744958245E-3</v>
      </c>
      <c r="D101" s="1097">
        <v>1.4949660014679611E-3</v>
      </c>
      <c r="E101" s="863">
        <f t="shared" si="3"/>
        <v>6.1</v>
      </c>
    </row>
    <row r="102" spans="2:5" ht="12.75" x14ac:dyDescent="0.2">
      <c r="B102" s="871">
        <v>26</v>
      </c>
      <c r="C102" s="961">
        <v>1.3275549865045437E-3</v>
      </c>
      <c r="D102" s="1097">
        <v>1.5445904711785697E-3</v>
      </c>
      <c r="E102" s="863">
        <f t="shared" si="3"/>
        <v>6.1</v>
      </c>
    </row>
    <row r="103" spans="2:5" ht="12.75" x14ac:dyDescent="0.2">
      <c r="B103" s="871">
        <v>27</v>
      </c>
      <c r="C103" s="961">
        <v>1.4332610568077635E-3</v>
      </c>
      <c r="D103" s="1097">
        <v>1.6567648538732475E-3</v>
      </c>
      <c r="E103" s="863">
        <f t="shared" si="3"/>
        <v>6.1</v>
      </c>
    </row>
    <row r="104" spans="2:5" ht="12.75" x14ac:dyDescent="0.2">
      <c r="B104" s="871">
        <v>28</v>
      </c>
      <c r="C104" s="961">
        <v>1.6731760842281069E-3</v>
      </c>
      <c r="D104" s="1097">
        <v>1.9794393127357162E-3</v>
      </c>
      <c r="E104" s="863">
        <f t="shared" si="3"/>
        <v>6.1</v>
      </c>
    </row>
    <row r="105" spans="2:5" ht="12.75" x14ac:dyDescent="0.2">
      <c r="B105" s="871">
        <v>29</v>
      </c>
      <c r="C105" s="961">
        <v>1.5451962348252801E-3</v>
      </c>
      <c r="D105" s="1097">
        <v>1.8121009846418037E-3</v>
      </c>
      <c r="E105" s="863">
        <f t="shared" si="3"/>
        <v>6.1</v>
      </c>
    </row>
    <row r="106" spans="2:5" ht="12.75" x14ac:dyDescent="0.2">
      <c r="B106" s="871">
        <v>30</v>
      </c>
      <c r="C106" s="961">
        <v>2.8921935878320234E-3</v>
      </c>
      <c r="D106" s="1097">
        <v>3.4377062877665294E-3</v>
      </c>
      <c r="E106" s="863">
        <f t="shared" si="3"/>
        <v>6.1</v>
      </c>
    </row>
    <row r="107" spans="2:5" ht="12.75" x14ac:dyDescent="0.2">
      <c r="B107" s="871">
        <v>31</v>
      </c>
      <c r="C107" s="961">
        <v>1.1170866500972401E-3</v>
      </c>
      <c r="D107" s="1097">
        <v>1.3167795334838223E-3</v>
      </c>
      <c r="E107" s="863">
        <f t="shared" si="3"/>
        <v>6.1</v>
      </c>
    </row>
    <row r="108" spans="2:5" ht="12.75" x14ac:dyDescent="0.2">
      <c r="B108" s="871">
        <v>32</v>
      </c>
      <c r="C108" s="961">
        <v>1.5889887496651856E-3</v>
      </c>
      <c r="D108" s="1097">
        <v>1.8194869522266384E-3</v>
      </c>
      <c r="E108" s="863">
        <f t="shared" si="3"/>
        <v>6.1</v>
      </c>
    </row>
    <row r="109" spans="2:5" ht="12.75" x14ac:dyDescent="0.2">
      <c r="B109" s="871">
        <v>33</v>
      </c>
      <c r="C109" s="961">
        <v>1.7063979920376902E-4</v>
      </c>
      <c r="D109" s="1097">
        <v>1.9203515720570382E-4</v>
      </c>
      <c r="E109" s="863">
        <f t="shared" si="3"/>
        <v>6.1</v>
      </c>
    </row>
    <row r="110" spans="2:5" ht="12.75" x14ac:dyDescent="0.2">
      <c r="B110" s="871">
        <v>34</v>
      </c>
      <c r="C110" s="961">
        <v>7.8335748528278926E-5</v>
      </c>
      <c r="D110" s="1097">
        <v>8.4938627225599766E-5</v>
      </c>
      <c r="E110" s="863">
        <f t="shared" si="3"/>
        <v>6.1</v>
      </c>
    </row>
    <row r="111" spans="2:5" ht="12.75" x14ac:dyDescent="0.2">
      <c r="B111" s="871">
        <v>35</v>
      </c>
      <c r="C111" s="961">
        <v>1.2458215428593757E-5</v>
      </c>
      <c r="D111" s="1097">
        <v>1.2002197325356489E-5</v>
      </c>
      <c r="E111" s="863">
        <f t="shared" si="3"/>
        <v>6.1</v>
      </c>
    </row>
    <row r="112" spans="2:5" ht="12.75" x14ac:dyDescent="0.2">
      <c r="B112" s="871">
        <v>36</v>
      </c>
      <c r="C112" s="961">
        <v>2.8314125974076718E-5</v>
      </c>
      <c r="D112" s="1097">
        <v>2.9313058852312962E-5</v>
      </c>
      <c r="E112" s="863">
        <f t="shared" si="3"/>
        <v>6.1</v>
      </c>
    </row>
    <row r="113" spans="2:5" ht="12.75" x14ac:dyDescent="0.2">
      <c r="B113" s="871">
        <v>37</v>
      </c>
      <c r="C113" s="961">
        <v>9.891068006944134E-5</v>
      </c>
      <c r="D113" s="1097">
        <v>1.0917383336333883E-4</v>
      </c>
      <c r="E113" s="863">
        <f t="shared" si="3"/>
        <v>6.1</v>
      </c>
    </row>
    <row r="114" spans="2:5" ht="12.75" x14ac:dyDescent="0.2">
      <c r="B114" s="871">
        <v>38</v>
      </c>
      <c r="C114" s="961">
        <v>3.0503751716071987E-4</v>
      </c>
      <c r="D114" s="1097">
        <v>3.5083346027965119E-4</v>
      </c>
      <c r="E114" s="863">
        <f t="shared" si="3"/>
        <v>6.1</v>
      </c>
    </row>
    <row r="115" spans="2:5" ht="12.75" x14ac:dyDescent="0.2">
      <c r="B115" s="871">
        <v>39</v>
      </c>
      <c r="C115" s="961">
        <v>6.9652749896228735E-5</v>
      </c>
      <c r="D115" s="1097">
        <v>5.9087740678678098E-5</v>
      </c>
      <c r="E115" s="863">
        <f t="shared" si="3"/>
        <v>6.1</v>
      </c>
    </row>
    <row r="116" spans="2:5" ht="12.75" x14ac:dyDescent="0.2">
      <c r="B116" s="871">
        <v>40</v>
      </c>
      <c r="C116" s="961">
        <v>9.9099440909268522E-5</v>
      </c>
      <c r="D116" s="1097">
        <v>7.893752856292152E-5</v>
      </c>
      <c r="E116" s="863">
        <f t="shared" si="3"/>
        <v>6.1</v>
      </c>
    </row>
    <row r="117" spans="2:5" ht="12.75" x14ac:dyDescent="0.2">
      <c r="B117" s="871">
        <v>41</v>
      </c>
      <c r="C117" s="961">
        <v>1.9819888181853702E-5</v>
      </c>
      <c r="D117" s="1097">
        <v>1.9388164910191251E-5</v>
      </c>
      <c r="E117" s="863">
        <f t="shared" si="3"/>
        <v>6.1</v>
      </c>
    </row>
    <row r="118" spans="2:5" ht="12.75" x14ac:dyDescent="0.2">
      <c r="B118" s="871">
        <v>42</v>
      </c>
      <c r="C118" s="961">
        <v>1.925360566237217E-5</v>
      </c>
      <c r="D118" s="1097">
        <v>1.2463820299408661E-5</v>
      </c>
      <c r="E118" s="863">
        <f t="shared" si="3"/>
        <v>6.1</v>
      </c>
    </row>
    <row r="119" spans="2:5" ht="12.75" x14ac:dyDescent="0.2">
      <c r="B119" s="871">
        <v>43</v>
      </c>
      <c r="C119" s="961">
        <v>1.6610953904791675E-5</v>
      </c>
      <c r="D119" s="1097">
        <v>1.3848689221565179E-5</v>
      </c>
      <c r="E119" s="863">
        <f t="shared" si="3"/>
        <v>6.1</v>
      </c>
    </row>
    <row r="120" spans="2:5" ht="12.75" x14ac:dyDescent="0.2">
      <c r="B120" s="871">
        <v>44</v>
      </c>
      <c r="C120" s="961">
        <v>8.8717594718773724E-6</v>
      </c>
      <c r="D120" s="1097">
        <v>5.770287175652158E-6</v>
      </c>
      <c r="E120" s="863">
        <f t="shared" si="3"/>
        <v>6.1</v>
      </c>
    </row>
    <row r="121" spans="2:5" ht="12.75" x14ac:dyDescent="0.2">
      <c r="B121" s="871">
        <v>45</v>
      </c>
      <c r="C121" s="961">
        <v>7.9279552727414813E-6</v>
      </c>
      <c r="D121" s="1097">
        <v>3.6929837924173811E-6</v>
      </c>
      <c r="E121" s="863">
        <f t="shared" si="3"/>
        <v>6.1</v>
      </c>
    </row>
    <row r="122" spans="2:5" ht="12.75" x14ac:dyDescent="0.2">
      <c r="B122" s="871">
        <v>46</v>
      </c>
      <c r="C122" s="961">
        <v>4.5302601558522753E-6</v>
      </c>
      <c r="D122" s="1097">
        <v>4.6162297405217264E-6</v>
      </c>
      <c r="E122" s="863">
        <f t="shared" si="3"/>
        <v>6.1</v>
      </c>
    </row>
    <row r="123" spans="2:5" ht="12.75" x14ac:dyDescent="0.2">
      <c r="B123" s="871">
        <v>47</v>
      </c>
      <c r="C123" s="961">
        <v>7.5504335930871251E-7</v>
      </c>
      <c r="D123" s="1097">
        <v>6.9243446107825896E-7</v>
      </c>
      <c r="E123" s="863">
        <f t="shared" si="3"/>
        <v>6.1</v>
      </c>
    </row>
    <row r="124" spans="2:5" ht="12.75" x14ac:dyDescent="0.2">
      <c r="B124" s="871">
        <v>48</v>
      </c>
      <c r="C124" s="961">
        <v>5.6628251948153441E-7</v>
      </c>
      <c r="D124" s="1097">
        <v>6.9243446107825896E-7</v>
      </c>
      <c r="E124" s="863">
        <f t="shared" si="3"/>
        <v>6.1</v>
      </c>
    </row>
    <row r="125" spans="2:5" ht="12.75" x14ac:dyDescent="0.2">
      <c r="B125" s="871">
        <v>49</v>
      </c>
      <c r="C125" s="961">
        <v>2.8314125974076718E-6</v>
      </c>
      <c r="D125" s="1097">
        <v>3.0005493313391222E-6</v>
      </c>
      <c r="E125" s="863">
        <f t="shared" si="3"/>
        <v>6.1</v>
      </c>
    </row>
    <row r="126" spans="2:5" ht="12.75" x14ac:dyDescent="0.2">
      <c r="B126" s="872">
        <v>52</v>
      </c>
      <c r="C126" s="962">
        <v>1.6988475584446032E-6</v>
      </c>
      <c r="D126" s="1098">
        <v>2.0773033832347769E-6</v>
      </c>
      <c r="E126" s="873">
        <f t="shared" si="3"/>
        <v>6.1</v>
      </c>
    </row>
  </sheetData>
  <mergeCells count="1">
    <mergeCell ref="I17:O2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S104"/>
  <sheetViews>
    <sheetView showGridLines="0" zoomScale="75" zoomScaleNormal="75" workbookViewId="0"/>
  </sheetViews>
  <sheetFormatPr defaultColWidth="10.28515625" defaultRowHeight="12" x14ac:dyDescent="0.2"/>
  <cols>
    <col min="1" max="1" width="14.42578125" style="381" customWidth="1"/>
    <col min="2" max="2" width="39.42578125" style="2" customWidth="1"/>
    <col min="3" max="3" width="18.7109375" style="2" customWidth="1"/>
    <col min="4" max="4" width="15.42578125" style="2" customWidth="1"/>
    <col min="5" max="6" width="10.28515625" style="2"/>
    <col min="7" max="7" width="28" style="2" customWidth="1"/>
    <col min="8" max="16384" width="10.28515625" style="2"/>
  </cols>
  <sheetData>
    <row r="1" spans="2:19" s="352" customFormat="1" ht="18.600000000000001" customHeight="1" x14ac:dyDescent="0.2"/>
    <row r="2" spans="2:19" s="352" customFormat="1" ht="18.600000000000001" customHeight="1" x14ac:dyDescent="0.2"/>
    <row r="3" spans="2:19" s="352" customFormat="1" ht="18.600000000000001" customHeight="1" x14ac:dyDescent="0.2">
      <c r="E3" s="83"/>
      <c r="F3" s="28"/>
      <c r="G3" s="28"/>
      <c r="H3" s="28"/>
      <c r="I3" s="28"/>
      <c r="J3" s="28"/>
      <c r="K3" s="28"/>
      <c r="L3" s="28"/>
      <c r="M3" s="28"/>
      <c r="N3" s="28"/>
      <c r="O3" s="28"/>
      <c r="P3" s="28"/>
      <c r="Q3" s="28"/>
      <c r="R3" s="28"/>
      <c r="S3" s="28"/>
    </row>
    <row r="4" spans="2:19" s="352" customFormat="1" ht="18.600000000000001" customHeight="1" x14ac:dyDescent="0.2">
      <c r="E4" s="28"/>
      <c r="F4" s="28"/>
      <c r="G4" s="28"/>
      <c r="H4" s="28"/>
      <c r="I4" s="28"/>
      <c r="J4" s="28"/>
      <c r="K4" s="28"/>
      <c r="L4" s="28"/>
      <c r="M4" s="28"/>
      <c r="N4" s="28"/>
      <c r="O4" s="28"/>
      <c r="P4" s="28"/>
      <c r="Q4" s="28"/>
      <c r="R4" s="28"/>
      <c r="S4" s="28"/>
    </row>
    <row r="5" spans="2:19" s="679" customFormat="1" ht="18.600000000000001" customHeight="1" x14ac:dyDescent="0.2">
      <c r="E5" s="28"/>
      <c r="F5" s="28"/>
      <c r="G5" s="28"/>
      <c r="H5" s="28"/>
      <c r="I5" s="28"/>
      <c r="J5" s="28"/>
      <c r="K5" s="28"/>
      <c r="L5" s="28"/>
      <c r="M5" s="28"/>
      <c r="N5" s="28"/>
      <c r="O5" s="28"/>
      <c r="P5" s="28"/>
      <c r="Q5" s="28"/>
      <c r="R5" s="28"/>
      <c r="S5" s="28"/>
    </row>
    <row r="6" spans="2:19" s="352" customFormat="1" ht="18.600000000000001" customHeight="1" x14ac:dyDescent="0.2">
      <c r="E6" s="28"/>
      <c r="F6" s="28"/>
      <c r="G6" s="28"/>
      <c r="H6" s="28"/>
      <c r="I6" s="28"/>
      <c r="J6" s="28"/>
      <c r="K6" s="369"/>
      <c r="L6" s="28"/>
      <c r="M6" s="28"/>
      <c r="N6" s="28"/>
      <c r="O6" s="28"/>
      <c r="P6" s="28"/>
      <c r="Q6" s="28"/>
      <c r="R6" s="28"/>
      <c r="S6" s="28"/>
    </row>
    <row r="7" spans="2:19" s="352" customFormat="1" ht="18.600000000000001" customHeight="1" x14ac:dyDescent="0.2">
      <c r="E7" s="28"/>
      <c r="F7" s="28"/>
      <c r="G7" s="28"/>
      <c r="H7" s="28"/>
      <c r="I7" s="28"/>
      <c r="J7" s="28"/>
      <c r="K7" s="369"/>
      <c r="L7" s="28"/>
      <c r="M7" s="28"/>
      <c r="N7" s="28"/>
      <c r="O7" s="28"/>
      <c r="P7" s="28"/>
      <c r="Q7" s="28"/>
      <c r="R7" s="28"/>
      <c r="S7" s="28"/>
    </row>
    <row r="8" spans="2:19" ht="18.600000000000001" customHeight="1" x14ac:dyDescent="0.2">
      <c r="D8" s="86"/>
    </row>
    <row r="9" spans="2:19" ht="18.600000000000001" customHeight="1" x14ac:dyDescent="0.2">
      <c r="D9" s="86"/>
    </row>
    <row r="10" spans="2:19" ht="18.600000000000001" customHeight="1" x14ac:dyDescent="0.2">
      <c r="D10" s="86"/>
      <c r="F10" s="89"/>
    </row>
    <row r="11" spans="2:19" s="268" customFormat="1" ht="18.600000000000001" customHeight="1" x14ac:dyDescent="0.3">
      <c r="B11" s="382" t="s">
        <v>577</v>
      </c>
      <c r="E11" s="76"/>
      <c r="F11" s="76"/>
      <c r="G11" s="76"/>
      <c r="H11" s="76"/>
      <c r="I11" s="76"/>
      <c r="J11" s="76"/>
      <c r="K11" s="269"/>
      <c r="L11" s="76"/>
      <c r="M11" s="76"/>
      <c r="N11" s="76"/>
      <c r="O11" s="76"/>
      <c r="P11" s="76"/>
      <c r="Q11" s="76"/>
      <c r="R11" s="76"/>
      <c r="S11" s="76"/>
    </row>
    <row r="12" spans="2:19" s="77" customFormat="1" ht="18.600000000000001" customHeight="1" x14ac:dyDescent="0.3">
      <c r="C12" s="383"/>
    </row>
    <row r="13" spans="2:19" s="384" customFormat="1" ht="15.75" customHeight="1" x14ac:dyDescent="0.2">
      <c r="D13" s="90"/>
    </row>
    <row r="14" spans="2:19" x14ac:dyDescent="0.2">
      <c r="D14" s="215"/>
    </row>
    <row r="15" spans="2:19" x14ac:dyDescent="0.2">
      <c r="B15" s="32"/>
      <c r="C15" s="9"/>
      <c r="D15" s="215"/>
    </row>
    <row r="16" spans="2:19" x14ac:dyDescent="0.2">
      <c r="B16" s="215"/>
      <c r="C16" s="215"/>
      <c r="D16" s="215"/>
    </row>
    <row r="17" spans="2:4" ht="14.25" x14ac:dyDescent="0.2">
      <c r="B17" s="21" t="s">
        <v>450</v>
      </c>
      <c r="C17" s="488"/>
      <c r="D17" s="215"/>
    </row>
    <row r="18" spans="2:4" x14ac:dyDescent="0.2">
      <c r="B18" s="517" t="s">
        <v>613</v>
      </c>
      <c r="C18" s="518">
        <v>1000</v>
      </c>
      <c r="D18" s="215"/>
    </row>
    <row r="19" spans="2:4" x14ac:dyDescent="0.2">
      <c r="B19" s="517" t="s">
        <v>614</v>
      </c>
      <c r="C19" s="518">
        <v>1000000</v>
      </c>
    </row>
    <row r="20" spans="2:4" x14ac:dyDescent="0.2">
      <c r="B20" s="324"/>
      <c r="C20" s="33"/>
    </row>
    <row r="21" spans="2:4" x14ac:dyDescent="0.2">
      <c r="B21" s="324" t="s">
        <v>573</v>
      </c>
      <c r="C21" s="470">
        <v>1.6</v>
      </c>
    </row>
    <row r="22" spans="2:4" x14ac:dyDescent="0.2">
      <c r="B22" s="324"/>
      <c r="C22" s="519"/>
    </row>
    <row r="23" spans="2:4" x14ac:dyDescent="0.2">
      <c r="B23" s="324" t="s">
        <v>775</v>
      </c>
      <c r="C23" s="980">
        <v>0.1</v>
      </c>
    </row>
    <row r="24" spans="2:4" x14ac:dyDescent="0.2">
      <c r="B24" s="324"/>
      <c r="C24" s="519"/>
    </row>
    <row r="25" spans="2:4" x14ac:dyDescent="0.2">
      <c r="B25" s="34"/>
      <c r="C25" s="520"/>
    </row>
    <row r="26" spans="2:4" x14ac:dyDescent="0.2">
      <c r="C26" s="215"/>
    </row>
    <row r="28" spans="2:4" ht="14.25" x14ac:dyDescent="0.2">
      <c r="B28" s="21" t="s">
        <v>449</v>
      </c>
      <c r="C28" s="51"/>
    </row>
    <row r="29" spans="2:4" x14ac:dyDescent="0.2">
      <c r="B29" s="22" t="s">
        <v>226</v>
      </c>
      <c r="C29" s="297" t="s">
        <v>227</v>
      </c>
    </row>
    <row r="30" spans="2:4" x14ac:dyDescent="0.2">
      <c r="B30" s="22"/>
      <c r="C30" s="380" t="s">
        <v>432</v>
      </c>
    </row>
    <row r="31" spans="2:4" x14ac:dyDescent="0.2">
      <c r="B31" s="324" t="s">
        <v>229</v>
      </c>
      <c r="C31" s="470">
        <v>1</v>
      </c>
    </row>
    <row r="32" spans="2:4" x14ac:dyDescent="0.2">
      <c r="B32" s="324" t="s">
        <v>230</v>
      </c>
      <c r="C32" s="519">
        <f>C31*(1+'CPI calculations'!J126)</f>
        <v>1.0151085930122756</v>
      </c>
    </row>
    <row r="33" spans="2:3" x14ac:dyDescent="0.2">
      <c r="B33" s="324" t="s">
        <v>231</v>
      </c>
      <c r="C33" s="519">
        <f>C32*(1+'CPI calculations'!J127)</f>
        <v>1.0254957507082152</v>
      </c>
    </row>
    <row r="34" spans="2:3" x14ac:dyDescent="0.2">
      <c r="B34" s="324" t="s">
        <v>232</v>
      </c>
      <c r="C34" s="519">
        <f>C33*(1+'CPI calculations'!J128)</f>
        <v>1.0453257790368271</v>
      </c>
    </row>
    <row r="35" spans="2:3" x14ac:dyDescent="0.2">
      <c r="B35" s="324" t="s">
        <v>233</v>
      </c>
      <c r="C35" s="519">
        <f>C34*(1+'CPI calculations'!J129)</f>
        <v>1.0670443814919734</v>
      </c>
    </row>
    <row r="36" spans="2:3" x14ac:dyDescent="0.2">
      <c r="B36" s="34"/>
      <c r="C36" s="520"/>
    </row>
    <row r="39" spans="2:3" ht="14.25" x14ac:dyDescent="0.2">
      <c r="B39" s="21" t="s">
        <v>495</v>
      </c>
      <c r="C39" s="521"/>
    </row>
    <row r="40" spans="2:3" x14ac:dyDescent="0.2">
      <c r="B40" s="22" t="s">
        <v>226</v>
      </c>
      <c r="C40" s="47" t="str">
        <f>'CPI calculations'!H4</f>
        <v xml:space="preserve">         Quarter-on-Quarter</v>
      </c>
    </row>
    <row r="41" spans="2:3" x14ac:dyDescent="0.2">
      <c r="B41" s="22"/>
      <c r="C41" s="47" t="str">
        <f>'CPI calculations'!J5</f>
        <v>Jun-Jun</v>
      </c>
    </row>
    <row r="42" spans="2:3" x14ac:dyDescent="0.2">
      <c r="B42" s="22" t="str">
        <f>'CPI calculations'!B120</f>
        <v>2008 - 2009</v>
      </c>
      <c r="C42" s="511">
        <f>C43*(1+'CPI calculations'!J121)</f>
        <v>1.3845150989284851</v>
      </c>
    </row>
    <row r="43" spans="2:3" x14ac:dyDescent="0.2">
      <c r="B43" s="22" t="str">
        <f>'CPI calculations'!B121</f>
        <v>2009 - 2010</v>
      </c>
      <c r="C43" s="511">
        <f>C44*(1+'CPI calculations'!J122)</f>
        <v>1.3426038902970383</v>
      </c>
    </row>
    <row r="44" spans="2:3" x14ac:dyDescent="0.2">
      <c r="B44" s="22" t="str">
        <f>'CPI calculations'!B122</f>
        <v>2010 - 2011</v>
      </c>
      <c r="C44" s="511">
        <f>C45*(1+'CPI calculations'!J123)</f>
        <v>1.2965872247021799</v>
      </c>
    </row>
    <row r="45" spans="2:3" x14ac:dyDescent="0.2">
      <c r="B45" s="22" t="str">
        <f>'CPI calculations'!B123</f>
        <v>2011 - 2012</v>
      </c>
      <c r="C45" s="511">
        <f>C46*(1+'CPI calculations'!J124)</f>
        <v>1.2810901662396039</v>
      </c>
    </row>
    <row r="46" spans="2:3" x14ac:dyDescent="0.2">
      <c r="B46" s="22" t="str">
        <f>'CPI calculations'!B124</f>
        <v>2012 - 2013</v>
      </c>
      <c r="C46" s="511">
        <f>C47*(1+'CPI calculations'!J125)</f>
        <v>1.2511814464052162</v>
      </c>
    </row>
    <row r="47" spans="2:3" x14ac:dyDescent="0.2">
      <c r="B47" s="22" t="str">
        <f>'CPI calculations'!B125</f>
        <v>2013 - 2014</v>
      </c>
      <c r="C47" s="511">
        <f>C48*(1+'CPI calculations'!J126)</f>
        <v>1.2145557383423626</v>
      </c>
    </row>
    <row r="48" spans="2:3" x14ac:dyDescent="0.2">
      <c r="B48" s="22" t="str">
        <f>'CPI calculations'!B126</f>
        <v>2014 - 2015</v>
      </c>
      <c r="C48" s="511">
        <f>C49*(1+'CPI calculations'!J127)</f>
        <v>1.1964786296786625</v>
      </c>
    </row>
    <row r="49" spans="2:12" x14ac:dyDescent="0.2">
      <c r="B49" s="22" t="str">
        <f>'CPI calculations'!B127</f>
        <v>2015 - 2016</v>
      </c>
      <c r="C49" s="511">
        <f>C50*(1+'CPI calculations'!J128)</f>
        <v>1.1843596012012543</v>
      </c>
    </row>
    <row r="50" spans="2:12" x14ac:dyDescent="0.2">
      <c r="B50" s="22" t="str">
        <f>'CPI calculations'!B128</f>
        <v>2016 - 2017</v>
      </c>
      <c r="C50" s="511">
        <f>C51*(1+'CPI calculations'!J129)</f>
        <v>1.1618920748912034</v>
      </c>
    </row>
    <row r="51" spans="2:12" x14ac:dyDescent="0.2">
      <c r="B51" s="22" t="str">
        <f>'CPI calculations'!B129</f>
        <v>2017 - 2018</v>
      </c>
      <c r="C51" s="511">
        <f>C52*(1+'CPI calculations'!J130)</f>
        <v>1.1382429441633293</v>
      </c>
    </row>
    <row r="52" spans="2:12" x14ac:dyDescent="0.2">
      <c r="B52" s="23" t="str">
        <f>'CPI calculations'!B130</f>
        <v>2018 - 2019</v>
      </c>
      <c r="C52" s="523">
        <f>C53*(1+'CPI calculations'!J131)</f>
        <v>1.1203959293593746</v>
      </c>
    </row>
    <row r="53" spans="2:12" ht="12.75" x14ac:dyDescent="0.2">
      <c r="B53" s="22" t="s">
        <v>619</v>
      </c>
      <c r="C53" s="511">
        <f>C54*(1+'CPI calculations'!J132)</f>
        <v>1.0995053281249998</v>
      </c>
      <c r="E53" s="652"/>
    </row>
    <row r="54" spans="2:12" x14ac:dyDescent="0.2">
      <c r="B54" s="22" t="s">
        <v>623</v>
      </c>
      <c r="C54" s="511">
        <f>C55*(1+D54)</f>
        <v>1.0768906249999999</v>
      </c>
      <c r="D54" s="856">
        <v>2.5000000000000001E-2</v>
      </c>
      <c r="E54" s="716" t="str">
        <f>E55</f>
        <v>IPART forecast</v>
      </c>
      <c r="F54" s="3"/>
    </row>
    <row r="55" spans="2:12" x14ac:dyDescent="0.2">
      <c r="B55" s="22" t="s">
        <v>624</v>
      </c>
      <c r="C55" s="511">
        <f>C56*(1+D55)</f>
        <v>1.0506249999999999</v>
      </c>
      <c r="D55" s="856">
        <v>2.5000000000000001E-2</v>
      </c>
      <c r="E55" s="716" t="s">
        <v>643</v>
      </c>
      <c r="F55" s="3"/>
    </row>
    <row r="56" spans="2:12" x14ac:dyDescent="0.2">
      <c r="B56" s="324" t="s">
        <v>622</v>
      </c>
      <c r="C56" s="511">
        <f>C57*(1+D56)</f>
        <v>1.0249999999999999</v>
      </c>
      <c r="D56" s="856">
        <v>2.5000000000000001E-2</v>
      </c>
      <c r="E56" s="716" t="s">
        <v>643</v>
      </c>
      <c r="F56" s="3"/>
    </row>
    <row r="57" spans="2:12" x14ac:dyDescent="0.2">
      <c r="B57" s="34" t="s">
        <v>625</v>
      </c>
      <c r="C57" s="524">
        <v>1</v>
      </c>
      <c r="D57" s="443"/>
    </row>
    <row r="59" spans="2:12" x14ac:dyDescent="0.2">
      <c r="E59" s="381"/>
      <c r="F59" s="381"/>
      <c r="G59" s="381"/>
      <c r="H59" s="381"/>
      <c r="I59" s="381"/>
      <c r="J59" s="381"/>
      <c r="K59" s="381"/>
      <c r="L59" s="381"/>
    </row>
    <row r="60" spans="2:12" ht="14.25" x14ac:dyDescent="0.2">
      <c r="B60" s="21" t="s">
        <v>571</v>
      </c>
      <c r="C60" s="521"/>
      <c r="D60" s="381"/>
    </row>
    <row r="61" spans="2:12" x14ac:dyDescent="0.2">
      <c r="B61" s="22" t="str">
        <f>B40</f>
        <v>All caps</v>
      </c>
      <c r="C61" s="47" t="str">
        <f>C40</f>
        <v xml:space="preserve">         Quarter-on-Quarter</v>
      </c>
    </row>
    <row r="62" spans="2:12" x14ac:dyDescent="0.2">
      <c r="B62" s="22"/>
      <c r="C62" s="47" t="str">
        <f>C41</f>
        <v>Jun-Jun</v>
      </c>
      <c r="D62" s="381"/>
    </row>
    <row r="63" spans="2:12" x14ac:dyDescent="0.2">
      <c r="B63" s="22" t="str">
        <f t="shared" ref="B63:B73" si="0">B42</f>
        <v>2008 - 2009</v>
      </c>
      <c r="C63" s="525">
        <v>1</v>
      </c>
    </row>
    <row r="64" spans="2:12" x14ac:dyDescent="0.2">
      <c r="B64" s="22" t="str">
        <f t="shared" si="0"/>
        <v>2009 - 2010</v>
      </c>
      <c r="C64" s="522">
        <f>C63*(1+'CPI calculations'!J121)</f>
        <v>1.0312163616792249</v>
      </c>
    </row>
    <row r="65" spans="2:7" x14ac:dyDescent="0.2">
      <c r="B65" s="22" t="str">
        <f t="shared" si="0"/>
        <v>2010 - 2011</v>
      </c>
      <c r="C65" s="522">
        <f>C64*(1+'CPI calculations'!J122)</f>
        <v>1.0678148546824544</v>
      </c>
    </row>
    <row r="66" spans="2:7" x14ac:dyDescent="0.2">
      <c r="B66" s="22" t="str">
        <f t="shared" si="0"/>
        <v>2011 - 2012</v>
      </c>
      <c r="C66" s="522">
        <f>C65*(1+'CPI calculations'!J123)</f>
        <v>1.0807319698600648</v>
      </c>
    </row>
    <row r="67" spans="2:7" x14ac:dyDescent="0.2">
      <c r="B67" s="22" t="str">
        <f t="shared" si="0"/>
        <v>2012 - 2013</v>
      </c>
      <c r="C67" s="522">
        <f>C66*(1+'CPI calculations'!J124)</f>
        <v>1.1065662002152854</v>
      </c>
    </row>
    <row r="68" spans="2:7" x14ac:dyDescent="0.2">
      <c r="B68" s="22" t="str">
        <f t="shared" si="0"/>
        <v>2013 - 2014</v>
      </c>
      <c r="C68" s="522">
        <f>C67*(1+'CPI calculations'!J125)</f>
        <v>1.1399354144241123</v>
      </c>
    </row>
    <row r="69" spans="2:7" x14ac:dyDescent="0.2">
      <c r="B69" s="22" t="str">
        <f t="shared" si="0"/>
        <v>2014 - 2015</v>
      </c>
      <c r="C69" s="522">
        <f>C68*(1+'CPI calculations'!J126)</f>
        <v>1.1571582346609259</v>
      </c>
    </row>
    <row r="70" spans="2:7" x14ac:dyDescent="0.2">
      <c r="B70" s="22" t="str">
        <f t="shared" si="0"/>
        <v>2015 - 2016</v>
      </c>
      <c r="C70" s="522">
        <f>C69*(1+'CPI calculations'!J127)</f>
        <v>1.1689989235737352</v>
      </c>
    </row>
    <row r="71" spans="2:7" x14ac:dyDescent="0.2">
      <c r="B71" s="22" t="str">
        <f t="shared" si="0"/>
        <v>2016 - 2017</v>
      </c>
      <c r="C71" s="522">
        <f>C70*(1+'CPI calculations'!J128)</f>
        <v>1.1916038751345532</v>
      </c>
    </row>
    <row r="72" spans="2:7" x14ac:dyDescent="0.2">
      <c r="B72" s="22" t="str">
        <f t="shared" si="0"/>
        <v>2017 - 2018</v>
      </c>
      <c r="C72" s="522">
        <f>C71*(1+'CPI calculations'!J129)</f>
        <v>1.2163616792249732</v>
      </c>
    </row>
    <row r="73" spans="2:7" x14ac:dyDescent="0.2">
      <c r="B73" s="22" t="str">
        <f t="shared" si="0"/>
        <v>2018 - 2019</v>
      </c>
      <c r="C73" s="522">
        <f>C72*(1+'CPI calculations'!J130)</f>
        <v>1.2357373519913888</v>
      </c>
      <c r="D73" s="28"/>
    </row>
    <row r="74" spans="2:7" x14ac:dyDescent="0.2">
      <c r="B74" s="517" t="s">
        <v>619</v>
      </c>
      <c r="C74" s="522">
        <f>C73*(1+'CPI calculations'!J131)</f>
        <v>1.2592163616792251</v>
      </c>
      <c r="D74" s="28"/>
    </row>
    <row r="75" spans="2:7" x14ac:dyDescent="0.2">
      <c r="B75" s="526"/>
      <c r="C75" s="527"/>
      <c r="D75" s="215"/>
    </row>
    <row r="78" spans="2:7" ht="14.25" x14ac:dyDescent="0.2">
      <c r="B78" s="21" t="s">
        <v>620</v>
      </c>
      <c r="C78" s="521"/>
      <c r="F78" s="21" t="s">
        <v>641</v>
      </c>
      <c r="G78" s="644"/>
    </row>
    <row r="79" spans="2:7" x14ac:dyDescent="0.2">
      <c r="B79" s="22" t="s">
        <v>226</v>
      </c>
      <c r="C79" s="522"/>
      <c r="F79" s="22" t="s">
        <v>226</v>
      </c>
      <c r="G79" s="47" t="str">
        <f>'CPI calculations'!H4</f>
        <v xml:space="preserve">         Quarter-on-Quarter</v>
      </c>
    </row>
    <row r="80" spans="2:7" x14ac:dyDescent="0.2">
      <c r="B80" s="22" t="str">
        <f>B42</f>
        <v>2008 - 2009</v>
      </c>
      <c r="C80" s="522">
        <f>C81*(1+'CPI calculations'!J120)</f>
        <v>1.2532751091703063</v>
      </c>
      <c r="F80" s="22"/>
      <c r="G80" s="47" t="s">
        <v>228</v>
      </c>
    </row>
    <row r="81" spans="2:7" x14ac:dyDescent="0.2">
      <c r="B81" s="22" t="str">
        <f t="shared" ref="B81:B90" si="1">B43</f>
        <v>2009 - 2010</v>
      </c>
      <c r="C81" s="522">
        <f>C82*(1+'CPI calculations'!J121)</f>
        <v>1.235737351991389</v>
      </c>
      <c r="F81" s="22">
        <v>2009</v>
      </c>
      <c r="G81" s="522">
        <f>G82*(1+'CPI calculations'!H122)</f>
        <v>1.2322375397667025</v>
      </c>
    </row>
    <row r="82" spans="2:7" x14ac:dyDescent="0.2">
      <c r="B82" s="22" t="str">
        <f t="shared" si="1"/>
        <v>2010 - 2011</v>
      </c>
      <c r="C82" s="522">
        <f>C83*(1+'CPI calculations'!J122)</f>
        <v>1.1983298538622134</v>
      </c>
      <c r="F82" s="22">
        <v>2010</v>
      </c>
      <c r="G82" s="522">
        <f>G83*(1+'CPI calculations'!H123)</f>
        <v>1.1991744066047474</v>
      </c>
    </row>
    <row r="83" spans="2:7" x14ac:dyDescent="0.2">
      <c r="B83" s="22" t="str">
        <f t="shared" si="1"/>
        <v>2011 - 2012</v>
      </c>
      <c r="C83" s="522">
        <f>C84*(1+'CPI calculations'!J123)</f>
        <v>1.1572580645161292</v>
      </c>
      <c r="F83" s="22">
        <v>2011</v>
      </c>
      <c r="G83" s="522">
        <f>G84*(1+'CPI calculations'!H124)</f>
        <v>1.1643286573146294</v>
      </c>
    </row>
    <row r="84" spans="2:7" x14ac:dyDescent="0.2">
      <c r="B84" s="22" t="str">
        <f t="shared" si="1"/>
        <v>2012 - 2013</v>
      </c>
      <c r="C84" s="522">
        <f>C85*(1+'CPI calculations'!J124)</f>
        <v>1.1434262948207172</v>
      </c>
      <c r="F84" s="22">
        <v>2012</v>
      </c>
      <c r="G84" s="522">
        <f>G85*(1+'CPI calculations'!H125)</f>
        <v>1.1392156862745098</v>
      </c>
    </row>
    <row r="85" spans="2:7" x14ac:dyDescent="0.2">
      <c r="B85" s="22" t="str">
        <f t="shared" si="1"/>
        <v>2013 - 2014</v>
      </c>
      <c r="C85" s="522">
        <f>C86*(1+'CPI calculations'!J125)</f>
        <v>1.1167315175097277</v>
      </c>
      <c r="F85" s="22">
        <v>2013</v>
      </c>
      <c r="G85" s="522">
        <f>G86*(1+'CPI calculations'!H126)</f>
        <v>1.1087786259541985</v>
      </c>
    </row>
    <row r="86" spans="2:7" x14ac:dyDescent="0.2">
      <c r="B86" s="22" t="str">
        <f t="shared" si="1"/>
        <v>2014 - 2015</v>
      </c>
      <c r="C86" s="522">
        <f>C87*(1+'CPI calculations'!J126)</f>
        <v>1.0840415486307837</v>
      </c>
      <c r="F86" s="22">
        <v>2014</v>
      </c>
      <c r="G86" s="522">
        <f>G87*(1+'CPI calculations'!H127)</f>
        <v>1.0900562851782365</v>
      </c>
    </row>
    <row r="87" spans="2:7" x14ac:dyDescent="0.2">
      <c r="B87" s="22" t="str">
        <f t="shared" si="1"/>
        <v>2015 - 2016</v>
      </c>
      <c r="C87" s="522">
        <f>C88*(1+'CPI calculations'!J127)</f>
        <v>1.0679069767441862</v>
      </c>
      <c r="F87" s="22">
        <v>2015</v>
      </c>
      <c r="G87" s="522">
        <f>G88*(1+'CPI calculations'!H128)</f>
        <v>1.0719557195571956</v>
      </c>
    </row>
    <row r="88" spans="2:7" x14ac:dyDescent="0.2">
      <c r="B88" s="22" t="str">
        <f t="shared" si="1"/>
        <v>2016 - 2017</v>
      </c>
      <c r="C88" s="522">
        <f>C89*(1+'CPI calculations'!J128)</f>
        <v>1.0570902394106816</v>
      </c>
      <c r="F88" s="22">
        <v>2016</v>
      </c>
      <c r="G88" s="522">
        <f>G89*(1+'CPI calculations'!H129)</f>
        <v>1.0563636363636364</v>
      </c>
    </row>
    <row r="89" spans="2:7" x14ac:dyDescent="0.2">
      <c r="B89" s="22" t="str">
        <f t="shared" si="1"/>
        <v>2017 - 2018</v>
      </c>
      <c r="C89" s="522">
        <f>C90*(1+'CPI calculations'!J129)</f>
        <v>1.0370370370370372</v>
      </c>
      <c r="F89" s="22">
        <v>2017</v>
      </c>
      <c r="G89" s="522">
        <f>G90*(1+'CPI calculations'!H130)</f>
        <v>1.0365744870651206</v>
      </c>
    </row>
    <row r="90" spans="2:7" x14ac:dyDescent="0.2">
      <c r="B90" s="22" t="str">
        <f t="shared" si="1"/>
        <v>2018 - 2019</v>
      </c>
      <c r="C90" s="522">
        <f>C91*(1+'CPI calculations'!J130)</f>
        <v>1.0159292035398231</v>
      </c>
      <c r="D90" s="28"/>
      <c r="F90" s="22">
        <v>2018</v>
      </c>
      <c r="G90" s="522">
        <f>G91*(1+'CPI calculations'!H131)</f>
        <v>1.0184049079754602</v>
      </c>
    </row>
    <row r="91" spans="2:7" x14ac:dyDescent="0.2">
      <c r="B91" s="23" t="s">
        <v>619</v>
      </c>
      <c r="C91" s="524">
        <v>1</v>
      </c>
      <c r="F91" s="23">
        <v>2019</v>
      </c>
      <c r="G91" s="523">
        <v>1</v>
      </c>
    </row>
    <row r="95" spans="2:7" ht="14.25" x14ac:dyDescent="0.2">
      <c r="B95" s="651" t="s">
        <v>645</v>
      </c>
      <c r="C95" s="666"/>
      <c r="D95" s="652" t="s">
        <v>644</v>
      </c>
      <c r="E95" s="652"/>
      <c r="F95" s="652"/>
    </row>
    <row r="96" spans="2:7" ht="12.75" x14ac:dyDescent="0.2">
      <c r="B96" s="628" t="s">
        <v>226</v>
      </c>
      <c r="C96" s="665" t="s">
        <v>227</v>
      </c>
      <c r="D96" s="652"/>
      <c r="E96" s="652"/>
      <c r="F96" s="652"/>
    </row>
    <row r="97" spans="2:6" ht="12.75" x14ac:dyDescent="0.2">
      <c r="B97" s="628"/>
      <c r="C97" s="653" t="s">
        <v>228</v>
      </c>
      <c r="D97" s="652"/>
      <c r="E97" s="652"/>
      <c r="F97" s="652"/>
    </row>
    <row r="98" spans="2:6" ht="12.75" x14ac:dyDescent="0.2">
      <c r="B98" s="169">
        <v>2019</v>
      </c>
      <c r="C98" s="654">
        <v>1</v>
      </c>
      <c r="D98" s="652"/>
      <c r="E98" s="652"/>
      <c r="F98" s="652"/>
    </row>
    <row r="99" spans="2:6" ht="12.75" x14ac:dyDescent="0.2">
      <c r="B99" s="169">
        <v>2020</v>
      </c>
      <c r="C99" s="655">
        <f>C98*(1+'CPI calculations'!H132)</f>
        <v>1.018</v>
      </c>
      <c r="D99" s="652"/>
      <c r="F99" s="652"/>
    </row>
    <row r="100" spans="2:6" ht="12.75" x14ac:dyDescent="0.2">
      <c r="B100" s="169">
        <v>2021</v>
      </c>
      <c r="C100" s="655">
        <f>C99*(1+D54)</f>
        <v>1.04345</v>
      </c>
      <c r="F100" s="652"/>
    </row>
    <row r="101" spans="2:6" ht="12.75" x14ac:dyDescent="0.2">
      <c r="B101" s="169">
        <v>2022</v>
      </c>
      <c r="C101" s="655">
        <f>C100*(1+D55)</f>
        <v>1.0695362499999999</v>
      </c>
      <c r="F101" s="652"/>
    </row>
    <row r="102" spans="2:6" ht="12.75" x14ac:dyDescent="0.2">
      <c r="B102" s="169">
        <v>2023</v>
      </c>
      <c r="C102" s="655">
        <f>C101*(1+D56)</f>
        <v>1.0962746562499996</v>
      </c>
      <c r="F102" s="652"/>
    </row>
    <row r="103" spans="2:6" ht="12.75" x14ac:dyDescent="0.2">
      <c r="B103" s="656"/>
      <c r="C103" s="657"/>
      <c r="D103" s="652"/>
      <c r="E103" s="652"/>
      <c r="F103" s="652"/>
    </row>
    <row r="104" spans="2:6" ht="12.75" x14ac:dyDescent="0.2">
      <c r="B104" s="716" t="s">
        <v>642</v>
      </c>
      <c r="C104" s="717">
        <f>C102^(1/4)-1</f>
        <v>2.3245500354468707E-2</v>
      </c>
      <c r="D104" s="658"/>
      <c r="E104" s="659"/>
      <c r="F104" s="659"/>
    </row>
  </sheetData>
  <pageMargins left="0.70866141732283472" right="0.70866141732283472" top="0.74803149606299213" bottom="0.74803149606299213" header="0.31496062992125984" footer="0.31496062992125984"/>
  <pageSetup paperSize="9" scale="4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AB289"/>
  <sheetViews>
    <sheetView showGridLines="0" zoomScale="75" zoomScaleNormal="75" workbookViewId="0"/>
  </sheetViews>
  <sheetFormatPr defaultColWidth="9" defaultRowHeight="12" outlineLevelRow="1" x14ac:dyDescent="0.2"/>
  <cols>
    <col min="1" max="1" width="14.42578125" style="352" customWidth="1"/>
    <col min="2" max="2" width="39.42578125" style="352" customWidth="1"/>
    <col min="3" max="3" width="7.85546875" style="352" customWidth="1"/>
    <col min="4" max="4" width="9.140625" style="352" customWidth="1"/>
    <col min="5" max="5" width="8.42578125" style="352" customWidth="1"/>
    <col min="6" max="10" width="7.85546875" style="352" customWidth="1"/>
    <col min="11" max="14" width="7.42578125" style="352" customWidth="1"/>
    <col min="15" max="15" width="4.5703125" style="352" hidden="1" customWidth="1"/>
    <col min="16" max="16" width="11.5703125" style="352" hidden="1" customWidth="1"/>
    <col min="17" max="20" width="7.85546875" style="352" hidden="1" customWidth="1"/>
    <col min="21" max="21" width="11.42578125" style="352" customWidth="1"/>
    <col min="22" max="23" width="7.85546875" style="352" customWidth="1"/>
    <col min="24" max="24" width="10.28515625" style="352" customWidth="1"/>
    <col min="25" max="28" width="7" style="352" customWidth="1"/>
    <col min="29" max="16384" width="9" style="352"/>
  </cols>
  <sheetData>
    <row r="1" spans="1:14" ht="18.600000000000001" customHeight="1" thickBot="1" x14ac:dyDescent="0.25">
      <c r="C1" s="257"/>
      <c r="D1" s="9"/>
      <c r="E1" s="9"/>
      <c r="F1" s="9"/>
    </row>
    <row r="2" spans="1:14" ht="18.600000000000001" customHeight="1" thickBot="1" x14ac:dyDescent="0.35">
      <c r="B2" s="386"/>
      <c r="C2" s="387"/>
      <c r="D2" s="388"/>
      <c r="E2" s="388"/>
      <c r="F2" s="388"/>
      <c r="G2" s="389"/>
      <c r="H2" s="387" t="s">
        <v>419</v>
      </c>
      <c r="I2" s="388"/>
      <c r="J2" s="388"/>
      <c r="K2" s="388"/>
      <c r="L2" s="388"/>
      <c r="M2" s="388"/>
      <c r="N2" s="390"/>
    </row>
    <row r="3" spans="1:14" ht="18.600000000000001" customHeight="1" thickBot="1" x14ac:dyDescent="0.25">
      <c r="B3" s="391"/>
      <c r="C3" s="392"/>
      <c r="D3" s="393"/>
      <c r="E3" s="393"/>
      <c r="F3" s="394"/>
      <c r="G3" s="392"/>
      <c r="H3" s="392" t="s">
        <v>420</v>
      </c>
      <c r="I3" s="393"/>
      <c r="J3" s="393"/>
      <c r="K3" s="393"/>
      <c r="L3" s="393"/>
      <c r="M3" s="393"/>
      <c r="N3" s="394"/>
    </row>
    <row r="4" spans="1:14" ht="18.600000000000001" customHeight="1" x14ac:dyDescent="0.2">
      <c r="B4" s="391" t="s">
        <v>421</v>
      </c>
      <c r="C4" s="395"/>
      <c r="D4" s="396" t="s">
        <v>422</v>
      </c>
      <c r="E4" s="397"/>
      <c r="F4" s="398"/>
      <c r="G4" s="9"/>
      <c r="H4" s="396" t="s">
        <v>423</v>
      </c>
      <c r="I4" s="399"/>
      <c r="J4" s="399"/>
      <c r="K4" s="395"/>
      <c r="L4" s="400" t="s">
        <v>424</v>
      </c>
      <c r="M4" s="680"/>
      <c r="N4" s="681"/>
    </row>
    <row r="5" spans="1:14" ht="18.600000000000001" customHeight="1" thickBot="1" x14ac:dyDescent="0.25">
      <c r="B5" s="401" t="s">
        <v>425</v>
      </c>
      <c r="C5" s="402" t="s">
        <v>426</v>
      </c>
      <c r="D5" s="403" t="s">
        <v>427</v>
      </c>
      <c r="E5" s="403" t="s">
        <v>428</v>
      </c>
      <c r="F5" s="404" t="s">
        <v>429</v>
      </c>
      <c r="G5" s="405" t="s">
        <v>430</v>
      </c>
      <c r="H5" s="405" t="s">
        <v>228</v>
      </c>
      <c r="I5" s="405" t="s">
        <v>431</v>
      </c>
      <c r="J5" s="405" t="s">
        <v>432</v>
      </c>
      <c r="K5" s="406" t="s">
        <v>430</v>
      </c>
      <c r="L5" s="407" t="s">
        <v>228</v>
      </c>
      <c r="M5" s="407" t="s">
        <v>431</v>
      </c>
      <c r="N5" s="408" t="s">
        <v>432</v>
      </c>
    </row>
    <row r="6" spans="1:14" ht="18.600000000000001" customHeight="1" outlineLevel="1" x14ac:dyDescent="0.2">
      <c r="A6" s="409"/>
      <c r="B6" s="103" t="s">
        <v>433</v>
      </c>
      <c r="C6" s="104">
        <v>13.29708353929807</v>
      </c>
      <c r="D6" s="105">
        <v>13.395946613939694</v>
      </c>
      <c r="E6" s="105">
        <v>13.494809688581315</v>
      </c>
      <c r="F6" s="106">
        <v>13.741967375185368</v>
      </c>
      <c r="G6" s="107"/>
      <c r="H6" s="107"/>
      <c r="I6" s="107"/>
      <c r="J6" s="107"/>
      <c r="K6" s="410"/>
      <c r="L6" s="411"/>
      <c r="M6" s="411"/>
      <c r="N6" s="412"/>
    </row>
    <row r="7" spans="1:14" ht="18.600000000000001" customHeight="1" outlineLevel="1" x14ac:dyDescent="0.2">
      <c r="A7" s="409"/>
      <c r="B7" s="413" t="str">
        <f>LEFT(B6,4)+1&amp;" - "&amp;RIGHT(B6,4)+1</f>
        <v>1960 - 1961</v>
      </c>
      <c r="C7" s="108">
        <v>13.890261987147801</v>
      </c>
      <c r="D7" s="109">
        <v>13.989125061789421</v>
      </c>
      <c r="E7" s="109">
        <v>14.087988136431042</v>
      </c>
      <c r="F7" s="110">
        <v>14.186851211072662</v>
      </c>
      <c r="G7" s="111">
        <f t="shared" ref="G7:J38" si="0">C7/C6-1</f>
        <v>4.4609665427509437E-2</v>
      </c>
      <c r="H7" s="111">
        <f t="shared" si="0"/>
        <v>4.4280442804427889E-2</v>
      </c>
      <c r="I7" s="111">
        <f t="shared" si="0"/>
        <v>4.39560439560438E-2</v>
      </c>
      <c r="J7" s="111">
        <f t="shared" si="0"/>
        <v>3.2374100719424259E-2</v>
      </c>
      <c r="K7" s="112"/>
      <c r="L7" s="113"/>
      <c r="M7" s="113"/>
      <c r="N7" s="114">
        <f t="shared" ref="N7:N38" si="1">SUM(C7:F7)/SUM(C6:F6) -1</f>
        <v>4.124656278643446E-2</v>
      </c>
    </row>
    <row r="8" spans="1:14" ht="18.600000000000001" customHeight="1" outlineLevel="1" x14ac:dyDescent="0.2">
      <c r="A8" s="409"/>
      <c r="B8" s="413" t="str">
        <f t="shared" ref="B8:B58" si="2">LEFT(B7,4)+1&amp;" - "&amp;RIGHT(B7,4)+1</f>
        <v>1961 - 1962</v>
      </c>
      <c r="C8" s="108">
        <v>14.137419673751854</v>
      </c>
      <c r="D8" s="109">
        <v>14.087988136431042</v>
      </c>
      <c r="E8" s="109">
        <v>14.087988136431042</v>
      </c>
      <c r="F8" s="110">
        <v>14.087988136431042</v>
      </c>
      <c r="G8" s="111">
        <f t="shared" si="0"/>
        <v>1.7793594306049876E-2</v>
      </c>
      <c r="H8" s="111">
        <f t="shared" si="0"/>
        <v>7.0671378091873294E-3</v>
      </c>
      <c r="I8" s="111">
        <f t="shared" si="0"/>
        <v>0</v>
      </c>
      <c r="J8" s="111">
        <f t="shared" si="0"/>
        <v>-6.9686411149825211E-3</v>
      </c>
      <c r="K8" s="115">
        <f t="shared" ref="K8:K39" si="3">(SUM(D7:F7)+C8)/(SUM(D6:F6)+C7)-1</f>
        <v>3.4451495920217345E-2</v>
      </c>
      <c r="L8" s="116">
        <f t="shared" ref="L8:L50" si="4">(SUM(C8:D8)+SUM(E7:F7))/(SUM(C7:D7)+SUM(E6:F6)) - 1</f>
        <v>2.5112107623318503E-2</v>
      </c>
      <c r="M8" s="116">
        <f t="shared" ref="M8:M50" si="5">(SUM(C8:E8)+F7)/(SUM(C7:E7)+F6) -1</f>
        <v>1.4196983141082642E-2</v>
      </c>
      <c r="N8" s="114">
        <f t="shared" si="1"/>
        <v>4.4014084507042472E-3</v>
      </c>
    </row>
    <row r="9" spans="1:14" ht="18.600000000000001" customHeight="1" outlineLevel="1" x14ac:dyDescent="0.2">
      <c r="A9" s="409"/>
      <c r="B9" s="413" t="str">
        <f t="shared" si="2"/>
        <v>1962 - 1963</v>
      </c>
      <c r="C9" s="108">
        <v>14.087988136431042</v>
      </c>
      <c r="D9" s="109">
        <v>14.137419673751854</v>
      </c>
      <c r="E9" s="109">
        <v>14.137419673751854</v>
      </c>
      <c r="F9" s="110">
        <v>14.137419673751854</v>
      </c>
      <c r="G9" s="111">
        <f t="shared" si="0"/>
        <v>-3.4965034965035446E-3</v>
      </c>
      <c r="H9" s="111">
        <f t="shared" si="0"/>
        <v>3.5087719298245723E-3</v>
      </c>
      <c r="I9" s="111">
        <f t="shared" si="0"/>
        <v>3.5087719298245723E-3</v>
      </c>
      <c r="J9" s="111">
        <f t="shared" si="0"/>
        <v>3.5087719298245723E-3</v>
      </c>
      <c r="K9" s="115">
        <f t="shared" si="3"/>
        <v>-8.7642418930755639E-4</v>
      </c>
      <c r="L9" s="116">
        <f t="shared" si="4"/>
        <v>-1.7497812773404897E-3</v>
      </c>
      <c r="M9" s="116">
        <f t="shared" si="5"/>
        <v>-8.7489063867007832E-4</v>
      </c>
      <c r="N9" s="114">
        <f t="shared" si="1"/>
        <v>1.7528483786153348E-3</v>
      </c>
    </row>
    <row r="10" spans="1:14" ht="18.600000000000001" customHeight="1" outlineLevel="1" x14ac:dyDescent="0.2">
      <c r="A10" s="409"/>
      <c r="B10" s="413" t="str">
        <f t="shared" si="2"/>
        <v>1963 - 1964</v>
      </c>
      <c r="C10" s="108">
        <v>14.186851211072662</v>
      </c>
      <c r="D10" s="109">
        <v>14.186851211072662</v>
      </c>
      <c r="E10" s="109">
        <v>14.285714285714285</v>
      </c>
      <c r="F10" s="110">
        <v>14.384577360355907</v>
      </c>
      <c r="G10" s="111">
        <f t="shared" si="0"/>
        <v>7.0175438596491446E-3</v>
      </c>
      <c r="H10" s="111">
        <f t="shared" si="0"/>
        <v>3.4965034965033226E-3</v>
      </c>
      <c r="I10" s="111">
        <f t="shared" si="0"/>
        <v>1.0489510489510412E-2</v>
      </c>
      <c r="J10" s="111">
        <f t="shared" si="0"/>
        <v>1.7482517482517501E-2</v>
      </c>
      <c r="K10" s="115">
        <f t="shared" si="3"/>
        <v>4.3859649122808264E-3</v>
      </c>
      <c r="L10" s="116">
        <f t="shared" si="4"/>
        <v>4.382120946538226E-3</v>
      </c>
      <c r="M10" s="116">
        <f t="shared" si="5"/>
        <v>6.1295971978982955E-3</v>
      </c>
      <c r="N10" s="114">
        <f t="shared" si="1"/>
        <v>9.6237970253716387E-3</v>
      </c>
    </row>
    <row r="11" spans="1:14" ht="18.600000000000001" customHeight="1" outlineLevel="1" x14ac:dyDescent="0.2">
      <c r="A11" s="409"/>
      <c r="B11" s="413" t="str">
        <f t="shared" si="2"/>
        <v>1964 - 1965</v>
      </c>
      <c r="C11" s="108">
        <v>14.582303509639148</v>
      </c>
      <c r="D11" s="109">
        <v>14.730598121601581</v>
      </c>
      <c r="E11" s="109">
        <v>14.829461196243201</v>
      </c>
      <c r="F11" s="110">
        <v>14.977755808205634</v>
      </c>
      <c r="G11" s="111">
        <f t="shared" si="0"/>
        <v>2.7874564459930307E-2</v>
      </c>
      <c r="H11" s="111">
        <f t="shared" si="0"/>
        <v>3.832752613240431E-2</v>
      </c>
      <c r="I11" s="111">
        <f t="shared" si="0"/>
        <v>3.8062283737024138E-2</v>
      </c>
      <c r="J11" s="111">
        <f t="shared" si="0"/>
        <v>4.1237113402061709E-2</v>
      </c>
      <c r="K11" s="115">
        <f t="shared" si="3"/>
        <v>1.4847161572052237E-2</v>
      </c>
      <c r="L11" s="116">
        <f t="shared" si="4"/>
        <v>2.3560209424083878E-2</v>
      </c>
      <c r="M11" s="116">
        <f t="shared" si="5"/>
        <v>3.0461270670148144E-2</v>
      </c>
      <c r="N11" s="114">
        <f t="shared" si="1"/>
        <v>3.6395147313691645E-2</v>
      </c>
    </row>
    <row r="12" spans="1:14" ht="18.600000000000001" customHeight="1" outlineLevel="1" x14ac:dyDescent="0.2">
      <c r="A12" s="409"/>
      <c r="B12" s="413" t="str">
        <f t="shared" si="2"/>
        <v>1965 - 1966</v>
      </c>
      <c r="C12" s="108">
        <v>15.126050420168067</v>
      </c>
      <c r="D12" s="109">
        <v>15.32377656945131</v>
      </c>
      <c r="E12" s="109">
        <v>15.37320810677212</v>
      </c>
      <c r="F12" s="110">
        <v>15.472071181413741</v>
      </c>
      <c r="G12" s="111">
        <f t="shared" si="0"/>
        <v>3.7288135593220417E-2</v>
      </c>
      <c r="H12" s="111">
        <f t="shared" si="0"/>
        <v>4.0268456375838868E-2</v>
      </c>
      <c r="I12" s="111">
        <f t="shared" si="0"/>
        <v>3.6666666666666847E-2</v>
      </c>
      <c r="J12" s="111">
        <f t="shared" si="0"/>
        <v>3.3003300330032959E-2</v>
      </c>
      <c r="K12" s="115">
        <f t="shared" si="3"/>
        <v>3.8726333907056931E-2</v>
      </c>
      <c r="L12" s="116">
        <f t="shared" si="4"/>
        <v>3.9215686274509887E-2</v>
      </c>
      <c r="M12" s="116">
        <f t="shared" si="5"/>
        <v>3.8851351351351315E-2</v>
      </c>
      <c r="N12" s="114">
        <f t="shared" si="1"/>
        <v>3.6789297658862852E-2</v>
      </c>
    </row>
    <row r="13" spans="1:14" hidden="1" outlineLevel="1" x14ac:dyDescent="0.2">
      <c r="A13" s="409"/>
      <c r="B13" s="413" t="str">
        <f t="shared" si="2"/>
        <v>1966 - 1967</v>
      </c>
      <c r="C13" s="108">
        <v>15.521502718734551</v>
      </c>
      <c r="D13" s="109">
        <v>15.669797330696984</v>
      </c>
      <c r="E13" s="109">
        <v>15.768660405338604</v>
      </c>
      <c r="F13" s="110">
        <v>15.916955017301039</v>
      </c>
      <c r="G13" s="111">
        <f t="shared" si="0"/>
        <v>2.614379084967311E-2</v>
      </c>
      <c r="H13" s="111">
        <f t="shared" si="0"/>
        <v>2.2580645161290214E-2</v>
      </c>
      <c r="I13" s="111">
        <f t="shared" si="0"/>
        <v>2.5723472668810254E-2</v>
      </c>
      <c r="J13" s="111">
        <f t="shared" si="0"/>
        <v>2.8753993610223683E-2</v>
      </c>
      <c r="K13" s="115">
        <f t="shared" si="3"/>
        <v>3.3968516984258512E-2</v>
      </c>
      <c r="L13" s="116">
        <f t="shared" si="4"/>
        <v>2.9532403609515923E-2</v>
      </c>
      <c r="M13" s="116">
        <f t="shared" si="5"/>
        <v>2.6829268292682951E-2</v>
      </c>
      <c r="N13" s="114">
        <f t="shared" si="1"/>
        <v>2.5806451612903292E-2</v>
      </c>
    </row>
    <row r="14" spans="1:14" hidden="1" outlineLevel="1" x14ac:dyDescent="0.2">
      <c r="A14" s="409"/>
      <c r="B14" s="413" t="str">
        <f t="shared" si="2"/>
        <v>1967 - 1968</v>
      </c>
      <c r="C14" s="108">
        <v>16.16411270390509</v>
      </c>
      <c r="D14" s="109">
        <v>16.2135442412259</v>
      </c>
      <c r="E14" s="109">
        <v>16.262975778546711</v>
      </c>
      <c r="F14" s="110">
        <v>16.411270390509145</v>
      </c>
      <c r="G14" s="111">
        <f t="shared" si="0"/>
        <v>4.140127388535042E-2</v>
      </c>
      <c r="H14" s="111">
        <f t="shared" si="0"/>
        <v>3.4700315457413256E-2</v>
      </c>
      <c r="I14" s="111">
        <f t="shared" si="0"/>
        <v>3.1347962382445083E-2</v>
      </c>
      <c r="J14" s="111">
        <f t="shared" si="0"/>
        <v>3.105590062111796E-2</v>
      </c>
      <c r="K14" s="115">
        <f t="shared" si="3"/>
        <v>2.9647435897435903E-2</v>
      </c>
      <c r="L14" s="116">
        <f t="shared" si="4"/>
        <v>3.2669322709163451E-2</v>
      </c>
      <c r="M14" s="116">
        <f t="shared" si="5"/>
        <v>3.4045922406967577E-2</v>
      </c>
      <c r="N14" s="114">
        <f t="shared" si="1"/>
        <v>3.459119496855334E-2</v>
      </c>
    </row>
    <row r="15" spans="1:14" hidden="1" outlineLevel="1" x14ac:dyDescent="0.2">
      <c r="A15" s="409"/>
      <c r="B15" s="413" t="str">
        <f t="shared" si="2"/>
        <v>1968 - 1969</v>
      </c>
      <c r="C15" s="108">
        <v>16.460701927829952</v>
      </c>
      <c r="D15" s="109">
        <v>16.608996539792386</v>
      </c>
      <c r="E15" s="109">
        <v>16.757291151754817</v>
      </c>
      <c r="F15" s="110">
        <v>16.856154226396441</v>
      </c>
      <c r="G15" s="111">
        <f t="shared" si="0"/>
        <v>1.8348623853210899E-2</v>
      </c>
      <c r="H15" s="111">
        <f t="shared" si="0"/>
        <v>2.4390243902439046E-2</v>
      </c>
      <c r="I15" s="111">
        <f t="shared" si="0"/>
        <v>3.039513677811545E-2</v>
      </c>
      <c r="J15" s="111">
        <f t="shared" si="0"/>
        <v>2.7108433734939874E-2</v>
      </c>
      <c r="K15" s="115">
        <f t="shared" si="3"/>
        <v>2.8793774319066046E-2</v>
      </c>
      <c r="L15" s="116">
        <f t="shared" si="4"/>
        <v>2.6234567901234573E-2</v>
      </c>
      <c r="M15" s="116">
        <f t="shared" si="5"/>
        <v>2.6033690658499031E-2</v>
      </c>
      <c r="N15" s="114">
        <f t="shared" si="1"/>
        <v>2.5075987841945313E-2</v>
      </c>
    </row>
    <row r="16" spans="1:14" hidden="1" outlineLevel="1" x14ac:dyDescent="0.2">
      <c r="A16" s="409"/>
      <c r="B16" s="413" t="str">
        <f t="shared" si="2"/>
        <v>1969 - 1970</v>
      </c>
      <c r="C16" s="108">
        <v>16.955017301038058</v>
      </c>
      <c r="D16" s="109">
        <v>17.103311913000493</v>
      </c>
      <c r="E16" s="109">
        <v>17.251606524962924</v>
      </c>
      <c r="F16" s="110">
        <v>17.498764211566979</v>
      </c>
      <c r="G16" s="111">
        <f t="shared" si="0"/>
        <v>3.0030030030030019E-2</v>
      </c>
      <c r="H16" s="111">
        <f t="shared" si="0"/>
        <v>2.9761904761904656E-2</v>
      </c>
      <c r="I16" s="111">
        <f t="shared" si="0"/>
        <v>2.9498525073746285E-2</v>
      </c>
      <c r="J16" s="111">
        <f t="shared" si="0"/>
        <v>3.8123167155425186E-2</v>
      </c>
      <c r="K16" s="115">
        <f t="shared" si="3"/>
        <v>2.7987897125567374E-2</v>
      </c>
      <c r="L16" s="116">
        <f t="shared" si="4"/>
        <v>2.9323308270676529E-2</v>
      </c>
      <c r="M16" s="116">
        <f t="shared" si="5"/>
        <v>2.9104477611940238E-2</v>
      </c>
      <c r="N16" s="114">
        <f t="shared" si="1"/>
        <v>3.1875463306152652E-2</v>
      </c>
    </row>
    <row r="17" spans="1:14" hidden="1" outlineLevel="1" x14ac:dyDescent="0.2">
      <c r="A17" s="409"/>
      <c r="B17" s="413" t="str">
        <f t="shared" si="2"/>
        <v>1970 - 1971</v>
      </c>
      <c r="C17" s="108">
        <v>17.597627286208599</v>
      </c>
      <c r="D17" s="109">
        <v>17.943648047454275</v>
      </c>
      <c r="E17" s="109">
        <v>18.141374196737519</v>
      </c>
      <c r="F17" s="110">
        <v>18.437963420662381</v>
      </c>
      <c r="G17" s="111">
        <f t="shared" si="0"/>
        <v>3.7900874635568682E-2</v>
      </c>
      <c r="H17" s="111">
        <f t="shared" si="0"/>
        <v>4.9132947976878727E-2</v>
      </c>
      <c r="I17" s="111">
        <f t="shared" si="0"/>
        <v>5.157593123209181E-2</v>
      </c>
      <c r="J17" s="111">
        <f t="shared" si="0"/>
        <v>5.3672316384180796E-2</v>
      </c>
      <c r="K17" s="115">
        <f t="shared" si="3"/>
        <v>3.384841795437854E-2</v>
      </c>
      <c r="L17" s="116">
        <f t="shared" si="4"/>
        <v>3.87143900657414E-2</v>
      </c>
      <c r="M17" s="116">
        <f t="shared" si="5"/>
        <v>4.4234952864394605E-2</v>
      </c>
      <c r="N17" s="114">
        <f t="shared" si="1"/>
        <v>4.8132183908046189E-2</v>
      </c>
    </row>
    <row r="18" spans="1:14" hidden="1" outlineLevel="1" x14ac:dyDescent="0.2">
      <c r="A18" s="409"/>
      <c r="B18" s="413" t="str">
        <f t="shared" si="2"/>
        <v>1971 - 1972</v>
      </c>
      <c r="C18" s="108">
        <v>18.783984181908057</v>
      </c>
      <c r="D18" s="109">
        <v>19.228868017795353</v>
      </c>
      <c r="E18" s="109">
        <v>19.426594167078594</v>
      </c>
      <c r="F18" s="110">
        <v>19.574888779041029</v>
      </c>
      <c r="G18" s="111">
        <f t="shared" si="0"/>
        <v>6.7415730337078816E-2</v>
      </c>
      <c r="H18" s="111">
        <f t="shared" si="0"/>
        <v>7.1625344352617137E-2</v>
      </c>
      <c r="I18" s="111">
        <f t="shared" si="0"/>
        <v>7.0844686648501298E-2</v>
      </c>
      <c r="J18" s="111">
        <f t="shared" si="0"/>
        <v>6.1662198391420953E-2</v>
      </c>
      <c r="K18" s="115">
        <f t="shared" si="3"/>
        <v>5.5516014234875399E-2</v>
      </c>
      <c r="L18" s="116">
        <f t="shared" si="4"/>
        <v>6.1181434599156148E-2</v>
      </c>
      <c r="M18" s="116">
        <f t="shared" si="5"/>
        <v>6.5972222222222321E-2</v>
      </c>
      <c r="N18" s="114">
        <f t="shared" si="1"/>
        <v>6.7854694996573039E-2</v>
      </c>
    </row>
    <row r="19" spans="1:14" hidden="1" outlineLevel="1" x14ac:dyDescent="0.2">
      <c r="A19" s="409"/>
      <c r="B19" s="413" t="str">
        <f t="shared" si="2"/>
        <v>1972 - 1973</v>
      </c>
      <c r="C19" s="108">
        <v>19.871478002965894</v>
      </c>
      <c r="D19" s="109">
        <v>20.069204152249135</v>
      </c>
      <c r="E19" s="109">
        <v>20.514087988136431</v>
      </c>
      <c r="F19" s="110">
        <v>21.206129510627779</v>
      </c>
      <c r="G19" s="111">
        <f t="shared" si="0"/>
        <v>5.7894736842105443E-2</v>
      </c>
      <c r="H19" s="111">
        <f t="shared" si="0"/>
        <v>4.3701799485861281E-2</v>
      </c>
      <c r="I19" s="111">
        <f t="shared" si="0"/>
        <v>5.5979643765903475E-2</v>
      </c>
      <c r="J19" s="111">
        <f t="shared" si="0"/>
        <v>8.3333333333333259E-2</v>
      </c>
      <c r="K19" s="115">
        <f t="shared" si="3"/>
        <v>6.5407956844234727E-2</v>
      </c>
      <c r="L19" s="116">
        <f t="shared" si="4"/>
        <v>5.8316766070245274E-2</v>
      </c>
      <c r="M19" s="116">
        <f t="shared" si="5"/>
        <v>5.4723127035830599E-2</v>
      </c>
      <c r="N19" s="114">
        <f t="shared" si="1"/>
        <v>6.0333761232349126E-2</v>
      </c>
    </row>
    <row r="20" spans="1:14" hidden="1" outlineLevel="1" x14ac:dyDescent="0.2">
      <c r="A20" s="409"/>
      <c r="B20" s="413" t="str">
        <f t="shared" si="2"/>
        <v>1973 - 1974</v>
      </c>
      <c r="C20" s="108">
        <v>21.947602570439937</v>
      </c>
      <c r="D20" s="109">
        <v>22.738507167572909</v>
      </c>
      <c r="E20" s="109">
        <v>23.282254078101829</v>
      </c>
      <c r="F20" s="110">
        <v>24.270884824518042</v>
      </c>
      <c r="G20" s="111">
        <f t="shared" si="0"/>
        <v>0.10447761194029814</v>
      </c>
      <c r="H20" s="111">
        <f t="shared" si="0"/>
        <v>0.13300492610837433</v>
      </c>
      <c r="I20" s="111">
        <f t="shared" si="0"/>
        <v>0.13493975903614452</v>
      </c>
      <c r="J20" s="111">
        <f t="shared" si="0"/>
        <v>0.14452214452214451</v>
      </c>
      <c r="K20" s="115">
        <f t="shared" si="3"/>
        <v>7.2151898734177156E-2</v>
      </c>
      <c r="L20" s="116">
        <f t="shared" si="4"/>
        <v>9.4552285535378866E-2</v>
      </c>
      <c r="M20" s="116">
        <f t="shared" si="5"/>
        <v>0.11426806670784417</v>
      </c>
      <c r="N20" s="114">
        <f t="shared" si="1"/>
        <v>0.12953995157384979</v>
      </c>
    </row>
    <row r="21" spans="1:14" hidden="1" outlineLevel="1" x14ac:dyDescent="0.2">
      <c r="A21" s="409"/>
      <c r="B21" s="413" t="str">
        <f t="shared" si="2"/>
        <v>1974 - 1975</v>
      </c>
      <c r="C21" s="108">
        <v>25.50667325753831</v>
      </c>
      <c r="D21" s="109">
        <v>26.445872466633709</v>
      </c>
      <c r="E21" s="109">
        <v>27.385071675729112</v>
      </c>
      <c r="F21" s="110">
        <v>28.373702422145325</v>
      </c>
      <c r="G21" s="111">
        <f t="shared" si="0"/>
        <v>0.16216216216216228</v>
      </c>
      <c r="H21" s="111">
        <f t="shared" si="0"/>
        <v>0.16304347826086962</v>
      </c>
      <c r="I21" s="111">
        <f t="shared" si="0"/>
        <v>0.17622080679405494</v>
      </c>
      <c r="J21" s="111">
        <f t="shared" si="0"/>
        <v>0.16904276985743372</v>
      </c>
      <c r="K21" s="115">
        <f t="shared" si="3"/>
        <v>0.14403778040141657</v>
      </c>
      <c r="L21" s="116">
        <f t="shared" si="4"/>
        <v>0.15160183066361554</v>
      </c>
      <c r="M21" s="116">
        <f t="shared" si="5"/>
        <v>0.16186252771618626</v>
      </c>
      <c r="N21" s="114">
        <f t="shared" si="1"/>
        <v>0.16773847802786701</v>
      </c>
    </row>
    <row r="22" spans="1:14" hidden="1" outlineLevel="1" x14ac:dyDescent="0.2">
      <c r="A22" s="409"/>
      <c r="B22" s="413" t="str">
        <f t="shared" si="2"/>
        <v>1975 - 1976</v>
      </c>
      <c r="C22" s="108">
        <v>28.571428571428569</v>
      </c>
      <c r="D22" s="109">
        <v>30.153237765694509</v>
      </c>
      <c r="E22" s="109">
        <v>31.043005437469102</v>
      </c>
      <c r="F22" s="110">
        <v>31.833910034602077</v>
      </c>
      <c r="G22" s="111">
        <f t="shared" si="0"/>
        <v>0.12015503875968991</v>
      </c>
      <c r="H22" s="111">
        <f t="shared" si="0"/>
        <v>0.14018691588785037</v>
      </c>
      <c r="I22" s="111">
        <f t="shared" si="0"/>
        <v>0.13357400722021673</v>
      </c>
      <c r="J22" s="111">
        <f t="shared" si="0"/>
        <v>0.12195121951219523</v>
      </c>
      <c r="K22" s="115">
        <f t="shared" si="3"/>
        <v>0.15634674922600622</v>
      </c>
      <c r="L22" s="116">
        <f t="shared" si="4"/>
        <v>0.15052160953800287</v>
      </c>
      <c r="M22" s="116">
        <f t="shared" si="5"/>
        <v>0.14026717557251911</v>
      </c>
      <c r="N22" s="114">
        <f t="shared" si="1"/>
        <v>0.12895823772372661</v>
      </c>
    </row>
    <row r="23" spans="1:14" hidden="1" outlineLevel="1" x14ac:dyDescent="0.2">
      <c r="A23" s="409"/>
      <c r="B23" s="413" t="str">
        <f t="shared" si="2"/>
        <v>1976 - 1977</v>
      </c>
      <c r="C23" s="108">
        <v>32.575383094414235</v>
      </c>
      <c r="D23" s="109">
        <v>34.503213049925847</v>
      </c>
      <c r="E23" s="109">
        <v>35.294117647058826</v>
      </c>
      <c r="F23" s="110">
        <v>36.134453781512597</v>
      </c>
      <c r="G23" s="111">
        <f t="shared" si="0"/>
        <v>0.14013840830449831</v>
      </c>
      <c r="H23" s="111">
        <f t="shared" si="0"/>
        <v>0.1442622950819672</v>
      </c>
      <c r="I23" s="111">
        <f t="shared" si="0"/>
        <v>0.13694267515923597</v>
      </c>
      <c r="J23" s="111">
        <f t="shared" si="0"/>
        <v>0.13509316770186297</v>
      </c>
      <c r="K23" s="115">
        <f t="shared" si="3"/>
        <v>0.13386880856760364</v>
      </c>
      <c r="L23" s="116">
        <f t="shared" si="4"/>
        <v>0.13514680483592389</v>
      </c>
      <c r="M23" s="116">
        <f t="shared" si="5"/>
        <v>0.13598326359832646</v>
      </c>
      <c r="N23" s="114">
        <f t="shared" si="1"/>
        <v>0.13902439024390212</v>
      </c>
    </row>
    <row r="24" spans="1:14" hidden="1" outlineLevel="1" x14ac:dyDescent="0.2">
      <c r="A24" s="409"/>
      <c r="B24" s="413" t="str">
        <f t="shared" si="2"/>
        <v>1977 - 1978</v>
      </c>
      <c r="C24" s="108">
        <v>36.826495304003949</v>
      </c>
      <c r="D24" s="109">
        <v>37.716262975778541</v>
      </c>
      <c r="E24" s="109">
        <v>38.210578348986651</v>
      </c>
      <c r="F24" s="110">
        <v>38.952051408798809</v>
      </c>
      <c r="G24" s="111">
        <f t="shared" si="0"/>
        <v>0.13050075872534128</v>
      </c>
      <c r="H24" s="111">
        <f t="shared" si="0"/>
        <v>9.3123209169054366E-2</v>
      </c>
      <c r="I24" s="111">
        <f t="shared" si="0"/>
        <v>8.2633053221288444E-2</v>
      </c>
      <c r="J24" s="111">
        <f t="shared" si="0"/>
        <v>7.7975376196990576E-2</v>
      </c>
      <c r="K24" s="115">
        <f t="shared" si="3"/>
        <v>0.13656040928768176</v>
      </c>
      <c r="L24" s="116">
        <f t="shared" si="4"/>
        <v>0.12324077596044103</v>
      </c>
      <c r="M24" s="116">
        <f t="shared" si="5"/>
        <v>0.10939226519337009</v>
      </c>
      <c r="N24" s="114">
        <f t="shared" si="1"/>
        <v>9.5289079229122109E-2</v>
      </c>
    </row>
    <row r="25" spans="1:14" hidden="1" outlineLevel="1" x14ac:dyDescent="0.2">
      <c r="A25" s="409"/>
      <c r="B25" s="413" t="str">
        <f t="shared" si="2"/>
        <v>1978 - 1979</v>
      </c>
      <c r="C25" s="108">
        <v>39.742956005931788</v>
      </c>
      <c r="D25" s="109">
        <v>40.632723677706373</v>
      </c>
      <c r="E25" s="109">
        <v>41.324765200197717</v>
      </c>
      <c r="F25" s="110">
        <v>42.412259021255558</v>
      </c>
      <c r="G25" s="111">
        <f t="shared" si="0"/>
        <v>7.9194630872483573E-2</v>
      </c>
      <c r="H25" s="111">
        <f t="shared" si="0"/>
        <v>7.7326343381389329E-2</v>
      </c>
      <c r="I25" s="111">
        <f t="shared" si="0"/>
        <v>8.1500646830530155E-2</v>
      </c>
      <c r="J25" s="111">
        <f t="shared" si="0"/>
        <v>8.8832487309644659E-2</v>
      </c>
      <c r="K25" s="115">
        <f t="shared" si="3"/>
        <v>8.3102493074792338E-2</v>
      </c>
      <c r="L25" s="116">
        <f t="shared" si="4"/>
        <v>7.9241449373518735E-2</v>
      </c>
      <c r="M25" s="116">
        <f t="shared" si="5"/>
        <v>7.9017264276228349E-2</v>
      </c>
      <c r="N25" s="114">
        <f t="shared" si="1"/>
        <v>8.1785597914630248E-2</v>
      </c>
    </row>
    <row r="26" spans="1:14" hidden="1" outlineLevel="1" x14ac:dyDescent="0.2">
      <c r="A26" s="409"/>
      <c r="B26" s="413" t="str">
        <f t="shared" si="2"/>
        <v>1979 - 1980</v>
      </c>
      <c r="C26" s="108">
        <v>43.400889767671771</v>
      </c>
      <c r="D26" s="109">
        <v>44.686109738012853</v>
      </c>
      <c r="E26" s="109">
        <v>45.674740484429066</v>
      </c>
      <c r="F26" s="110">
        <v>46.95996045477014</v>
      </c>
      <c r="G26" s="111">
        <f t="shared" si="0"/>
        <v>9.2039800995024734E-2</v>
      </c>
      <c r="H26" s="111">
        <f t="shared" si="0"/>
        <v>9.9756690997567121E-2</v>
      </c>
      <c r="I26" s="111">
        <f t="shared" si="0"/>
        <v>0.10526315789473717</v>
      </c>
      <c r="J26" s="111">
        <f t="shared" si="0"/>
        <v>0.10722610722610715</v>
      </c>
      <c r="K26" s="115">
        <f t="shared" si="3"/>
        <v>8.503836317135538E-2</v>
      </c>
      <c r="L26" s="116">
        <f t="shared" si="4"/>
        <v>9.0680891120175744E-2</v>
      </c>
      <c r="M26" s="116">
        <f t="shared" si="5"/>
        <v>9.6615384615384547E-2</v>
      </c>
      <c r="N26" s="114">
        <f t="shared" si="1"/>
        <v>0.10120481927710845</v>
      </c>
    </row>
    <row r="27" spans="1:14" hidden="1" outlineLevel="1" x14ac:dyDescent="0.2">
      <c r="A27" s="409"/>
      <c r="B27" s="413" t="str">
        <f t="shared" si="2"/>
        <v>1980 - 1981</v>
      </c>
      <c r="C27" s="108">
        <v>47.849728126544733</v>
      </c>
      <c r="D27" s="109">
        <v>48.838358872960946</v>
      </c>
      <c r="E27" s="109">
        <v>49.975284231339586</v>
      </c>
      <c r="F27" s="110">
        <v>51.11220958971824</v>
      </c>
      <c r="G27" s="111">
        <f t="shared" si="0"/>
        <v>0.10250569476082005</v>
      </c>
      <c r="H27" s="111">
        <f t="shared" si="0"/>
        <v>9.2920353982300696E-2</v>
      </c>
      <c r="I27" s="111">
        <f t="shared" si="0"/>
        <v>9.4155844155843882E-2</v>
      </c>
      <c r="J27" s="111">
        <f t="shared" si="0"/>
        <v>8.8421052631578956E-2</v>
      </c>
      <c r="K27" s="115">
        <f t="shared" si="3"/>
        <v>0.10371243370654093</v>
      </c>
      <c r="L27" s="116">
        <f t="shared" si="4"/>
        <v>0.10184119677790582</v>
      </c>
      <c r="M27" s="116">
        <f t="shared" si="5"/>
        <v>9.9046015712682456E-2</v>
      </c>
      <c r="N27" s="114">
        <f t="shared" si="1"/>
        <v>9.4365426695842469E-2</v>
      </c>
    </row>
    <row r="28" spans="1:14" hidden="1" outlineLevel="1" x14ac:dyDescent="0.2">
      <c r="A28" s="409"/>
      <c r="B28" s="413" t="str">
        <f t="shared" si="2"/>
        <v>1981 - 1982</v>
      </c>
      <c r="C28" s="108">
        <v>52.15027187345526</v>
      </c>
      <c r="D28" s="109">
        <v>54.325259515570934</v>
      </c>
      <c r="E28" s="109">
        <v>55.264458724666333</v>
      </c>
      <c r="F28" s="110">
        <v>56.599110232328222</v>
      </c>
      <c r="G28" s="111">
        <f t="shared" si="0"/>
        <v>8.987603305785119E-2</v>
      </c>
      <c r="H28" s="111">
        <f t="shared" si="0"/>
        <v>0.11234817813765186</v>
      </c>
      <c r="I28" s="111">
        <f t="shared" si="0"/>
        <v>0.10583580613254218</v>
      </c>
      <c r="J28" s="111">
        <f t="shared" si="0"/>
        <v>0.10735009671179885</v>
      </c>
      <c r="K28" s="115">
        <f t="shared" si="3"/>
        <v>9.1297383876134619E-2</v>
      </c>
      <c r="L28" s="116">
        <f t="shared" si="4"/>
        <v>9.6344647519582161E-2</v>
      </c>
      <c r="M28" s="116">
        <f t="shared" si="5"/>
        <v>9.931069696196082E-2</v>
      </c>
      <c r="N28" s="114">
        <f t="shared" si="1"/>
        <v>0.1039740064983754</v>
      </c>
    </row>
    <row r="29" spans="1:14" hidden="1" outlineLevel="1" x14ac:dyDescent="0.2">
      <c r="A29" s="409"/>
      <c r="B29" s="413" t="str">
        <f t="shared" si="2"/>
        <v>1982 - 1983</v>
      </c>
      <c r="C29" s="108">
        <v>58.576371725160648</v>
      </c>
      <c r="D29" s="109">
        <v>60.306475531389019</v>
      </c>
      <c r="E29" s="109">
        <v>61.641127039050915</v>
      </c>
      <c r="F29" s="110">
        <v>62.926347009391989</v>
      </c>
      <c r="G29" s="111">
        <f t="shared" si="0"/>
        <v>0.12322274881516582</v>
      </c>
      <c r="H29" s="111">
        <f t="shared" si="0"/>
        <v>0.11010009099181062</v>
      </c>
      <c r="I29" s="111">
        <f t="shared" si="0"/>
        <v>0.11538461538461542</v>
      </c>
      <c r="J29" s="111">
        <f t="shared" si="0"/>
        <v>0.11179039301310034</v>
      </c>
      <c r="K29" s="115">
        <f t="shared" si="3"/>
        <v>0.11227984344422692</v>
      </c>
      <c r="L29" s="116">
        <f t="shared" si="4"/>
        <v>0.11169326030007132</v>
      </c>
      <c r="M29" s="116">
        <f t="shared" si="5"/>
        <v>0.11402693915466777</v>
      </c>
      <c r="N29" s="114">
        <f t="shared" si="1"/>
        <v>0.11501018791034623</v>
      </c>
    </row>
    <row r="30" spans="1:14" hidden="1" outlineLevel="1" x14ac:dyDescent="0.2">
      <c r="A30" s="409"/>
      <c r="B30" s="413" t="str">
        <f t="shared" si="2"/>
        <v>1983 - 1984</v>
      </c>
      <c r="C30" s="108">
        <v>63.964409293129016</v>
      </c>
      <c r="D30" s="109">
        <v>65.496786950074139</v>
      </c>
      <c r="E30" s="109">
        <v>65.249629263470084</v>
      </c>
      <c r="F30" s="110">
        <v>65.397923875432525</v>
      </c>
      <c r="G30" s="111">
        <f t="shared" si="0"/>
        <v>9.1983122362869318E-2</v>
      </c>
      <c r="H30" s="111">
        <f t="shared" si="0"/>
        <v>8.6065573770491843E-2</v>
      </c>
      <c r="I30" s="111">
        <f t="shared" si="0"/>
        <v>5.8540497193263707E-2</v>
      </c>
      <c r="J30" s="111">
        <f t="shared" si="0"/>
        <v>3.9277297721916682E-2</v>
      </c>
      <c r="K30" s="115">
        <f t="shared" si="3"/>
        <v>0.10710358478117432</v>
      </c>
      <c r="L30" s="116">
        <f t="shared" si="4"/>
        <v>0.10089974293059134</v>
      </c>
      <c r="M30" s="116">
        <f t="shared" si="5"/>
        <v>8.6512403585574216E-2</v>
      </c>
      <c r="N30" s="114">
        <f t="shared" si="1"/>
        <v>6.8426395939086504E-2</v>
      </c>
    </row>
    <row r="31" spans="1:14" hidden="1" outlineLevel="1" x14ac:dyDescent="0.2">
      <c r="A31" s="409"/>
      <c r="B31" s="413" t="str">
        <f t="shared" si="2"/>
        <v>1984 - 1985</v>
      </c>
      <c r="C31" s="108">
        <v>66.238260009886304</v>
      </c>
      <c r="D31" s="109">
        <v>67.17745921898171</v>
      </c>
      <c r="E31" s="109">
        <v>68.116658428077116</v>
      </c>
      <c r="F31" s="110">
        <v>69.747899159663859</v>
      </c>
      <c r="G31" s="111">
        <f t="shared" si="0"/>
        <v>3.5548686244204042E-2</v>
      </c>
      <c r="H31" s="111">
        <f t="shared" si="0"/>
        <v>2.5660377358490694E-2</v>
      </c>
      <c r="I31" s="111">
        <f t="shared" si="0"/>
        <v>4.3939393939394167E-2</v>
      </c>
      <c r="J31" s="111">
        <f t="shared" si="0"/>
        <v>6.6515495086923559E-2</v>
      </c>
      <c r="K31" s="115">
        <f t="shared" si="3"/>
        <v>5.4429876837505109E-2</v>
      </c>
      <c r="L31" s="116">
        <f t="shared" si="4"/>
        <v>3.9501848608678669E-2</v>
      </c>
      <c r="M31" s="116">
        <f t="shared" si="5"/>
        <v>3.6070606293169716E-2</v>
      </c>
      <c r="N31" s="114">
        <f t="shared" si="1"/>
        <v>4.2949448878753405E-2</v>
      </c>
    </row>
    <row r="32" spans="1:14" hidden="1" outlineLevel="1" x14ac:dyDescent="0.2">
      <c r="A32" s="409"/>
      <c r="B32" s="413" t="str">
        <f t="shared" si="2"/>
        <v>1985 - 1986</v>
      </c>
      <c r="C32" s="108">
        <v>71.280276816608989</v>
      </c>
      <c r="D32" s="109">
        <v>72.713791398912505</v>
      </c>
      <c r="E32" s="109">
        <v>74.394463667820062</v>
      </c>
      <c r="F32" s="110">
        <v>75.630252100840337</v>
      </c>
      <c r="G32" s="111">
        <f t="shared" si="0"/>
        <v>7.6119402985074469E-2</v>
      </c>
      <c r="H32" s="111">
        <f t="shared" si="0"/>
        <v>8.2413539367181654E-2</v>
      </c>
      <c r="I32" s="111">
        <f t="shared" si="0"/>
        <v>9.216255442670529E-2</v>
      </c>
      <c r="J32" s="111">
        <f t="shared" si="0"/>
        <v>8.4337349397590522E-2</v>
      </c>
      <c r="K32" s="115">
        <f t="shared" si="3"/>
        <v>5.3127354935945892E-2</v>
      </c>
      <c r="L32" s="116">
        <f t="shared" si="4"/>
        <v>6.739049045301404E-2</v>
      </c>
      <c r="M32" s="116">
        <f t="shared" si="5"/>
        <v>7.9444444444444429E-2</v>
      </c>
      <c r="N32" s="114">
        <f t="shared" si="1"/>
        <v>8.3819241982507231E-2</v>
      </c>
    </row>
    <row r="33" spans="1:14" hidden="1" outlineLevel="1" x14ac:dyDescent="0.2">
      <c r="A33" s="409"/>
      <c r="B33" s="413" t="str">
        <f t="shared" si="2"/>
        <v>1986 - 1987</v>
      </c>
      <c r="C33" s="108">
        <v>77.607513593672763</v>
      </c>
      <c r="D33" s="109">
        <v>79.831932773109244</v>
      </c>
      <c r="E33" s="109">
        <v>81.413741967375174</v>
      </c>
      <c r="F33" s="110">
        <v>82.649530400395435</v>
      </c>
      <c r="G33" s="111">
        <f t="shared" si="0"/>
        <v>8.8765603328710307E-2</v>
      </c>
      <c r="H33" s="111">
        <f t="shared" si="0"/>
        <v>9.7892590074779129E-2</v>
      </c>
      <c r="I33" s="111">
        <f t="shared" si="0"/>
        <v>9.4352159468438446E-2</v>
      </c>
      <c r="J33" s="111">
        <f t="shared" si="0"/>
        <v>9.281045751633954E-2</v>
      </c>
      <c r="K33" s="115">
        <f t="shared" si="3"/>
        <v>8.6940966010733423E-2</v>
      </c>
      <c r="L33" s="116">
        <f t="shared" si="4"/>
        <v>9.08453174324797E-2</v>
      </c>
      <c r="M33" s="116">
        <f t="shared" si="5"/>
        <v>9.1439354949391038E-2</v>
      </c>
      <c r="N33" s="114">
        <f t="shared" si="1"/>
        <v>9.3476798924008175E-2</v>
      </c>
    </row>
    <row r="34" spans="1:14" hidden="1" outlineLevel="1" x14ac:dyDescent="0.2">
      <c r="A34" s="409"/>
      <c r="B34" s="413" t="str">
        <f t="shared" si="2"/>
        <v>1987 - 1988</v>
      </c>
      <c r="C34" s="108">
        <v>84.033613445378151</v>
      </c>
      <c r="D34" s="109">
        <v>85.467128027681653</v>
      </c>
      <c r="E34" s="109">
        <v>86.999505684626783</v>
      </c>
      <c r="F34" s="110">
        <v>88.482451804251113</v>
      </c>
      <c r="G34" s="111">
        <f t="shared" si="0"/>
        <v>8.2802547770700619E-2</v>
      </c>
      <c r="H34" s="111">
        <f t="shared" si="0"/>
        <v>7.0588235294117618E-2</v>
      </c>
      <c r="I34" s="111">
        <f t="shared" si="0"/>
        <v>6.8609593199757235E-2</v>
      </c>
      <c r="J34" s="111">
        <f t="shared" si="0"/>
        <v>7.0574162679426067E-2</v>
      </c>
      <c r="K34" s="115">
        <f t="shared" si="3"/>
        <v>9.1836734693877542E-2</v>
      </c>
      <c r="L34" s="116">
        <f t="shared" si="4"/>
        <v>8.4887459807073906E-2</v>
      </c>
      <c r="M34" s="116">
        <f t="shared" si="5"/>
        <v>7.8434454574033419E-2</v>
      </c>
      <c r="N34" s="114">
        <f t="shared" si="1"/>
        <v>7.303198031980318E-2</v>
      </c>
    </row>
    <row r="35" spans="1:14" hidden="1" outlineLevel="1" x14ac:dyDescent="0.2">
      <c r="A35" s="409"/>
      <c r="B35" s="413" t="str">
        <f t="shared" si="2"/>
        <v>1988 - 1989</v>
      </c>
      <c r="C35" s="108">
        <v>90.16312407315867</v>
      </c>
      <c r="D35" s="109">
        <v>92.041522491349468</v>
      </c>
      <c r="E35" s="109">
        <v>92.931290163124061</v>
      </c>
      <c r="F35" s="110">
        <v>95.205140879881355</v>
      </c>
      <c r="G35" s="111">
        <f t="shared" si="0"/>
        <v>7.2941176470588065E-2</v>
      </c>
      <c r="H35" s="111">
        <f t="shared" si="0"/>
        <v>7.6923076923076872E-2</v>
      </c>
      <c r="I35" s="111">
        <f t="shared" si="0"/>
        <v>6.8181818181818121E-2</v>
      </c>
      <c r="J35" s="111">
        <f t="shared" si="0"/>
        <v>7.5977653631284836E-2</v>
      </c>
      <c r="K35" s="115">
        <f t="shared" si="3"/>
        <v>7.069641242086222E-2</v>
      </c>
      <c r="L35" s="116">
        <f t="shared" si="4"/>
        <v>7.2317723770006115E-2</v>
      </c>
      <c r="M35" s="116">
        <f t="shared" si="5"/>
        <v>7.2146917358985485E-2</v>
      </c>
      <c r="N35" s="114">
        <f t="shared" si="1"/>
        <v>7.3506232984668074E-2</v>
      </c>
    </row>
    <row r="36" spans="1:14" hidden="1" outlineLevel="1" x14ac:dyDescent="0.2">
      <c r="A36" s="409"/>
      <c r="B36" s="413" t="str">
        <f t="shared" si="2"/>
        <v>1989 - 1990</v>
      </c>
      <c r="C36" s="108">
        <v>97.380128521997023</v>
      </c>
      <c r="D36" s="109">
        <v>99.209095402867021</v>
      </c>
      <c r="E36" s="109">
        <v>100.88976767177458</v>
      </c>
      <c r="F36" s="110">
        <v>102.52100840336134</v>
      </c>
      <c r="G36" s="111">
        <f t="shared" si="0"/>
        <v>8.004385964912264E-2</v>
      </c>
      <c r="H36" s="111">
        <f t="shared" si="0"/>
        <v>7.787325456498384E-2</v>
      </c>
      <c r="I36" s="111">
        <f t="shared" si="0"/>
        <v>8.5638297872340452E-2</v>
      </c>
      <c r="J36" s="111">
        <f t="shared" si="0"/>
        <v>7.6843198338525376E-2</v>
      </c>
      <c r="K36" s="115">
        <f t="shared" si="3"/>
        <v>7.5320287202590208E-2</v>
      </c>
      <c r="L36" s="116">
        <f t="shared" si="4"/>
        <v>7.5594250967385035E-2</v>
      </c>
      <c r="M36" s="116">
        <f t="shared" si="5"/>
        <v>7.9934747145187446E-2</v>
      </c>
      <c r="N36" s="114">
        <f t="shared" si="1"/>
        <v>8.0085424452749576E-2</v>
      </c>
    </row>
    <row r="37" spans="1:14" hidden="1" outlineLevel="1" x14ac:dyDescent="0.2">
      <c r="A37" s="409"/>
      <c r="B37" s="413" t="str">
        <f t="shared" si="2"/>
        <v>1990 - 1991</v>
      </c>
      <c r="C37" s="108">
        <v>103.2624814631735</v>
      </c>
      <c r="D37" s="109">
        <v>106.03064755313889</v>
      </c>
      <c r="E37" s="109">
        <v>105.83292140385565</v>
      </c>
      <c r="F37" s="110">
        <v>105.98121601581809</v>
      </c>
      <c r="G37" s="111">
        <f t="shared" si="0"/>
        <v>6.0406091370558412E-2</v>
      </c>
      <c r="H37" s="111">
        <f t="shared" si="0"/>
        <v>6.8759342301943249E-2</v>
      </c>
      <c r="I37" s="111">
        <f t="shared" si="0"/>
        <v>4.8995590396864408E-2</v>
      </c>
      <c r="J37" s="111">
        <f t="shared" si="0"/>
        <v>3.3751205400192941E-2</v>
      </c>
      <c r="K37" s="115">
        <f t="shared" si="3"/>
        <v>7.5019638648861298E-2</v>
      </c>
      <c r="L37" s="116">
        <f t="shared" si="4"/>
        <v>7.272260053963775E-2</v>
      </c>
      <c r="M37" s="116">
        <f t="shared" si="5"/>
        <v>6.3569989929506576E-2</v>
      </c>
      <c r="N37" s="114">
        <f t="shared" si="1"/>
        <v>5.2768166089965485E-2</v>
      </c>
    </row>
    <row r="38" spans="1:14" hidden="1" outlineLevel="1" x14ac:dyDescent="0.2">
      <c r="A38" s="409"/>
      <c r="B38" s="413" t="str">
        <f t="shared" si="2"/>
        <v>1991 - 1992</v>
      </c>
      <c r="C38" s="108">
        <v>106.62382600098861</v>
      </c>
      <c r="D38" s="109">
        <v>107.61245674740483</v>
      </c>
      <c r="E38" s="109">
        <v>107.6</v>
      </c>
      <c r="F38" s="110">
        <v>107.3</v>
      </c>
      <c r="G38" s="111">
        <f t="shared" si="0"/>
        <v>3.2551460028721779E-2</v>
      </c>
      <c r="H38" s="111">
        <f t="shared" si="0"/>
        <v>1.4918414918414946E-2</v>
      </c>
      <c r="I38" s="111">
        <f t="shared" si="0"/>
        <v>1.6696870621205173E-2</v>
      </c>
      <c r="J38" s="111">
        <f t="shared" si="0"/>
        <v>1.2443563432835703E-2</v>
      </c>
      <c r="K38" s="115">
        <f t="shared" si="3"/>
        <v>4.5792229935452289E-2</v>
      </c>
      <c r="L38" s="116">
        <f t="shared" si="4"/>
        <v>3.2339202299676462E-2</v>
      </c>
      <c r="M38" s="116">
        <f t="shared" si="5"/>
        <v>2.4351757604450297E-2</v>
      </c>
      <c r="N38" s="114">
        <f t="shared" si="1"/>
        <v>1.9066439722972062E-2</v>
      </c>
    </row>
    <row r="39" spans="1:14" hidden="1" outlineLevel="1" x14ac:dyDescent="0.2">
      <c r="A39" s="409"/>
      <c r="B39" s="413" t="str">
        <f t="shared" si="2"/>
        <v>1992 - 1993</v>
      </c>
      <c r="C39" s="108">
        <v>107.4</v>
      </c>
      <c r="D39" s="109">
        <v>107.9</v>
      </c>
      <c r="E39" s="109">
        <v>108.9</v>
      </c>
      <c r="F39" s="110">
        <v>109.3</v>
      </c>
      <c r="G39" s="111">
        <f t="shared" ref="G39:J61" si="6">C39/C38-1</f>
        <v>7.2795549374131685E-3</v>
      </c>
      <c r="H39" s="111">
        <f t="shared" si="6"/>
        <v>2.672025723472915E-3</v>
      </c>
      <c r="I39" s="111">
        <f t="shared" si="6"/>
        <v>1.2081784386617223E-2</v>
      </c>
      <c r="J39" s="111">
        <f t="shared" si="6"/>
        <v>1.8639328984156656E-2</v>
      </c>
      <c r="K39" s="115">
        <f t="shared" si="3"/>
        <v>1.2825084429952227E-2</v>
      </c>
      <c r="L39" s="116">
        <f t="shared" si="4"/>
        <v>9.7396449704143517E-3</v>
      </c>
      <c r="M39" s="116">
        <f t="shared" si="5"/>
        <v>8.6076451908247975E-3</v>
      </c>
      <c r="N39" s="114">
        <f t="shared" ref="N39:N58" si="7">SUM(C39:F39)/SUM(C38:F38) -1</f>
        <v>1.0168604769699829E-2</v>
      </c>
    </row>
    <row r="40" spans="1:14" hidden="1" outlineLevel="1" x14ac:dyDescent="0.2">
      <c r="A40" s="409"/>
      <c r="B40" s="413" t="str">
        <f t="shared" si="2"/>
        <v>1993 - 1994</v>
      </c>
      <c r="C40" s="108">
        <v>109.8</v>
      </c>
      <c r="D40" s="109">
        <v>110</v>
      </c>
      <c r="E40" s="109">
        <v>110.4</v>
      </c>
      <c r="F40" s="110">
        <v>111.2</v>
      </c>
      <c r="G40" s="111">
        <f t="shared" si="6"/>
        <v>2.2346368715083775E-2</v>
      </c>
      <c r="H40" s="111">
        <f t="shared" si="6"/>
        <v>1.9462465245597693E-2</v>
      </c>
      <c r="I40" s="111">
        <f t="shared" si="6"/>
        <v>1.377410468319562E-2</v>
      </c>
      <c r="J40" s="111">
        <f t="shared" si="6"/>
        <v>1.7383348581884839E-2</v>
      </c>
      <c r="K40" s="115">
        <f t="shared" ref="K40:K58" si="8">(SUM(D39:F39)+C40)/(SUM(D38:F38)+C39)-1</f>
        <v>1.3927354647723655E-2</v>
      </c>
      <c r="L40" s="116">
        <f t="shared" si="4"/>
        <v>1.8131101813110284E-2</v>
      </c>
      <c r="M40" s="116">
        <f t="shared" si="5"/>
        <v>1.8539976825028948E-2</v>
      </c>
      <c r="N40" s="114">
        <f t="shared" si="7"/>
        <v>1.8223760092272112E-2</v>
      </c>
    </row>
    <row r="41" spans="1:14" hidden="1" outlineLevel="1" x14ac:dyDescent="0.2">
      <c r="A41" s="409"/>
      <c r="B41" s="413" t="str">
        <f t="shared" si="2"/>
        <v>1994 - 1995</v>
      </c>
      <c r="C41" s="108">
        <v>111.9</v>
      </c>
      <c r="D41" s="109">
        <v>112.8</v>
      </c>
      <c r="E41" s="109">
        <v>114.7</v>
      </c>
      <c r="F41" s="110">
        <v>116.2</v>
      </c>
      <c r="G41" s="111">
        <f t="shared" si="6"/>
        <v>1.9125683060109422E-2</v>
      </c>
      <c r="H41" s="111">
        <f t="shared" si="6"/>
        <v>2.5454545454545396E-2</v>
      </c>
      <c r="I41" s="111">
        <f t="shared" si="6"/>
        <v>3.8949275362318847E-2</v>
      </c>
      <c r="J41" s="111">
        <f t="shared" si="6"/>
        <v>4.496402877697836E-2</v>
      </c>
      <c r="K41" s="115">
        <f t="shared" si="8"/>
        <v>1.7435191557696683E-2</v>
      </c>
      <c r="L41" s="116">
        <f t="shared" si="4"/>
        <v>1.8949771689497741E-2</v>
      </c>
      <c r="M41" s="116">
        <f t="shared" si="5"/>
        <v>2.5255972696245577E-2</v>
      </c>
      <c r="N41" s="114">
        <f t="shared" si="7"/>
        <v>3.2170367014046075E-2</v>
      </c>
    </row>
    <row r="42" spans="1:14" hidden="1" outlineLevel="1" x14ac:dyDescent="0.2">
      <c r="A42" s="409"/>
      <c r="B42" s="413" t="str">
        <f t="shared" si="2"/>
        <v>1995 - 1996</v>
      </c>
      <c r="C42" s="108">
        <v>117.6</v>
      </c>
      <c r="D42" s="109">
        <v>118.5</v>
      </c>
      <c r="E42" s="109">
        <v>119</v>
      </c>
      <c r="F42" s="110">
        <v>119.8</v>
      </c>
      <c r="G42" s="111">
        <f t="shared" si="6"/>
        <v>5.0938337801608391E-2</v>
      </c>
      <c r="H42" s="111">
        <f t="shared" si="6"/>
        <v>5.0531914893616969E-2</v>
      </c>
      <c r="I42" s="111">
        <f t="shared" si="6"/>
        <v>3.7489102005231034E-2</v>
      </c>
      <c r="J42" s="111">
        <f t="shared" si="6"/>
        <v>3.0981067125645412E-2</v>
      </c>
      <c r="K42" s="115">
        <f t="shared" si="8"/>
        <v>4.0135287485907556E-2</v>
      </c>
      <c r="L42" s="116">
        <f t="shared" si="4"/>
        <v>4.6381357831055237E-2</v>
      </c>
      <c r="M42" s="116">
        <f t="shared" si="5"/>
        <v>4.593874833555267E-2</v>
      </c>
      <c r="N42" s="114">
        <f t="shared" si="7"/>
        <v>4.2361720807726266E-2</v>
      </c>
    </row>
    <row r="43" spans="1:14" hidden="1" outlineLevel="1" x14ac:dyDescent="0.2">
      <c r="A43" s="409"/>
      <c r="B43" s="413" t="str">
        <f t="shared" si="2"/>
        <v>1996 - 1997</v>
      </c>
      <c r="C43" s="108">
        <v>120.1</v>
      </c>
      <c r="D43" s="109">
        <v>120.3</v>
      </c>
      <c r="E43" s="109">
        <v>120.5</v>
      </c>
      <c r="F43" s="110">
        <v>120.2</v>
      </c>
      <c r="G43" s="111">
        <f t="shared" si="6"/>
        <v>2.1258503401360596E-2</v>
      </c>
      <c r="H43" s="111">
        <f t="shared" si="6"/>
        <v>1.51898734177216E-2</v>
      </c>
      <c r="I43" s="111">
        <f t="shared" si="6"/>
        <v>1.2605042016806678E-2</v>
      </c>
      <c r="J43" s="111">
        <f t="shared" si="6"/>
        <v>3.3388981636059967E-3</v>
      </c>
      <c r="K43" s="115">
        <f t="shared" si="8"/>
        <v>3.4901365705614529E-2</v>
      </c>
      <c r="L43" s="116">
        <f t="shared" si="4"/>
        <v>2.6124197002141303E-2</v>
      </c>
      <c r="M43" s="116">
        <f t="shared" si="5"/>
        <v>1.9944833439422771E-2</v>
      </c>
      <c r="N43" s="114">
        <f t="shared" si="7"/>
        <v>1.305538008001661E-2</v>
      </c>
    </row>
    <row r="44" spans="1:14" hidden="1" outlineLevel="1" x14ac:dyDescent="0.2">
      <c r="A44" s="409"/>
      <c r="B44" s="413" t="str">
        <f t="shared" si="2"/>
        <v>1997 - 1998</v>
      </c>
      <c r="C44" s="108">
        <v>119.7</v>
      </c>
      <c r="D44" s="109">
        <v>120</v>
      </c>
      <c r="E44" s="109">
        <v>120.3</v>
      </c>
      <c r="F44" s="110">
        <v>121</v>
      </c>
      <c r="G44" s="111">
        <f t="shared" si="6"/>
        <v>-3.3305578684429404E-3</v>
      </c>
      <c r="H44" s="111">
        <f t="shared" si="6"/>
        <v>-2.4937655860348684E-3</v>
      </c>
      <c r="I44" s="111">
        <f t="shared" si="6"/>
        <v>-1.6597510373443924E-3</v>
      </c>
      <c r="J44" s="111">
        <f t="shared" si="6"/>
        <v>6.6555740432612254E-3</v>
      </c>
      <c r="K44" s="115">
        <f t="shared" si="8"/>
        <v>6.9124423963133896E-3</v>
      </c>
      <c r="L44" s="116">
        <f t="shared" si="4"/>
        <v>2.5041736227044975E-3</v>
      </c>
      <c r="M44" s="116">
        <f t="shared" si="5"/>
        <v>-1.0401497815685223E-3</v>
      </c>
      <c r="N44" s="114">
        <f t="shared" si="7"/>
        <v>-2.0785699438774508E-4</v>
      </c>
    </row>
    <row r="45" spans="1:14" hidden="1" outlineLevel="1" x14ac:dyDescent="0.2">
      <c r="A45" s="409"/>
      <c r="B45" s="413" t="str">
        <f t="shared" si="2"/>
        <v>1998 - 1999</v>
      </c>
      <c r="C45" s="108">
        <v>121.3</v>
      </c>
      <c r="D45" s="109">
        <v>121.9</v>
      </c>
      <c r="E45" s="109">
        <v>121.8</v>
      </c>
      <c r="F45" s="110">
        <v>122.3</v>
      </c>
      <c r="G45" s="111">
        <f t="shared" si="6"/>
        <v>1.3366750208855471E-2</v>
      </c>
      <c r="H45" s="111">
        <f t="shared" si="6"/>
        <v>1.5833333333333366E-2</v>
      </c>
      <c r="I45" s="111">
        <f t="shared" si="6"/>
        <v>1.2468827930174564E-2</v>
      </c>
      <c r="J45" s="111">
        <f t="shared" si="6"/>
        <v>1.074380165289246E-2</v>
      </c>
      <c r="K45" s="115">
        <f t="shared" si="8"/>
        <v>3.9525691699604515E-3</v>
      </c>
      <c r="L45" s="116">
        <f t="shared" si="4"/>
        <v>8.5345545378852083E-3</v>
      </c>
      <c r="M45" s="116">
        <f t="shared" si="5"/>
        <v>1.2078300708038281E-2</v>
      </c>
      <c r="N45" s="114">
        <f t="shared" si="7"/>
        <v>1.3097713097713015E-2</v>
      </c>
    </row>
    <row r="46" spans="1:14" hidden="1" outlineLevel="1" x14ac:dyDescent="0.2">
      <c r="A46" s="409"/>
      <c r="B46" s="413" t="str">
        <f t="shared" si="2"/>
        <v>1999 - 2000</v>
      </c>
      <c r="C46" s="108">
        <v>123.4</v>
      </c>
      <c r="D46" s="109">
        <v>124.1</v>
      </c>
      <c r="E46" s="109">
        <v>125.2</v>
      </c>
      <c r="F46" s="110">
        <v>126.2</v>
      </c>
      <c r="G46" s="111">
        <f t="shared" si="6"/>
        <v>1.7312448474855691E-2</v>
      </c>
      <c r="H46" s="111">
        <f t="shared" si="6"/>
        <v>1.8047579983593076E-2</v>
      </c>
      <c r="I46" s="111">
        <f t="shared" si="6"/>
        <v>2.791461412151075E-2</v>
      </c>
      <c r="J46" s="111">
        <f t="shared" si="6"/>
        <v>3.1888798037612576E-2</v>
      </c>
      <c r="K46" s="115">
        <f t="shared" si="8"/>
        <v>1.4090343970161623E-2</v>
      </c>
      <c r="L46" s="116">
        <f t="shared" si="4"/>
        <v>1.465428276573788E-2</v>
      </c>
      <c r="M46" s="116">
        <f t="shared" si="5"/>
        <v>1.8518518518518601E-2</v>
      </c>
      <c r="N46" s="114">
        <f t="shared" si="7"/>
        <v>2.3804637800123096E-2</v>
      </c>
    </row>
    <row r="47" spans="1:14" hidden="1" outlineLevel="1" x14ac:dyDescent="0.2">
      <c r="A47" s="409"/>
      <c r="B47" s="413" t="str">
        <f t="shared" si="2"/>
        <v>2000 - 2001</v>
      </c>
      <c r="C47" s="108">
        <v>130.9</v>
      </c>
      <c r="D47" s="109">
        <v>131.30000000000001</v>
      </c>
      <c r="E47" s="109">
        <v>132.69999999999999</v>
      </c>
      <c r="F47" s="110">
        <v>133.80000000000001</v>
      </c>
      <c r="G47" s="111">
        <f t="shared" si="6"/>
        <v>6.0777957860615794E-2</v>
      </c>
      <c r="H47" s="111">
        <f t="shared" si="6"/>
        <v>5.8017727639001038E-2</v>
      </c>
      <c r="I47" s="111">
        <f t="shared" si="6"/>
        <v>5.9904153354632506E-2</v>
      </c>
      <c r="J47" s="111">
        <f t="shared" si="6"/>
        <v>6.0221870047543646E-2</v>
      </c>
      <c r="K47" s="115">
        <f t="shared" si="8"/>
        <v>3.4736411932979161E-2</v>
      </c>
      <c r="L47" s="116">
        <f t="shared" si="4"/>
        <v>4.475183075671274E-2</v>
      </c>
      <c r="M47" s="116">
        <f t="shared" si="5"/>
        <v>5.2727272727272734E-2</v>
      </c>
      <c r="N47" s="114">
        <f t="shared" si="7"/>
        <v>5.9731409100020283E-2</v>
      </c>
    </row>
    <row r="48" spans="1:14" hidden="1" outlineLevel="1" x14ac:dyDescent="0.2">
      <c r="A48" s="409"/>
      <c r="B48" s="413" t="str">
        <f t="shared" si="2"/>
        <v>2001 - 2002</v>
      </c>
      <c r="C48" s="108">
        <v>134.19999999999999</v>
      </c>
      <c r="D48" s="109">
        <v>135.4</v>
      </c>
      <c r="E48" s="109">
        <v>136.6</v>
      </c>
      <c r="F48" s="110">
        <v>137.6</v>
      </c>
      <c r="G48" s="111">
        <f t="shared" si="6"/>
        <v>2.5210084033613356E-2</v>
      </c>
      <c r="H48" s="111">
        <f t="shared" si="6"/>
        <v>3.1226199543031186E-2</v>
      </c>
      <c r="I48" s="111">
        <f t="shared" si="6"/>
        <v>2.9389600602863553E-2</v>
      </c>
      <c r="J48" s="111">
        <f t="shared" si="6"/>
        <v>2.8400597907324299E-2</v>
      </c>
      <c r="K48" s="115">
        <f t="shared" si="8"/>
        <v>5.0552922590837435E-2</v>
      </c>
      <c r="L48" s="116">
        <f t="shared" si="4"/>
        <v>4.3808411214953269E-2</v>
      </c>
      <c r="M48" s="116">
        <f t="shared" si="5"/>
        <v>3.6269430051813378E-2</v>
      </c>
      <c r="N48" s="114">
        <f t="shared" si="7"/>
        <v>2.8560620389634916E-2</v>
      </c>
    </row>
    <row r="49" spans="1:14" hidden="1" outlineLevel="1" x14ac:dyDescent="0.2">
      <c r="A49" s="409"/>
      <c r="B49" s="413" t="str">
        <f t="shared" si="2"/>
        <v>2002 - 2003</v>
      </c>
      <c r="C49" s="108">
        <v>138.5</v>
      </c>
      <c r="D49" s="109">
        <v>139.5</v>
      </c>
      <c r="E49" s="109">
        <v>141.30000000000001</v>
      </c>
      <c r="F49" s="110">
        <v>141.30000000000001</v>
      </c>
      <c r="G49" s="111">
        <f t="shared" si="6"/>
        <v>3.2041728763040345E-2</v>
      </c>
      <c r="H49" s="111">
        <f t="shared" si="6"/>
        <v>3.0280649926144765E-2</v>
      </c>
      <c r="I49" s="111">
        <f t="shared" si="6"/>
        <v>3.4407027818448066E-2</v>
      </c>
      <c r="J49" s="111">
        <f t="shared" si="6"/>
        <v>2.6889534883721034E-2</v>
      </c>
      <c r="K49" s="115">
        <f t="shared" si="8"/>
        <v>3.0263157894736992E-2</v>
      </c>
      <c r="L49" s="116">
        <f t="shared" si="4"/>
        <v>3.0031710501772002E-2</v>
      </c>
      <c r="M49" s="116">
        <f t="shared" si="5"/>
        <v>3.1296296296296156E-2</v>
      </c>
      <c r="N49" s="114">
        <f t="shared" si="7"/>
        <v>3.0893710923133311E-2</v>
      </c>
    </row>
    <row r="50" spans="1:14" hidden="1" outlineLevel="1" x14ac:dyDescent="0.2">
      <c r="A50" s="409"/>
      <c r="B50" s="413" t="str">
        <f t="shared" si="2"/>
        <v>2003 - 2004</v>
      </c>
      <c r="C50" s="108">
        <v>142.1</v>
      </c>
      <c r="D50" s="109">
        <v>142.80000000000001</v>
      </c>
      <c r="E50" s="109">
        <v>144.1</v>
      </c>
      <c r="F50" s="110">
        <v>144.80000000000001</v>
      </c>
      <c r="G50" s="111">
        <f t="shared" si="6"/>
        <v>2.5992779783393427E-2</v>
      </c>
      <c r="H50" s="111">
        <f t="shared" si="6"/>
        <v>2.3655913978494647E-2</v>
      </c>
      <c r="I50" s="111">
        <f t="shared" si="6"/>
        <v>1.9815994338287179E-2</v>
      </c>
      <c r="J50" s="111">
        <f t="shared" si="6"/>
        <v>2.4769992922859085E-2</v>
      </c>
      <c r="K50" s="115">
        <f t="shared" si="8"/>
        <v>2.9374201787994991E-2</v>
      </c>
      <c r="L50" s="116">
        <f t="shared" si="4"/>
        <v>2.7707352408547603E-2</v>
      </c>
      <c r="M50" s="116">
        <f t="shared" si="5"/>
        <v>2.4061770515352743E-2</v>
      </c>
      <c r="N50" s="114">
        <f t="shared" si="7"/>
        <v>2.3546200499464653E-2</v>
      </c>
    </row>
    <row r="51" spans="1:14" hidden="1" outlineLevel="1" x14ac:dyDescent="0.2">
      <c r="A51" s="409"/>
      <c r="B51" s="413" t="str">
        <f t="shared" si="2"/>
        <v>2004 - 2005</v>
      </c>
      <c r="C51" s="108">
        <v>145.4</v>
      </c>
      <c r="D51" s="109">
        <v>146.5</v>
      </c>
      <c r="E51" s="109">
        <v>147.5</v>
      </c>
      <c r="F51" s="110">
        <v>148.4</v>
      </c>
      <c r="G51" s="111">
        <f t="shared" si="6"/>
        <v>2.3223082336382816E-2</v>
      </c>
      <c r="H51" s="111">
        <f t="shared" si="6"/>
        <v>2.5910364145658171E-2</v>
      </c>
      <c r="I51" s="111">
        <f t="shared" si="6"/>
        <v>2.3594725884802159E-2</v>
      </c>
      <c r="J51" s="111">
        <f t="shared" si="6"/>
        <v>2.4861878453038555E-2</v>
      </c>
      <c r="K51" s="115">
        <f t="shared" si="8"/>
        <v>2.286423254165193E-2</v>
      </c>
      <c r="L51" s="116">
        <f t="shared" ref="L51:L58" si="9">(SUM(C51:D51)+F50+E50)/(SUM(C50:D50)+F49+E49)-1</f>
        <v>2.343612334801759E-2</v>
      </c>
      <c r="M51" s="116">
        <f t="shared" ref="M51:M58" si="10">(SUM(C51:E51)+F50)/(SUM(C50:E50)+F49)-1</f>
        <v>2.4373136945467389E-2</v>
      </c>
      <c r="N51" s="114">
        <f t="shared" si="7"/>
        <v>2.4398745207389272E-2</v>
      </c>
    </row>
    <row r="52" spans="1:14" hidden="1" outlineLevel="1" x14ac:dyDescent="0.2">
      <c r="A52" s="409"/>
      <c r="B52" s="413" t="str">
        <f t="shared" si="2"/>
        <v>2005 - 2006</v>
      </c>
      <c r="C52" s="108">
        <v>149.80000000000001</v>
      </c>
      <c r="D52" s="109">
        <v>150.6</v>
      </c>
      <c r="E52" s="109">
        <v>151.9</v>
      </c>
      <c r="F52" s="110">
        <v>154.30000000000001</v>
      </c>
      <c r="G52" s="111">
        <f t="shared" si="6"/>
        <v>3.0261348005502064E-2</v>
      </c>
      <c r="H52" s="111">
        <f t="shared" si="6"/>
        <v>2.7986348122866822E-2</v>
      </c>
      <c r="I52" s="111">
        <f t="shared" si="6"/>
        <v>2.9830508474576245E-2</v>
      </c>
      <c r="J52" s="111">
        <f t="shared" si="6"/>
        <v>3.9757412398921943E-2</v>
      </c>
      <c r="K52" s="115">
        <f t="shared" si="8"/>
        <v>2.6165309305146378E-2</v>
      </c>
      <c r="L52" s="116">
        <f t="shared" si="9"/>
        <v>2.6687327823691431E-2</v>
      </c>
      <c r="M52" s="116">
        <f t="shared" si="10"/>
        <v>2.8243752139677891E-2</v>
      </c>
      <c r="N52" s="114">
        <f t="shared" si="7"/>
        <v>3.1983667914256442E-2</v>
      </c>
    </row>
    <row r="53" spans="1:14" hidden="1" outlineLevel="1" x14ac:dyDescent="0.2">
      <c r="A53" s="409"/>
      <c r="B53" s="413" t="str">
        <f t="shared" si="2"/>
        <v>2006 - 2007</v>
      </c>
      <c r="C53" s="108">
        <v>155.69999999999999</v>
      </c>
      <c r="D53" s="109">
        <v>155.5</v>
      </c>
      <c r="E53" s="109">
        <v>155.6</v>
      </c>
      <c r="F53" s="110">
        <v>157.5</v>
      </c>
      <c r="G53" s="111">
        <f t="shared" si="6"/>
        <v>3.9385847797062556E-2</v>
      </c>
      <c r="H53" s="111">
        <f t="shared" si="6"/>
        <v>3.253652058432932E-2</v>
      </c>
      <c r="I53" s="111">
        <f t="shared" si="6"/>
        <v>2.4358130348913765E-2</v>
      </c>
      <c r="J53" s="111">
        <f t="shared" si="6"/>
        <v>2.0738820479585085E-2</v>
      </c>
      <c r="K53" s="115">
        <f t="shared" si="8"/>
        <v>3.4278959810874587E-2</v>
      </c>
      <c r="L53" s="116">
        <f t="shared" si="9"/>
        <v>3.53848733858797E-2</v>
      </c>
      <c r="M53" s="116">
        <f t="shared" si="10"/>
        <v>3.3960379557183229E-2</v>
      </c>
      <c r="N53" s="114">
        <f t="shared" si="7"/>
        <v>2.9179030662710215E-2</v>
      </c>
    </row>
    <row r="54" spans="1:14" hidden="1" outlineLevel="1" x14ac:dyDescent="0.2">
      <c r="A54" s="409"/>
      <c r="B54" s="413" t="str">
        <f t="shared" si="2"/>
        <v>2007 - 2008</v>
      </c>
      <c r="C54" s="108">
        <v>158.6</v>
      </c>
      <c r="D54" s="109">
        <v>160.1</v>
      </c>
      <c r="E54" s="109">
        <v>162.19999999999999</v>
      </c>
      <c r="F54" s="110">
        <v>164.6</v>
      </c>
      <c r="G54" s="111">
        <f t="shared" si="6"/>
        <v>1.862556197816323E-2</v>
      </c>
      <c r="H54" s="111">
        <f t="shared" si="6"/>
        <v>2.9581993569131715E-2</v>
      </c>
      <c r="I54" s="111">
        <f t="shared" si="6"/>
        <v>4.2416452442159303E-2</v>
      </c>
      <c r="J54" s="111">
        <f t="shared" si="6"/>
        <v>4.5079365079365052E-2</v>
      </c>
      <c r="K54" s="115">
        <f t="shared" si="8"/>
        <v>2.4000000000000021E-2</v>
      </c>
      <c r="L54" s="116">
        <f t="shared" si="9"/>
        <v>2.3323615160349753E-2</v>
      </c>
      <c r="M54" s="116">
        <f t="shared" si="10"/>
        <v>2.785380776042512E-2</v>
      </c>
      <c r="N54" s="114">
        <f t="shared" si="7"/>
        <v>3.3958032996956655E-2</v>
      </c>
    </row>
    <row r="55" spans="1:14" hidden="1" outlineLevel="1" x14ac:dyDescent="0.2">
      <c r="A55" s="409"/>
      <c r="B55" s="413" t="str">
        <f t="shared" si="2"/>
        <v>2008 - 2009</v>
      </c>
      <c r="C55" s="108">
        <v>166.5</v>
      </c>
      <c r="D55" s="109">
        <v>166</v>
      </c>
      <c r="E55" s="109">
        <v>166.2</v>
      </c>
      <c r="F55" s="110">
        <v>167</v>
      </c>
      <c r="G55" s="111">
        <f t="shared" si="6"/>
        <v>4.9810844892812067E-2</v>
      </c>
      <c r="H55" s="111">
        <f t="shared" si="6"/>
        <v>3.6851967520299844E-2</v>
      </c>
      <c r="I55" s="111">
        <f t="shared" si="6"/>
        <v>2.4660912453760897E-2</v>
      </c>
      <c r="J55" s="111">
        <f t="shared" si="6"/>
        <v>1.4580801944106936E-2</v>
      </c>
      <c r="K55" s="115">
        <f t="shared" si="8"/>
        <v>4.1772959183673297E-2</v>
      </c>
      <c r="L55" s="116">
        <f t="shared" si="9"/>
        <v>4.3526432415321281E-2</v>
      </c>
      <c r="M55" s="116">
        <f t="shared" si="10"/>
        <v>3.9003759398496207E-2</v>
      </c>
      <c r="N55" s="114">
        <f t="shared" si="7"/>
        <v>3.1293570875290611E-2</v>
      </c>
    </row>
    <row r="56" spans="1:14" hidden="1" outlineLevel="1" x14ac:dyDescent="0.2">
      <c r="A56" s="409"/>
      <c r="B56" s="413" t="str">
        <f t="shared" si="2"/>
        <v>2009 - 2010</v>
      </c>
      <c r="C56" s="108">
        <v>168.6</v>
      </c>
      <c r="D56" s="109">
        <v>169.5</v>
      </c>
      <c r="E56" s="109">
        <v>171</v>
      </c>
      <c r="F56" s="110">
        <v>172.1</v>
      </c>
      <c r="G56" s="111">
        <f t="shared" si="6"/>
        <v>1.2612612612612484E-2</v>
      </c>
      <c r="H56" s="111">
        <f t="shared" si="6"/>
        <v>2.108433734939763E-2</v>
      </c>
      <c r="I56" s="111">
        <f t="shared" si="6"/>
        <v>2.8880866425992746E-2</v>
      </c>
      <c r="J56" s="111">
        <f t="shared" si="6"/>
        <v>3.0538922155688653E-2</v>
      </c>
      <c r="K56" s="115">
        <f t="shared" si="8"/>
        <v>2.2038567493112948E-2</v>
      </c>
      <c r="L56" s="116">
        <f t="shared" si="9"/>
        <v>1.8201122402548231E-2</v>
      </c>
      <c r="M56" s="116">
        <f t="shared" si="10"/>
        <v>1.9297452133273163E-2</v>
      </c>
      <c r="N56" s="114">
        <f t="shared" si="7"/>
        <v>2.3283761454108376E-2</v>
      </c>
    </row>
    <row r="57" spans="1:14" hidden="1" outlineLevel="1" x14ac:dyDescent="0.2">
      <c r="A57" s="409"/>
      <c r="B57" s="413" t="str">
        <f t="shared" si="2"/>
        <v>2010 - 2011</v>
      </c>
      <c r="C57" s="108">
        <v>173.3</v>
      </c>
      <c r="D57" s="109">
        <v>174</v>
      </c>
      <c r="E57" s="109">
        <v>176.7</v>
      </c>
      <c r="F57" s="110">
        <v>178.3</v>
      </c>
      <c r="G57" s="111">
        <f t="shared" si="6"/>
        <v>2.7876631079478242E-2</v>
      </c>
      <c r="H57" s="111">
        <f t="shared" si="6"/>
        <v>2.6548672566371723E-2</v>
      </c>
      <c r="I57" s="111">
        <f t="shared" si="6"/>
        <v>3.3333333333333215E-2</v>
      </c>
      <c r="J57" s="111">
        <f t="shared" si="6"/>
        <v>3.6025566531086683E-2</v>
      </c>
      <c r="K57" s="115">
        <f t="shared" si="8"/>
        <v>2.7103923330338731E-2</v>
      </c>
      <c r="L57" s="116">
        <f t="shared" si="9"/>
        <v>2.8452256815134858E-2</v>
      </c>
      <c r="M57" s="116">
        <f t="shared" si="10"/>
        <v>2.9581422866439944E-2</v>
      </c>
      <c r="N57" s="114">
        <f t="shared" si="7"/>
        <v>3.0974750440399212E-2</v>
      </c>
    </row>
    <row r="58" spans="1:14" ht="12.75" hidden="1" outlineLevel="1" thickBot="1" x14ac:dyDescent="0.25">
      <c r="A58" s="409"/>
      <c r="B58" s="414" t="str">
        <f t="shared" si="2"/>
        <v>2011 - 2012</v>
      </c>
      <c r="C58" s="117">
        <v>179.4</v>
      </c>
      <c r="D58" s="118">
        <v>179.4</v>
      </c>
      <c r="E58" s="118">
        <v>179.5</v>
      </c>
      <c r="F58" s="119">
        <v>180.4</v>
      </c>
      <c r="G58" s="120">
        <f t="shared" si="6"/>
        <v>3.5199076745527913E-2</v>
      </c>
      <c r="H58" s="120">
        <f t="shared" si="6"/>
        <v>3.1034482758620641E-2</v>
      </c>
      <c r="I58" s="120">
        <f t="shared" si="6"/>
        <v>1.5846066779853007E-2</v>
      </c>
      <c r="J58" s="120">
        <f t="shared" si="6"/>
        <v>1.1777902411665764E-2</v>
      </c>
      <c r="K58" s="115">
        <f t="shared" si="8"/>
        <v>3.2803615687417853E-2</v>
      </c>
      <c r="L58" s="116">
        <f t="shared" si="9"/>
        <v>3.3893395133256066E-2</v>
      </c>
      <c r="M58" s="116">
        <f t="shared" si="10"/>
        <v>2.9449791696595229E-2</v>
      </c>
      <c r="N58" s="114">
        <f t="shared" si="7"/>
        <v>2.3351843941335604E-2</v>
      </c>
    </row>
    <row r="59" spans="1:14" hidden="1" outlineLevel="1" collapsed="1" x14ac:dyDescent="0.2">
      <c r="A59" s="409"/>
      <c r="B59" s="413"/>
      <c r="C59" s="108"/>
      <c r="D59" s="109"/>
      <c r="E59" s="109"/>
      <c r="F59" s="110"/>
      <c r="G59" s="111"/>
      <c r="H59" s="111"/>
      <c r="I59" s="111"/>
      <c r="J59" s="111"/>
      <c r="K59" s="121"/>
      <c r="L59" s="122"/>
      <c r="M59" s="122"/>
      <c r="N59" s="123"/>
    </row>
    <row r="60" spans="1:14" hidden="1" outlineLevel="1" x14ac:dyDescent="0.2">
      <c r="A60" s="409"/>
      <c r="B60" s="415" t="s">
        <v>434</v>
      </c>
      <c r="C60" s="124">
        <v>3.7</v>
      </c>
      <c r="D60" s="125">
        <v>3.8</v>
      </c>
      <c r="E60" s="125">
        <v>3.9</v>
      </c>
      <c r="F60" s="126">
        <v>4</v>
      </c>
      <c r="G60" s="127"/>
      <c r="H60" s="128"/>
      <c r="I60" s="128"/>
      <c r="J60" s="128"/>
      <c r="K60" s="129"/>
      <c r="L60" s="130"/>
      <c r="M60" s="130"/>
      <c r="N60" s="131"/>
    </row>
    <row r="61" spans="1:14" hidden="1" outlineLevel="1" x14ac:dyDescent="0.2">
      <c r="A61" s="409"/>
      <c r="B61" s="415" t="str">
        <f>LEFT(B60,4)+1&amp;" - "&amp;RIGHT(B60,4)+1</f>
        <v>1949 - 1950</v>
      </c>
      <c r="C61" s="124">
        <v>4.0999999999999996</v>
      </c>
      <c r="D61" s="125">
        <v>4.0999999999999996</v>
      </c>
      <c r="E61" s="125">
        <v>4.2</v>
      </c>
      <c r="F61" s="125">
        <v>4.3</v>
      </c>
      <c r="G61" s="132">
        <f t="shared" si="6"/>
        <v>0.10810810810810789</v>
      </c>
      <c r="H61" s="132">
        <f t="shared" si="6"/>
        <v>7.8947368421052655E-2</v>
      </c>
      <c r="I61" s="132">
        <f t="shared" si="6"/>
        <v>7.6923076923077094E-2</v>
      </c>
      <c r="J61" s="132">
        <f t="shared" si="6"/>
        <v>7.4999999999999956E-2</v>
      </c>
      <c r="K61" s="129"/>
      <c r="L61" s="130"/>
      <c r="M61" s="130"/>
      <c r="N61" s="131"/>
    </row>
    <row r="62" spans="1:14" hidden="1" outlineLevel="1" x14ac:dyDescent="0.2">
      <c r="A62" s="409"/>
      <c r="B62" s="415" t="str">
        <f t="shared" ref="B62:B116" si="11">LEFT(B61,4)+1&amp;" - "&amp;RIGHT(B61,4)+1</f>
        <v>1950 - 1951</v>
      </c>
      <c r="C62" s="124">
        <v>4.4000000000000004</v>
      </c>
      <c r="D62" s="125">
        <v>4.5999999999999996</v>
      </c>
      <c r="E62" s="125">
        <v>4.8</v>
      </c>
      <c r="F62" s="126">
        <v>5.0999999999999996</v>
      </c>
      <c r="G62" s="132">
        <f t="shared" ref="G62:J116" si="12">C62/C61-1</f>
        <v>7.317073170731736E-2</v>
      </c>
      <c r="H62" s="132">
        <f t="shared" si="12"/>
        <v>0.12195121951219523</v>
      </c>
      <c r="I62" s="132">
        <f t="shared" si="12"/>
        <v>0.14285714285714279</v>
      </c>
      <c r="J62" s="132">
        <f t="shared" si="12"/>
        <v>0.18604651162790686</v>
      </c>
      <c r="K62" s="133">
        <f t="shared" ref="K62" si="13">(SUM(D61:F61)+C62)/(SUM(D60:F60)+C61)-1</f>
        <v>7.5949367088607778E-2</v>
      </c>
      <c r="L62" s="134">
        <f t="shared" ref="L62" si="14">(SUM(C62:D62)+F61+E61)/(SUM(C61:D61)+F60+E60)-1</f>
        <v>8.6956521739130599E-2</v>
      </c>
      <c r="M62" s="134">
        <f t="shared" ref="M62:M126" si="15">(SUM(C62:E62)+F61)/(SUM(C61:E61)+F60)-1</f>
        <v>0.10365853658536595</v>
      </c>
      <c r="N62" s="135">
        <f t="shared" ref="N62:N125" si="16">SUM(C62:F62)/SUM(C61:F61) -1</f>
        <v>0.13173652694610771</v>
      </c>
    </row>
    <row r="63" spans="1:14" hidden="1" outlineLevel="1" x14ac:dyDescent="0.2">
      <c r="A63" s="409"/>
      <c r="B63" s="415" t="str">
        <f t="shared" si="11"/>
        <v>1951 - 1952</v>
      </c>
      <c r="C63" s="124">
        <v>5.3</v>
      </c>
      <c r="D63" s="125">
        <v>5.7</v>
      </c>
      <c r="E63" s="125">
        <v>5.9</v>
      </c>
      <c r="F63" s="126">
        <v>6.1</v>
      </c>
      <c r="G63" s="132">
        <f t="shared" si="12"/>
        <v>0.20454545454545436</v>
      </c>
      <c r="H63" s="132">
        <f t="shared" si="12"/>
        <v>0.23913043478260887</v>
      </c>
      <c r="I63" s="132">
        <f t="shared" si="12"/>
        <v>0.22916666666666674</v>
      </c>
      <c r="J63" s="132">
        <f t="shared" si="12"/>
        <v>0.19607843137254899</v>
      </c>
      <c r="K63" s="133">
        <f t="shared" ref="K63:K116" si="17">(SUM(D62:F62)+C63)/(SUM(D61:F61)+C62)-1</f>
        <v>0.16470588235294104</v>
      </c>
      <c r="L63" s="134">
        <f t="shared" ref="L63:L116" si="18">(SUM(C63:D63)+F62+E62)/(SUM(C62:D62)+F61+E61)-1</f>
        <v>0.19428571428571439</v>
      </c>
      <c r="M63" s="134">
        <f t="shared" si="15"/>
        <v>0.21546961325966851</v>
      </c>
      <c r="N63" s="135">
        <f t="shared" si="16"/>
        <v>0.21693121693121697</v>
      </c>
    </row>
    <row r="64" spans="1:14" hidden="1" outlineLevel="1" x14ac:dyDescent="0.2">
      <c r="A64" s="409"/>
      <c r="B64" s="415" t="str">
        <f t="shared" si="11"/>
        <v>1952 - 1953</v>
      </c>
      <c r="C64" s="124">
        <v>6.2</v>
      </c>
      <c r="D64" s="125">
        <v>6.3</v>
      </c>
      <c r="E64" s="125">
        <v>6.3</v>
      </c>
      <c r="F64" s="126">
        <v>6.4</v>
      </c>
      <c r="G64" s="132">
        <f t="shared" si="12"/>
        <v>0.16981132075471694</v>
      </c>
      <c r="H64" s="132">
        <f t="shared" si="12"/>
        <v>0.10526315789473673</v>
      </c>
      <c r="I64" s="132">
        <f t="shared" si="12"/>
        <v>6.7796610169491345E-2</v>
      </c>
      <c r="J64" s="132">
        <f t="shared" si="12"/>
        <v>4.9180327868852514E-2</v>
      </c>
      <c r="K64" s="133">
        <f t="shared" si="17"/>
        <v>0.2070707070707074</v>
      </c>
      <c r="L64" s="134">
        <f t="shared" si="18"/>
        <v>0.17224880382775098</v>
      </c>
      <c r="M64" s="134">
        <f t="shared" si="15"/>
        <v>0.13181818181818183</v>
      </c>
      <c r="N64" s="135">
        <f t="shared" si="16"/>
        <v>9.5652173913043592E-2</v>
      </c>
    </row>
    <row r="65" spans="1:14" hidden="1" outlineLevel="1" x14ac:dyDescent="0.2">
      <c r="A65" s="409"/>
      <c r="B65" s="415" t="str">
        <f t="shared" si="11"/>
        <v>1953 - 1954</v>
      </c>
      <c r="C65" s="124">
        <v>6.5</v>
      </c>
      <c r="D65" s="125">
        <v>6.4</v>
      </c>
      <c r="E65" s="125">
        <v>6.5</v>
      </c>
      <c r="F65" s="126">
        <v>6.5</v>
      </c>
      <c r="G65" s="132">
        <f t="shared" si="12"/>
        <v>4.8387096774193505E-2</v>
      </c>
      <c r="H65" s="132">
        <f t="shared" si="12"/>
        <v>1.5873015873016039E-2</v>
      </c>
      <c r="I65" s="132">
        <f t="shared" si="12"/>
        <v>3.1746031746031855E-2</v>
      </c>
      <c r="J65" s="132">
        <f t="shared" si="12"/>
        <v>1.5625E-2</v>
      </c>
      <c r="K65" s="133">
        <f t="shared" si="17"/>
        <v>6.6945606694560622E-2</v>
      </c>
      <c r="L65" s="134">
        <f t="shared" si="18"/>
        <v>4.4897959183673564E-2</v>
      </c>
      <c r="M65" s="134">
        <f t="shared" si="15"/>
        <v>3.6144578313253017E-2</v>
      </c>
      <c r="N65" s="135">
        <f t="shared" si="16"/>
        <v>2.7777777777777679E-2</v>
      </c>
    </row>
    <row r="66" spans="1:14" hidden="1" outlineLevel="1" x14ac:dyDescent="0.2">
      <c r="A66" s="409"/>
      <c r="B66" s="415" t="str">
        <f t="shared" si="11"/>
        <v>1954 - 1955</v>
      </c>
      <c r="C66" s="124">
        <v>6.5</v>
      </c>
      <c r="D66" s="125">
        <v>6.5</v>
      </c>
      <c r="E66" s="125">
        <v>6.5</v>
      </c>
      <c r="F66" s="126">
        <v>6.6</v>
      </c>
      <c r="G66" s="132">
        <f t="shared" si="12"/>
        <v>0</v>
      </c>
      <c r="H66" s="132">
        <f t="shared" si="12"/>
        <v>1.5625E-2</v>
      </c>
      <c r="I66" s="132">
        <f t="shared" si="12"/>
        <v>0</v>
      </c>
      <c r="J66" s="132">
        <f t="shared" si="12"/>
        <v>1.538461538461533E-2</v>
      </c>
      <c r="K66" s="133">
        <f t="shared" si="17"/>
        <v>1.5686274509803866E-2</v>
      </c>
      <c r="L66" s="134">
        <f t="shared" si="18"/>
        <v>1.5625E-2</v>
      </c>
      <c r="M66" s="134">
        <f t="shared" si="15"/>
        <v>7.7519379844961378E-3</v>
      </c>
      <c r="N66" s="135">
        <f t="shared" si="16"/>
        <v>7.7220077220079286E-3</v>
      </c>
    </row>
    <row r="67" spans="1:14" hidden="1" outlineLevel="1" x14ac:dyDescent="0.2">
      <c r="A67" s="409"/>
      <c r="B67" s="415" t="str">
        <f t="shared" si="11"/>
        <v>1955 - 1956</v>
      </c>
      <c r="C67" s="124">
        <v>6.6</v>
      </c>
      <c r="D67" s="125">
        <v>6.7</v>
      </c>
      <c r="E67" s="125">
        <v>6.7</v>
      </c>
      <c r="F67" s="126">
        <v>7</v>
      </c>
      <c r="G67" s="132">
        <f t="shared" si="12"/>
        <v>1.538461538461533E-2</v>
      </c>
      <c r="H67" s="132">
        <f t="shared" si="12"/>
        <v>3.0769230769230882E-2</v>
      </c>
      <c r="I67" s="132">
        <f t="shared" si="12"/>
        <v>3.0769230769230882E-2</v>
      </c>
      <c r="J67" s="132">
        <f t="shared" si="12"/>
        <v>6.0606060606060552E-2</v>
      </c>
      <c r="K67" s="133">
        <f t="shared" si="17"/>
        <v>1.1583011583011782E-2</v>
      </c>
      <c r="L67" s="134">
        <f t="shared" si="18"/>
        <v>1.538461538461533E-2</v>
      </c>
      <c r="M67" s="134">
        <f t="shared" si="15"/>
        <v>2.3076923076923217E-2</v>
      </c>
      <c r="N67" s="135">
        <f t="shared" si="16"/>
        <v>3.4482758620689502E-2</v>
      </c>
    </row>
    <row r="68" spans="1:14" hidden="1" outlineLevel="1" x14ac:dyDescent="0.2">
      <c r="A68" s="409"/>
      <c r="B68" s="415" t="str">
        <f t="shared" si="11"/>
        <v>1956 - 1957</v>
      </c>
      <c r="C68" s="124">
        <v>7.1</v>
      </c>
      <c r="D68" s="125">
        <v>7.1</v>
      </c>
      <c r="E68" s="125">
        <v>7.1</v>
      </c>
      <c r="F68" s="126">
        <v>7.2</v>
      </c>
      <c r="G68" s="132">
        <f t="shared" si="12"/>
        <v>7.575757575757569E-2</v>
      </c>
      <c r="H68" s="132">
        <f t="shared" si="12"/>
        <v>5.9701492537313383E-2</v>
      </c>
      <c r="I68" s="132">
        <f t="shared" si="12"/>
        <v>5.9701492537313383E-2</v>
      </c>
      <c r="J68" s="132">
        <f t="shared" si="12"/>
        <v>2.8571428571428692E-2</v>
      </c>
      <c r="K68" s="133">
        <f t="shared" si="17"/>
        <v>4.9618320610686828E-2</v>
      </c>
      <c r="L68" s="134">
        <f t="shared" si="18"/>
        <v>5.6818181818181879E-2</v>
      </c>
      <c r="M68" s="134">
        <f t="shared" si="15"/>
        <v>6.3909774436090139E-2</v>
      </c>
      <c r="N68" s="135">
        <f t="shared" si="16"/>
        <v>5.5555555555555358E-2</v>
      </c>
    </row>
    <row r="69" spans="1:14" hidden="1" outlineLevel="1" x14ac:dyDescent="0.2">
      <c r="A69" s="409"/>
      <c r="B69" s="415" t="str">
        <f t="shared" si="11"/>
        <v>1957 - 1958</v>
      </c>
      <c r="C69" s="124">
        <v>7.2</v>
      </c>
      <c r="D69" s="125">
        <v>7.2</v>
      </c>
      <c r="E69" s="125">
        <v>7.2</v>
      </c>
      <c r="F69" s="126">
        <v>7.2</v>
      </c>
      <c r="G69" s="132">
        <f t="shared" si="12"/>
        <v>1.4084507042253502E-2</v>
      </c>
      <c r="H69" s="132">
        <f t="shared" si="12"/>
        <v>1.4084507042253502E-2</v>
      </c>
      <c r="I69" s="132">
        <f t="shared" si="12"/>
        <v>1.4084507042253502E-2</v>
      </c>
      <c r="J69" s="132">
        <f t="shared" si="12"/>
        <v>0</v>
      </c>
      <c r="K69" s="133">
        <f t="shared" si="17"/>
        <v>3.9999999999999813E-2</v>
      </c>
      <c r="L69" s="134">
        <f t="shared" si="18"/>
        <v>2.8673835125448077E-2</v>
      </c>
      <c r="M69" s="134">
        <f t="shared" si="15"/>
        <v>1.7667844522968323E-2</v>
      </c>
      <c r="N69" s="135">
        <f t="shared" si="16"/>
        <v>1.0526315789473939E-2</v>
      </c>
    </row>
    <row r="70" spans="1:14" hidden="1" outlineLevel="1" x14ac:dyDescent="0.2">
      <c r="A70" s="409"/>
      <c r="B70" s="415" t="str">
        <f t="shared" si="11"/>
        <v>1958 - 1959</v>
      </c>
      <c r="C70" s="124">
        <v>7.2</v>
      </c>
      <c r="D70" s="125">
        <v>7.3</v>
      </c>
      <c r="E70" s="125">
        <v>7.3</v>
      </c>
      <c r="F70" s="126">
        <v>7.3</v>
      </c>
      <c r="G70" s="132">
        <f t="shared" si="12"/>
        <v>0</v>
      </c>
      <c r="H70" s="132">
        <f t="shared" si="12"/>
        <v>1.388888888888884E-2</v>
      </c>
      <c r="I70" s="132">
        <f t="shared" si="12"/>
        <v>1.388888888888884E-2</v>
      </c>
      <c r="J70" s="132">
        <f t="shared" si="12"/>
        <v>1.388888888888884E-2</v>
      </c>
      <c r="K70" s="133">
        <f t="shared" si="17"/>
        <v>6.9930069930070893E-3</v>
      </c>
      <c r="L70" s="134">
        <f t="shared" si="18"/>
        <v>6.9686411149825211E-3</v>
      </c>
      <c r="M70" s="134">
        <f t="shared" si="15"/>
        <v>6.9444444444444198E-3</v>
      </c>
      <c r="N70" s="135">
        <f t="shared" si="16"/>
        <v>1.0416666666666741E-2</v>
      </c>
    </row>
    <row r="71" spans="1:14" hidden="1" outlineLevel="1" x14ac:dyDescent="0.2">
      <c r="A71" s="409"/>
      <c r="B71" s="415" t="str">
        <f t="shared" si="11"/>
        <v>1959 - 1960</v>
      </c>
      <c r="C71" s="124">
        <v>7.4</v>
      </c>
      <c r="D71" s="125">
        <v>7.5</v>
      </c>
      <c r="E71" s="125">
        <v>7.5</v>
      </c>
      <c r="F71" s="126">
        <v>7.6</v>
      </c>
      <c r="G71" s="132">
        <f t="shared" si="12"/>
        <v>2.7777777777777901E-2</v>
      </c>
      <c r="H71" s="132">
        <f t="shared" si="12"/>
        <v>2.7397260273972712E-2</v>
      </c>
      <c r="I71" s="132">
        <f t="shared" si="12"/>
        <v>2.7397260273972712E-2</v>
      </c>
      <c r="J71" s="132">
        <f t="shared" si="12"/>
        <v>4.1095890410958846E-2</v>
      </c>
      <c r="K71" s="133">
        <f t="shared" si="17"/>
        <v>1.7361111111110938E-2</v>
      </c>
      <c r="L71" s="134">
        <f t="shared" si="18"/>
        <v>2.076124567474058E-2</v>
      </c>
      <c r="M71" s="134">
        <f t="shared" si="15"/>
        <v>2.4137931034482696E-2</v>
      </c>
      <c r="N71" s="135">
        <f t="shared" si="16"/>
        <v>3.0927835051546282E-2</v>
      </c>
    </row>
    <row r="72" spans="1:14" hidden="1" outlineLevel="1" x14ac:dyDescent="0.2">
      <c r="A72" s="409"/>
      <c r="B72" s="415" t="str">
        <f t="shared" si="11"/>
        <v>1960 - 1961</v>
      </c>
      <c r="C72" s="124">
        <v>7.7</v>
      </c>
      <c r="D72" s="125">
        <v>7.8</v>
      </c>
      <c r="E72" s="125">
        <v>7.8</v>
      </c>
      <c r="F72" s="126">
        <v>7.9</v>
      </c>
      <c r="G72" s="132">
        <f t="shared" si="12"/>
        <v>4.0540540540540571E-2</v>
      </c>
      <c r="H72" s="132">
        <f t="shared" si="12"/>
        <v>4.0000000000000036E-2</v>
      </c>
      <c r="I72" s="132">
        <f t="shared" si="12"/>
        <v>4.0000000000000036E-2</v>
      </c>
      <c r="J72" s="132">
        <f t="shared" si="12"/>
        <v>3.9473684210526327E-2</v>
      </c>
      <c r="K72" s="133">
        <f t="shared" si="17"/>
        <v>3.4129692832764569E-2</v>
      </c>
      <c r="L72" s="134">
        <f t="shared" si="18"/>
        <v>3.7288135593220417E-2</v>
      </c>
      <c r="M72" s="134">
        <f t="shared" si="15"/>
        <v>4.0404040404040442E-2</v>
      </c>
      <c r="N72" s="135">
        <f t="shared" si="16"/>
        <v>4.0000000000000036E-2</v>
      </c>
    </row>
    <row r="73" spans="1:14" hidden="1" outlineLevel="1" x14ac:dyDescent="0.2">
      <c r="A73" s="409"/>
      <c r="B73" s="415" t="str">
        <f t="shared" si="11"/>
        <v>1961 - 1962</v>
      </c>
      <c r="C73" s="124">
        <v>7.8</v>
      </c>
      <c r="D73" s="125">
        <v>7.8</v>
      </c>
      <c r="E73" s="125">
        <v>7.8</v>
      </c>
      <c r="F73" s="126">
        <v>7.8</v>
      </c>
      <c r="G73" s="132">
        <f t="shared" si="12"/>
        <v>1.298701298701288E-2</v>
      </c>
      <c r="H73" s="132">
        <f t="shared" si="12"/>
        <v>0</v>
      </c>
      <c r="I73" s="132">
        <f t="shared" si="12"/>
        <v>0</v>
      </c>
      <c r="J73" s="132">
        <f t="shared" si="12"/>
        <v>-1.2658227848101333E-2</v>
      </c>
      <c r="K73" s="133">
        <f t="shared" si="17"/>
        <v>3.3003300330032959E-2</v>
      </c>
      <c r="L73" s="134">
        <f t="shared" si="18"/>
        <v>2.2875816993463971E-2</v>
      </c>
      <c r="M73" s="134">
        <f t="shared" si="15"/>
        <v>1.2944983818770073E-2</v>
      </c>
      <c r="N73" s="135">
        <f t="shared" si="16"/>
        <v>0</v>
      </c>
    </row>
    <row r="74" spans="1:14" hidden="1" outlineLevel="1" x14ac:dyDescent="0.2">
      <c r="A74" s="409"/>
      <c r="B74" s="415" t="str">
        <f t="shared" si="11"/>
        <v>1962 - 1963</v>
      </c>
      <c r="C74" s="124">
        <v>7.8</v>
      </c>
      <c r="D74" s="125">
        <v>7.8</v>
      </c>
      <c r="E74" s="125">
        <v>7.8</v>
      </c>
      <c r="F74" s="126">
        <v>7.8</v>
      </c>
      <c r="G74" s="132">
        <f t="shared" si="12"/>
        <v>0</v>
      </c>
      <c r="H74" s="132">
        <f t="shared" si="12"/>
        <v>0</v>
      </c>
      <c r="I74" s="132">
        <f t="shared" si="12"/>
        <v>0</v>
      </c>
      <c r="J74" s="132">
        <f t="shared" si="12"/>
        <v>0</v>
      </c>
      <c r="K74" s="133">
        <f t="shared" si="17"/>
        <v>-3.1948881789137795E-3</v>
      </c>
      <c r="L74" s="134">
        <f t="shared" si="18"/>
        <v>-3.1948881789137795E-3</v>
      </c>
      <c r="M74" s="134">
        <f t="shared" si="15"/>
        <v>-3.1948881789136685E-3</v>
      </c>
      <c r="N74" s="135">
        <f t="shared" si="16"/>
        <v>0</v>
      </c>
    </row>
    <row r="75" spans="1:14" hidden="1" outlineLevel="1" x14ac:dyDescent="0.2">
      <c r="A75" s="409"/>
      <c r="B75" s="415" t="str">
        <f t="shared" si="11"/>
        <v>1963 - 1964</v>
      </c>
      <c r="C75" s="124">
        <v>7.9</v>
      </c>
      <c r="D75" s="125">
        <v>7.9</v>
      </c>
      <c r="E75" s="125">
        <v>8</v>
      </c>
      <c r="F75" s="126">
        <v>8</v>
      </c>
      <c r="G75" s="132">
        <f t="shared" si="12"/>
        <v>1.2820512820512997E-2</v>
      </c>
      <c r="H75" s="132">
        <f t="shared" si="12"/>
        <v>1.2820512820512997E-2</v>
      </c>
      <c r="I75" s="132">
        <f t="shared" si="12"/>
        <v>2.5641025641025772E-2</v>
      </c>
      <c r="J75" s="132">
        <f t="shared" si="12"/>
        <v>2.5641025641025772E-2</v>
      </c>
      <c r="K75" s="133">
        <f t="shared" si="17"/>
        <v>3.2051282051281937E-3</v>
      </c>
      <c r="L75" s="134">
        <f t="shared" si="18"/>
        <v>6.4102564102566095E-3</v>
      </c>
      <c r="M75" s="134">
        <f t="shared" si="15"/>
        <v>1.2820512820512997E-2</v>
      </c>
      <c r="N75" s="135">
        <f t="shared" si="16"/>
        <v>1.9230769230769384E-2</v>
      </c>
    </row>
    <row r="76" spans="1:14" hidden="1" outlineLevel="1" x14ac:dyDescent="0.2">
      <c r="A76" s="409"/>
      <c r="B76" s="415" t="str">
        <f t="shared" si="11"/>
        <v>1964 - 1965</v>
      </c>
      <c r="C76" s="124">
        <v>8.1</v>
      </c>
      <c r="D76" s="125">
        <v>8.1999999999999993</v>
      </c>
      <c r="E76" s="125">
        <v>8.1999999999999993</v>
      </c>
      <c r="F76" s="126">
        <v>8.3000000000000007</v>
      </c>
      <c r="G76" s="132">
        <f t="shared" si="12"/>
        <v>2.5316455696202445E-2</v>
      </c>
      <c r="H76" s="132">
        <f t="shared" si="12"/>
        <v>3.7974683544303556E-2</v>
      </c>
      <c r="I76" s="132">
        <f t="shared" si="12"/>
        <v>2.4999999999999911E-2</v>
      </c>
      <c r="J76" s="132">
        <f t="shared" si="12"/>
        <v>3.7500000000000089E-2</v>
      </c>
      <c r="K76" s="133">
        <f t="shared" si="17"/>
        <v>2.2364217252396346E-2</v>
      </c>
      <c r="L76" s="134">
        <f t="shared" si="18"/>
        <v>2.8662420382165488E-2</v>
      </c>
      <c r="M76" s="134">
        <f t="shared" si="15"/>
        <v>2.8481012658227778E-2</v>
      </c>
      <c r="N76" s="135">
        <f t="shared" si="16"/>
        <v>3.1446540880503138E-2</v>
      </c>
    </row>
    <row r="77" spans="1:14" hidden="1" outlineLevel="1" x14ac:dyDescent="0.2">
      <c r="A77" s="409"/>
      <c r="B77" s="415" t="str">
        <f t="shared" si="11"/>
        <v>1965 - 1966</v>
      </c>
      <c r="C77" s="124">
        <v>8.4</v>
      </c>
      <c r="D77" s="125">
        <v>8.5</v>
      </c>
      <c r="E77" s="125">
        <v>8.6</v>
      </c>
      <c r="F77" s="126">
        <v>8.6</v>
      </c>
      <c r="G77" s="132">
        <f t="shared" si="12"/>
        <v>3.7037037037037202E-2</v>
      </c>
      <c r="H77" s="132">
        <f t="shared" si="12"/>
        <v>3.6585365853658569E-2</v>
      </c>
      <c r="I77" s="132">
        <f t="shared" si="12"/>
        <v>4.8780487804878092E-2</v>
      </c>
      <c r="J77" s="132">
        <f t="shared" si="12"/>
        <v>3.6144578313252795E-2</v>
      </c>
      <c r="K77" s="133">
        <f t="shared" si="17"/>
        <v>3.4375000000000044E-2</v>
      </c>
      <c r="L77" s="134">
        <f t="shared" si="18"/>
        <v>3.4055727554179516E-2</v>
      </c>
      <c r="M77" s="134">
        <f t="shared" si="15"/>
        <v>3.9999999999999813E-2</v>
      </c>
      <c r="N77" s="135">
        <f t="shared" si="16"/>
        <v>3.9634146341463561E-2</v>
      </c>
    </row>
    <row r="78" spans="1:14" hidden="1" outlineLevel="1" x14ac:dyDescent="0.2">
      <c r="A78" s="409"/>
      <c r="B78" s="415" t="str">
        <f t="shared" si="11"/>
        <v>1966 - 1967</v>
      </c>
      <c r="C78" s="124">
        <v>8.6</v>
      </c>
      <c r="D78" s="125">
        <v>8.6999999999999993</v>
      </c>
      <c r="E78" s="125">
        <v>8.8000000000000007</v>
      </c>
      <c r="F78" s="126">
        <v>8.9</v>
      </c>
      <c r="G78" s="132">
        <f t="shared" si="12"/>
        <v>2.3809523809523725E-2</v>
      </c>
      <c r="H78" s="132">
        <f t="shared" si="12"/>
        <v>2.3529411764705799E-2</v>
      </c>
      <c r="I78" s="132">
        <f t="shared" si="12"/>
        <v>2.3255813953488413E-2</v>
      </c>
      <c r="J78" s="132">
        <f t="shared" si="12"/>
        <v>3.488372093023262E-2</v>
      </c>
      <c r="K78" s="133">
        <f t="shared" si="17"/>
        <v>3.6253776435045459E-2</v>
      </c>
      <c r="L78" s="134">
        <f t="shared" si="18"/>
        <v>3.2934131736527039E-2</v>
      </c>
      <c r="M78" s="134">
        <f t="shared" si="15"/>
        <v>2.6627218934911268E-2</v>
      </c>
      <c r="N78" s="135">
        <f t="shared" si="16"/>
        <v>2.6392961876832821E-2</v>
      </c>
    </row>
    <row r="79" spans="1:14" hidden="1" outlineLevel="1" x14ac:dyDescent="0.2">
      <c r="A79" s="409"/>
      <c r="B79" s="415" t="str">
        <f t="shared" si="11"/>
        <v>1967 - 1968</v>
      </c>
      <c r="C79" s="124">
        <v>9</v>
      </c>
      <c r="D79" s="125">
        <v>9</v>
      </c>
      <c r="E79" s="125">
        <v>9.1</v>
      </c>
      <c r="F79" s="126">
        <v>9.1</v>
      </c>
      <c r="G79" s="132">
        <f t="shared" si="12"/>
        <v>4.6511627906976827E-2</v>
      </c>
      <c r="H79" s="132">
        <f t="shared" si="12"/>
        <v>3.4482758620689724E-2</v>
      </c>
      <c r="I79" s="132">
        <f t="shared" si="12"/>
        <v>3.409090909090895E-2</v>
      </c>
      <c r="J79" s="132">
        <f t="shared" si="12"/>
        <v>2.2471910112359383E-2</v>
      </c>
      <c r="K79" s="133">
        <f t="shared" si="17"/>
        <v>3.20699708454808E-2</v>
      </c>
      <c r="L79" s="134">
        <f t="shared" si="18"/>
        <v>3.4782608695652195E-2</v>
      </c>
      <c r="M79" s="134">
        <f t="shared" si="15"/>
        <v>3.746397694524517E-2</v>
      </c>
      <c r="N79" s="135">
        <f t="shared" si="16"/>
        <v>3.4285714285714475E-2</v>
      </c>
    </row>
    <row r="80" spans="1:14" hidden="1" outlineLevel="1" x14ac:dyDescent="0.2">
      <c r="A80" s="409"/>
      <c r="B80" s="415" t="str">
        <f t="shared" si="11"/>
        <v>1968 - 1969</v>
      </c>
      <c r="C80" s="124">
        <v>9.1999999999999993</v>
      </c>
      <c r="D80" s="125">
        <v>9.1999999999999993</v>
      </c>
      <c r="E80" s="125">
        <v>9.4</v>
      </c>
      <c r="F80" s="126">
        <v>9.4</v>
      </c>
      <c r="G80" s="132">
        <f t="shared" si="12"/>
        <v>2.2222222222222143E-2</v>
      </c>
      <c r="H80" s="132">
        <f t="shared" si="12"/>
        <v>2.2222222222222143E-2</v>
      </c>
      <c r="I80" s="132">
        <f t="shared" si="12"/>
        <v>3.2967032967033072E-2</v>
      </c>
      <c r="J80" s="132">
        <f t="shared" si="12"/>
        <v>3.2967032967033072E-2</v>
      </c>
      <c r="K80" s="133">
        <f t="shared" si="17"/>
        <v>2.8248587570621764E-2</v>
      </c>
      <c r="L80" s="134">
        <f t="shared" si="18"/>
        <v>2.5210084033613356E-2</v>
      </c>
      <c r="M80" s="134">
        <f t="shared" si="15"/>
        <v>2.4999999999999911E-2</v>
      </c>
      <c r="N80" s="135">
        <f t="shared" si="16"/>
        <v>2.7624309392265012E-2</v>
      </c>
    </row>
    <row r="81" spans="1:14" hidden="1" outlineLevel="1" x14ac:dyDescent="0.2">
      <c r="A81" s="409"/>
      <c r="B81" s="415" t="str">
        <f t="shared" si="11"/>
        <v>1969 - 1970</v>
      </c>
      <c r="C81" s="124">
        <v>9.5</v>
      </c>
      <c r="D81" s="125">
        <v>9.5</v>
      </c>
      <c r="E81" s="125">
        <v>9.6</v>
      </c>
      <c r="F81" s="126">
        <v>9.6999999999999993</v>
      </c>
      <c r="G81" s="132">
        <f t="shared" si="12"/>
        <v>3.2608695652174058E-2</v>
      </c>
      <c r="H81" s="132">
        <f t="shared" si="12"/>
        <v>3.2608695652174058E-2</v>
      </c>
      <c r="I81" s="132">
        <f t="shared" si="12"/>
        <v>2.1276595744680771E-2</v>
      </c>
      <c r="J81" s="132">
        <f t="shared" si="12"/>
        <v>3.1914893617021267E-2</v>
      </c>
      <c r="K81" s="133">
        <f t="shared" si="17"/>
        <v>3.0219780219780112E-2</v>
      </c>
      <c r="L81" s="134">
        <f t="shared" si="18"/>
        <v>3.2786885245901454E-2</v>
      </c>
      <c r="M81" s="134">
        <f t="shared" si="15"/>
        <v>2.9810298102981081E-2</v>
      </c>
      <c r="N81" s="135">
        <f t="shared" si="16"/>
        <v>2.9569892473118253E-2</v>
      </c>
    </row>
    <row r="82" spans="1:14" hidden="1" outlineLevel="1" x14ac:dyDescent="0.2">
      <c r="A82" s="409"/>
      <c r="B82" s="415" t="str">
        <f t="shared" si="11"/>
        <v>1970 - 1971</v>
      </c>
      <c r="C82" s="124">
        <v>9.8000000000000007</v>
      </c>
      <c r="D82" s="125">
        <v>10</v>
      </c>
      <c r="E82" s="125">
        <v>10.1</v>
      </c>
      <c r="F82" s="126">
        <v>10.199999999999999</v>
      </c>
      <c r="G82" s="132">
        <f t="shared" si="12"/>
        <v>3.1578947368421151E-2</v>
      </c>
      <c r="H82" s="132">
        <f t="shared" si="12"/>
        <v>5.2631578947368363E-2</v>
      </c>
      <c r="I82" s="132">
        <f t="shared" si="12"/>
        <v>5.2083333333333259E-2</v>
      </c>
      <c r="J82" s="132">
        <f t="shared" si="12"/>
        <v>5.1546391752577359E-2</v>
      </c>
      <c r="K82" s="133">
        <f t="shared" si="17"/>
        <v>2.9333333333333433E-2</v>
      </c>
      <c r="L82" s="134">
        <f t="shared" si="18"/>
        <v>3.4391534391534417E-2</v>
      </c>
      <c r="M82" s="134">
        <f t="shared" si="15"/>
        <v>4.2105263157894646E-2</v>
      </c>
      <c r="N82" s="135">
        <f t="shared" si="16"/>
        <v>4.6997389033942572E-2</v>
      </c>
    </row>
    <row r="83" spans="1:14" hidden="1" outlineLevel="1" x14ac:dyDescent="0.2">
      <c r="A83" s="409"/>
      <c r="B83" s="415" t="str">
        <f t="shared" si="11"/>
        <v>1971 - 1972</v>
      </c>
      <c r="C83" s="124">
        <v>10.5</v>
      </c>
      <c r="D83" s="125">
        <v>10.7</v>
      </c>
      <c r="E83" s="125">
        <v>10.8</v>
      </c>
      <c r="F83" s="126">
        <v>10.9</v>
      </c>
      <c r="G83" s="132">
        <f t="shared" si="12"/>
        <v>7.1428571428571397E-2</v>
      </c>
      <c r="H83" s="132">
        <f t="shared" si="12"/>
        <v>6.999999999999984E-2</v>
      </c>
      <c r="I83" s="132">
        <f t="shared" si="12"/>
        <v>6.9306930693069368E-2</v>
      </c>
      <c r="J83" s="132">
        <f t="shared" si="12"/>
        <v>6.8627450980392357E-2</v>
      </c>
      <c r="K83" s="133">
        <f t="shared" si="17"/>
        <v>5.6994818652849721E-2</v>
      </c>
      <c r="L83" s="134">
        <f t="shared" si="18"/>
        <v>6.13810741687979E-2</v>
      </c>
      <c r="M83" s="134">
        <f t="shared" si="15"/>
        <v>6.5656565656565968E-2</v>
      </c>
      <c r="N83" s="135">
        <f t="shared" si="16"/>
        <v>6.9825436408977648E-2</v>
      </c>
    </row>
    <row r="84" spans="1:14" hidden="1" outlineLevel="1" x14ac:dyDescent="0.2">
      <c r="A84" s="409"/>
      <c r="B84" s="415" t="str">
        <f t="shared" si="11"/>
        <v>1972 - 1973</v>
      </c>
      <c r="C84" s="124">
        <v>11.1</v>
      </c>
      <c r="D84" s="125">
        <v>11.2</v>
      </c>
      <c r="E84" s="125">
        <v>11.4</v>
      </c>
      <c r="F84" s="126">
        <v>11.8</v>
      </c>
      <c r="G84" s="132">
        <f t="shared" si="12"/>
        <v>5.7142857142857162E-2</v>
      </c>
      <c r="H84" s="132">
        <f t="shared" si="12"/>
        <v>4.6728971962616717E-2</v>
      </c>
      <c r="I84" s="132">
        <f t="shared" si="12"/>
        <v>5.555555555555558E-2</v>
      </c>
      <c r="J84" s="132">
        <f t="shared" si="12"/>
        <v>8.256880733944949E-2</v>
      </c>
      <c r="K84" s="133">
        <f t="shared" si="17"/>
        <v>6.6176470588235281E-2</v>
      </c>
      <c r="L84" s="134">
        <f t="shared" si="18"/>
        <v>6.024096385542177E-2</v>
      </c>
      <c r="M84" s="134">
        <f t="shared" si="15"/>
        <v>5.6872037914691642E-2</v>
      </c>
      <c r="N84" s="135">
        <f t="shared" si="16"/>
        <v>6.0606060606060552E-2</v>
      </c>
    </row>
    <row r="85" spans="1:14" hidden="1" outlineLevel="1" x14ac:dyDescent="0.2">
      <c r="A85" s="409"/>
      <c r="B85" s="415" t="str">
        <f t="shared" si="11"/>
        <v>1973 - 1974</v>
      </c>
      <c r="C85" s="124">
        <v>12.2</v>
      </c>
      <c r="D85" s="125">
        <v>12.6</v>
      </c>
      <c r="E85" s="125">
        <v>13</v>
      </c>
      <c r="F85" s="126">
        <v>13.5</v>
      </c>
      <c r="G85" s="132">
        <f t="shared" si="12"/>
        <v>9.9099099099098975E-2</v>
      </c>
      <c r="H85" s="132">
        <f t="shared" si="12"/>
        <v>0.125</v>
      </c>
      <c r="I85" s="132">
        <f t="shared" si="12"/>
        <v>0.14035087719298245</v>
      </c>
      <c r="J85" s="132">
        <f t="shared" si="12"/>
        <v>0.14406779661016933</v>
      </c>
      <c r="K85" s="133">
        <f t="shared" si="17"/>
        <v>7.1264367816092244E-2</v>
      </c>
      <c r="L85" s="134">
        <f t="shared" si="18"/>
        <v>9.0909090909090828E-2</v>
      </c>
      <c r="M85" s="134">
        <f t="shared" si="15"/>
        <v>0.11210762331838575</v>
      </c>
      <c r="N85" s="135">
        <f t="shared" si="16"/>
        <v>0.12747252747252746</v>
      </c>
    </row>
    <row r="86" spans="1:14" hidden="1" outlineLevel="1" x14ac:dyDescent="0.2">
      <c r="A86" s="409"/>
      <c r="B86" s="415" t="str">
        <f t="shared" si="11"/>
        <v>1974 - 1975</v>
      </c>
      <c r="C86" s="124">
        <v>14.2</v>
      </c>
      <c r="D86" s="125">
        <v>14.7</v>
      </c>
      <c r="E86" s="125">
        <v>15.3</v>
      </c>
      <c r="F86" s="126">
        <v>15.8</v>
      </c>
      <c r="G86" s="132">
        <f t="shared" si="12"/>
        <v>0.16393442622950816</v>
      </c>
      <c r="H86" s="132">
        <f t="shared" si="12"/>
        <v>0.16666666666666674</v>
      </c>
      <c r="I86" s="132">
        <f t="shared" si="12"/>
        <v>0.17692307692307696</v>
      </c>
      <c r="J86" s="132">
        <f t="shared" si="12"/>
        <v>0.17037037037037051</v>
      </c>
      <c r="K86" s="133">
        <f t="shared" si="17"/>
        <v>0.14377682403433445</v>
      </c>
      <c r="L86" s="134">
        <f t="shared" si="18"/>
        <v>0.15416666666666679</v>
      </c>
      <c r="M86" s="134">
        <f t="shared" si="15"/>
        <v>0.16330645161290347</v>
      </c>
      <c r="N86" s="135">
        <f t="shared" si="16"/>
        <v>0.16959064327485396</v>
      </c>
    </row>
    <row r="87" spans="1:14" hidden="1" outlineLevel="1" x14ac:dyDescent="0.2">
      <c r="A87" s="409"/>
      <c r="B87" s="415" t="str">
        <f t="shared" si="11"/>
        <v>1975 - 1976</v>
      </c>
      <c r="C87" s="124">
        <v>15.9</v>
      </c>
      <c r="D87" s="125">
        <v>16.8</v>
      </c>
      <c r="E87" s="125">
        <v>17.3</v>
      </c>
      <c r="F87" s="126">
        <v>17.7</v>
      </c>
      <c r="G87" s="132">
        <f t="shared" si="12"/>
        <v>0.11971830985915499</v>
      </c>
      <c r="H87" s="132">
        <f t="shared" si="12"/>
        <v>0.14285714285714302</v>
      </c>
      <c r="I87" s="132">
        <f t="shared" si="12"/>
        <v>0.13071895424836599</v>
      </c>
      <c r="J87" s="132">
        <f t="shared" si="12"/>
        <v>0.120253164556962</v>
      </c>
      <c r="K87" s="133">
        <f t="shared" si="17"/>
        <v>0.1575984990619137</v>
      </c>
      <c r="L87" s="134">
        <f t="shared" si="18"/>
        <v>0.15162454873646203</v>
      </c>
      <c r="M87" s="134">
        <f t="shared" si="15"/>
        <v>0.14038128249566717</v>
      </c>
      <c r="N87" s="135">
        <f t="shared" si="16"/>
        <v>0.12833333333333341</v>
      </c>
    </row>
    <row r="88" spans="1:14" hidden="1" outlineLevel="1" x14ac:dyDescent="0.2">
      <c r="A88" s="409"/>
      <c r="B88" s="415" t="str">
        <f t="shared" si="11"/>
        <v>1976 - 1977</v>
      </c>
      <c r="C88" s="124">
        <v>18.100000000000001</v>
      </c>
      <c r="D88" s="125">
        <v>19.2</v>
      </c>
      <c r="E88" s="125">
        <v>19.600000000000001</v>
      </c>
      <c r="F88" s="126">
        <v>20.100000000000001</v>
      </c>
      <c r="G88" s="132">
        <f t="shared" si="12"/>
        <v>0.13836477987421381</v>
      </c>
      <c r="H88" s="132">
        <f t="shared" si="12"/>
        <v>0.14285714285714279</v>
      </c>
      <c r="I88" s="132">
        <f t="shared" si="12"/>
        <v>0.13294797687861282</v>
      </c>
      <c r="J88" s="132">
        <f t="shared" si="12"/>
        <v>0.13559322033898313</v>
      </c>
      <c r="K88" s="133">
        <f t="shared" si="17"/>
        <v>0.13290113452188024</v>
      </c>
      <c r="L88" s="134">
        <f t="shared" si="18"/>
        <v>0.13322884012539182</v>
      </c>
      <c r="M88" s="134">
        <f t="shared" si="15"/>
        <v>0.13373860182370811</v>
      </c>
      <c r="N88" s="135">
        <f t="shared" si="16"/>
        <v>0.13737075332348603</v>
      </c>
    </row>
    <row r="89" spans="1:14" hidden="1" outlineLevel="1" x14ac:dyDescent="0.2">
      <c r="A89" s="409"/>
      <c r="B89" s="415" t="str">
        <f t="shared" si="11"/>
        <v>1977 - 1978</v>
      </c>
      <c r="C89" s="124">
        <v>20.5</v>
      </c>
      <c r="D89" s="125">
        <v>21</v>
      </c>
      <c r="E89" s="125">
        <v>21.3</v>
      </c>
      <c r="F89" s="126">
        <v>21.7</v>
      </c>
      <c r="G89" s="132">
        <f t="shared" si="12"/>
        <v>0.13259668508287281</v>
      </c>
      <c r="H89" s="132">
        <f t="shared" si="12"/>
        <v>9.375E-2</v>
      </c>
      <c r="I89" s="132">
        <f t="shared" si="12"/>
        <v>8.6734693877551061E-2</v>
      </c>
      <c r="J89" s="132">
        <f t="shared" si="12"/>
        <v>7.9601990049751103E-2</v>
      </c>
      <c r="K89" s="133">
        <f t="shared" si="17"/>
        <v>0.13590844062947061</v>
      </c>
      <c r="L89" s="134">
        <f t="shared" si="18"/>
        <v>0.12309820193637622</v>
      </c>
      <c r="M89" s="134">
        <f t="shared" si="15"/>
        <v>0.11126005361930313</v>
      </c>
      <c r="N89" s="135">
        <f t="shared" si="16"/>
        <v>9.740259740259738E-2</v>
      </c>
    </row>
    <row r="90" spans="1:14" hidden="1" outlineLevel="1" x14ac:dyDescent="0.2">
      <c r="A90" s="409"/>
      <c r="B90" s="415" t="str">
        <f t="shared" si="11"/>
        <v>1978 - 1979</v>
      </c>
      <c r="C90" s="124">
        <v>22.1</v>
      </c>
      <c r="D90" s="125">
        <v>22.6</v>
      </c>
      <c r="E90" s="125">
        <v>23</v>
      </c>
      <c r="F90" s="126">
        <v>23.6</v>
      </c>
      <c r="G90" s="132">
        <f t="shared" si="12"/>
        <v>7.8048780487804947E-2</v>
      </c>
      <c r="H90" s="132">
        <f t="shared" si="12"/>
        <v>7.6190476190476364E-2</v>
      </c>
      <c r="I90" s="132">
        <f t="shared" si="12"/>
        <v>7.9812206572769995E-2</v>
      </c>
      <c r="J90" s="132">
        <f t="shared" si="12"/>
        <v>8.7557603686636121E-2</v>
      </c>
      <c r="K90" s="133">
        <f t="shared" si="17"/>
        <v>8.4382871536523796E-2</v>
      </c>
      <c r="L90" s="134">
        <f t="shared" si="18"/>
        <v>8.0049261083743772E-2</v>
      </c>
      <c r="M90" s="134">
        <f t="shared" si="15"/>
        <v>7.8407720144752613E-2</v>
      </c>
      <c r="N90" s="135">
        <f t="shared" si="16"/>
        <v>8.0473372781065144E-2</v>
      </c>
    </row>
    <row r="91" spans="1:14" hidden="1" outlineLevel="1" x14ac:dyDescent="0.2">
      <c r="A91" s="409"/>
      <c r="B91" s="415" t="str">
        <f t="shared" si="11"/>
        <v>1979 - 1980</v>
      </c>
      <c r="C91" s="124">
        <v>24.2</v>
      </c>
      <c r="D91" s="125">
        <v>24.9</v>
      </c>
      <c r="E91" s="125">
        <v>25.4</v>
      </c>
      <c r="F91" s="126">
        <v>26.2</v>
      </c>
      <c r="G91" s="132">
        <f t="shared" si="12"/>
        <v>9.5022624434389025E-2</v>
      </c>
      <c r="H91" s="132">
        <f t="shared" si="12"/>
        <v>0.1017699115044246</v>
      </c>
      <c r="I91" s="132">
        <f t="shared" si="12"/>
        <v>0.10434782608695636</v>
      </c>
      <c r="J91" s="132">
        <f t="shared" si="12"/>
        <v>0.11016949152542366</v>
      </c>
      <c r="K91" s="133">
        <f t="shared" si="17"/>
        <v>8.4785133565621562E-2</v>
      </c>
      <c r="L91" s="134">
        <f t="shared" si="18"/>
        <v>9.1220068415051037E-2</v>
      </c>
      <c r="M91" s="134">
        <f t="shared" si="15"/>
        <v>9.7315436241610653E-2</v>
      </c>
      <c r="N91" s="135">
        <f t="shared" si="16"/>
        <v>0.10295728368017509</v>
      </c>
    </row>
    <row r="92" spans="1:14" hidden="1" outlineLevel="1" x14ac:dyDescent="0.2">
      <c r="A92" s="409"/>
      <c r="B92" s="415" t="str">
        <f t="shared" si="11"/>
        <v>1980 - 1981</v>
      </c>
      <c r="C92" s="124">
        <v>26.6</v>
      </c>
      <c r="D92" s="125">
        <v>27.2</v>
      </c>
      <c r="E92" s="125">
        <v>27.8</v>
      </c>
      <c r="F92" s="126">
        <v>28.4</v>
      </c>
      <c r="G92" s="132">
        <f t="shared" si="12"/>
        <v>9.9173553719008378E-2</v>
      </c>
      <c r="H92" s="132">
        <f t="shared" si="12"/>
        <v>9.2369477911646625E-2</v>
      </c>
      <c r="I92" s="132">
        <f t="shared" si="12"/>
        <v>9.4488188976378007E-2</v>
      </c>
      <c r="J92" s="132">
        <f t="shared" si="12"/>
        <v>8.3969465648854991E-2</v>
      </c>
      <c r="K92" s="133">
        <f t="shared" si="17"/>
        <v>0.1038543897216273</v>
      </c>
      <c r="L92" s="134">
        <f t="shared" si="18"/>
        <v>0.10135841170323956</v>
      </c>
      <c r="M92" s="134">
        <f t="shared" si="15"/>
        <v>9.8878695208970413E-2</v>
      </c>
      <c r="N92" s="135">
        <f t="shared" si="16"/>
        <v>9.235352532274077E-2</v>
      </c>
    </row>
    <row r="93" spans="1:14" hidden="1" outlineLevel="1" x14ac:dyDescent="0.2">
      <c r="A93" s="409"/>
      <c r="B93" s="415" t="str">
        <f t="shared" si="11"/>
        <v>1981 - 1982</v>
      </c>
      <c r="C93" s="124">
        <v>29</v>
      </c>
      <c r="D93" s="125">
        <v>30.2</v>
      </c>
      <c r="E93" s="125">
        <v>30.8</v>
      </c>
      <c r="F93" s="126">
        <v>31.5</v>
      </c>
      <c r="G93" s="132">
        <f t="shared" si="12"/>
        <v>9.0225563909774431E-2</v>
      </c>
      <c r="H93" s="132">
        <f t="shared" si="12"/>
        <v>0.11029411764705888</v>
      </c>
      <c r="I93" s="132">
        <f t="shared" si="12"/>
        <v>0.1079136690647482</v>
      </c>
      <c r="J93" s="132">
        <f t="shared" si="12"/>
        <v>0.10915492957746475</v>
      </c>
      <c r="K93" s="133">
        <f t="shared" si="17"/>
        <v>9.0203685741998108E-2</v>
      </c>
      <c r="L93" s="134">
        <f t="shared" si="18"/>
        <v>9.4876660341555841E-2</v>
      </c>
      <c r="M93" s="134">
        <f t="shared" si="15"/>
        <v>9.8330241187384093E-2</v>
      </c>
      <c r="N93" s="135">
        <f t="shared" si="16"/>
        <v>0.1045454545454545</v>
      </c>
    </row>
    <row r="94" spans="1:14" hidden="1" outlineLevel="1" x14ac:dyDescent="0.2">
      <c r="A94" s="409"/>
      <c r="B94" s="415" t="str">
        <f t="shared" si="11"/>
        <v>1982 - 1983</v>
      </c>
      <c r="C94" s="124">
        <v>32.6</v>
      </c>
      <c r="D94" s="125">
        <v>33.6</v>
      </c>
      <c r="E94" s="125">
        <v>34.299999999999997</v>
      </c>
      <c r="F94" s="126">
        <v>35</v>
      </c>
      <c r="G94" s="132">
        <f t="shared" si="12"/>
        <v>0.12413793103448278</v>
      </c>
      <c r="H94" s="132">
        <f t="shared" si="12"/>
        <v>0.11258278145695377</v>
      </c>
      <c r="I94" s="132">
        <f t="shared" si="12"/>
        <v>0.11363636363636354</v>
      </c>
      <c r="J94" s="132">
        <f t="shared" si="12"/>
        <v>0.11111111111111116</v>
      </c>
      <c r="K94" s="133">
        <f t="shared" si="17"/>
        <v>0.11298932384341631</v>
      </c>
      <c r="L94" s="134">
        <f t="shared" si="18"/>
        <v>0.113518197573657</v>
      </c>
      <c r="M94" s="134">
        <f t="shared" si="15"/>
        <v>0.11486486486486491</v>
      </c>
      <c r="N94" s="135">
        <f t="shared" si="16"/>
        <v>0.11522633744855959</v>
      </c>
    </row>
    <row r="95" spans="1:14" hidden="1" outlineLevel="1" x14ac:dyDescent="0.2">
      <c r="A95" s="409"/>
      <c r="B95" s="415" t="str">
        <f t="shared" si="11"/>
        <v>1983 - 1984</v>
      </c>
      <c r="C95" s="124">
        <v>35.6</v>
      </c>
      <c r="D95" s="125">
        <v>36.5</v>
      </c>
      <c r="E95" s="125">
        <v>36.299999999999997</v>
      </c>
      <c r="F95" s="126">
        <v>36.4</v>
      </c>
      <c r="G95" s="132">
        <f t="shared" si="12"/>
        <v>9.2024539877300526E-2</v>
      </c>
      <c r="H95" s="132">
        <f t="shared" si="12"/>
        <v>8.6309523809523725E-2</v>
      </c>
      <c r="I95" s="132">
        <f t="shared" si="12"/>
        <v>5.8309037900874605E-2</v>
      </c>
      <c r="J95" s="132">
        <f t="shared" si="12"/>
        <v>4.0000000000000036E-2</v>
      </c>
      <c r="K95" s="133">
        <f t="shared" si="17"/>
        <v>0.10711430855315762</v>
      </c>
      <c r="L95" s="134">
        <f t="shared" si="18"/>
        <v>0.10038910505836562</v>
      </c>
      <c r="M95" s="134">
        <f t="shared" si="15"/>
        <v>8.6363636363636198E-2</v>
      </c>
      <c r="N95" s="135">
        <f t="shared" si="16"/>
        <v>6.8634686346863427E-2</v>
      </c>
    </row>
    <row r="96" spans="1:14" hidden="1" outlineLevel="1" x14ac:dyDescent="0.2">
      <c r="A96" s="409"/>
      <c r="B96" s="415" t="str">
        <f t="shared" si="11"/>
        <v>1984 - 1985</v>
      </c>
      <c r="C96" s="124">
        <v>36.9</v>
      </c>
      <c r="D96" s="125">
        <v>37.4</v>
      </c>
      <c r="E96" s="125">
        <v>37.9</v>
      </c>
      <c r="F96" s="126">
        <v>38.799999999999997</v>
      </c>
      <c r="G96" s="132">
        <f t="shared" si="12"/>
        <v>3.6516853932584192E-2</v>
      </c>
      <c r="H96" s="132">
        <f t="shared" si="12"/>
        <v>2.4657534246575352E-2</v>
      </c>
      <c r="I96" s="132">
        <f t="shared" si="12"/>
        <v>4.4077134986225897E-2</v>
      </c>
      <c r="J96" s="132">
        <f t="shared" si="12"/>
        <v>6.5934065934065922E-2</v>
      </c>
      <c r="K96" s="133">
        <f t="shared" si="17"/>
        <v>5.4873646209386173E-2</v>
      </c>
      <c r="L96" s="134">
        <f t="shared" si="18"/>
        <v>3.9603960396039861E-2</v>
      </c>
      <c r="M96" s="134">
        <f t="shared" si="15"/>
        <v>3.6262203626220568E-2</v>
      </c>
      <c r="N96" s="135">
        <f t="shared" si="16"/>
        <v>4.2817679558011079E-2</v>
      </c>
    </row>
    <row r="97" spans="1:26" hidden="1" outlineLevel="1" x14ac:dyDescent="0.2">
      <c r="A97" s="409"/>
      <c r="B97" s="415" t="str">
        <f t="shared" si="11"/>
        <v>1985 - 1986</v>
      </c>
      <c r="C97" s="124">
        <v>39.700000000000003</v>
      </c>
      <c r="D97" s="125">
        <v>40.5</v>
      </c>
      <c r="E97" s="125">
        <v>41.4</v>
      </c>
      <c r="F97" s="126">
        <v>42.1</v>
      </c>
      <c r="G97" s="132">
        <f t="shared" si="12"/>
        <v>7.5880758807588267E-2</v>
      </c>
      <c r="H97" s="132">
        <f t="shared" si="12"/>
        <v>8.2887700534759468E-2</v>
      </c>
      <c r="I97" s="132">
        <f t="shared" si="12"/>
        <v>9.2348284960422244E-2</v>
      </c>
      <c r="J97" s="132">
        <f t="shared" si="12"/>
        <v>8.5051546391752719E-2</v>
      </c>
      <c r="K97" s="133">
        <f t="shared" si="17"/>
        <v>5.2703627652292973E-2</v>
      </c>
      <c r="L97" s="134">
        <f t="shared" si="18"/>
        <v>6.7346938775510345E-2</v>
      </c>
      <c r="M97" s="134">
        <f t="shared" si="15"/>
        <v>7.9407806191116981E-2</v>
      </c>
      <c r="N97" s="135">
        <f t="shared" si="16"/>
        <v>8.4105960264900581E-2</v>
      </c>
    </row>
    <row r="98" spans="1:26" hidden="1" outlineLevel="1" x14ac:dyDescent="0.2">
      <c r="A98" s="409"/>
      <c r="B98" s="415" t="str">
        <f t="shared" si="11"/>
        <v>1986 - 1987</v>
      </c>
      <c r="C98" s="124">
        <v>43.2</v>
      </c>
      <c r="D98" s="125">
        <v>44.4</v>
      </c>
      <c r="E98" s="125">
        <v>45.3</v>
      </c>
      <c r="F98" s="126">
        <v>46</v>
      </c>
      <c r="G98" s="132">
        <f t="shared" si="12"/>
        <v>8.8161209068010171E-2</v>
      </c>
      <c r="H98" s="132">
        <f t="shared" si="12"/>
        <v>9.6296296296296324E-2</v>
      </c>
      <c r="I98" s="132">
        <f t="shared" si="12"/>
        <v>9.4202898550724612E-2</v>
      </c>
      <c r="J98" s="132">
        <f t="shared" si="12"/>
        <v>9.263657957244642E-2</v>
      </c>
      <c r="K98" s="133">
        <f t="shared" si="17"/>
        <v>8.7126137841352147E-2</v>
      </c>
      <c r="L98" s="134">
        <f t="shared" si="18"/>
        <v>9.0503505417463215E-2</v>
      </c>
      <c r="M98" s="134">
        <f t="shared" si="15"/>
        <v>9.1022443890274252E-2</v>
      </c>
      <c r="N98" s="135">
        <f t="shared" si="16"/>
        <v>9.2852779474648761E-2</v>
      </c>
    </row>
    <row r="99" spans="1:26" hidden="1" outlineLevel="1" x14ac:dyDescent="0.2">
      <c r="A99" s="409"/>
      <c r="B99" s="415" t="str">
        <f t="shared" si="11"/>
        <v>1987 - 1988</v>
      </c>
      <c r="C99" s="124">
        <v>46.8</v>
      </c>
      <c r="D99" s="125">
        <v>47.6</v>
      </c>
      <c r="E99" s="125">
        <v>48.4</v>
      </c>
      <c r="F99" s="126">
        <v>49.3</v>
      </c>
      <c r="G99" s="132">
        <f t="shared" si="12"/>
        <v>8.3333333333333259E-2</v>
      </c>
      <c r="H99" s="132">
        <f t="shared" si="12"/>
        <v>7.2072072072072224E-2</v>
      </c>
      <c r="I99" s="132">
        <f t="shared" si="12"/>
        <v>6.8432671081677832E-2</v>
      </c>
      <c r="J99" s="132">
        <f t="shared" si="12"/>
        <v>7.1739130434782528E-2</v>
      </c>
      <c r="K99" s="133">
        <f t="shared" si="17"/>
        <v>9.1507177033492981E-2</v>
      </c>
      <c r="L99" s="134">
        <f t="shared" si="18"/>
        <v>8.5330216247808233E-2</v>
      </c>
      <c r="M99" s="134">
        <f t="shared" si="15"/>
        <v>7.8857142857143181E-2</v>
      </c>
      <c r="N99" s="135">
        <f t="shared" si="16"/>
        <v>7.3784237003913011E-2</v>
      </c>
    </row>
    <row r="100" spans="1:26" hidden="1" outlineLevel="1" x14ac:dyDescent="0.2">
      <c r="A100" s="409"/>
      <c r="B100" s="415" t="str">
        <f t="shared" si="11"/>
        <v>1988 - 1989</v>
      </c>
      <c r="C100" s="124">
        <v>50.2</v>
      </c>
      <c r="D100" s="125">
        <v>51.2</v>
      </c>
      <c r="E100" s="125">
        <v>51.7</v>
      </c>
      <c r="F100" s="126">
        <v>53</v>
      </c>
      <c r="G100" s="132">
        <f t="shared" si="12"/>
        <v>7.2649572649572836E-2</v>
      </c>
      <c r="H100" s="132">
        <f t="shared" si="12"/>
        <v>7.5630252100840289E-2</v>
      </c>
      <c r="I100" s="132">
        <f t="shared" si="12"/>
        <v>6.8181818181818343E-2</v>
      </c>
      <c r="J100" s="132">
        <f t="shared" si="12"/>
        <v>7.5050709939148197E-2</v>
      </c>
      <c r="K100" s="133">
        <f t="shared" si="17"/>
        <v>7.1232876712328697E-2</v>
      </c>
      <c r="L100" s="134">
        <f t="shared" si="18"/>
        <v>7.2159396876682935E-2</v>
      </c>
      <c r="M100" s="134">
        <f t="shared" si="15"/>
        <v>7.2033898305084776E-2</v>
      </c>
      <c r="N100" s="135">
        <f t="shared" si="16"/>
        <v>7.2878709005726128E-2</v>
      </c>
    </row>
    <row r="101" spans="1:26" hidden="1" outlineLevel="1" x14ac:dyDescent="0.2">
      <c r="A101" s="409"/>
      <c r="B101" s="415" t="str">
        <f t="shared" si="11"/>
        <v>1989 - 1990</v>
      </c>
      <c r="C101" s="124">
        <v>54.2</v>
      </c>
      <c r="D101" s="125">
        <v>55.2</v>
      </c>
      <c r="E101" s="125">
        <v>56.2</v>
      </c>
      <c r="F101" s="126">
        <v>57.1</v>
      </c>
      <c r="G101" s="132">
        <f t="shared" si="12"/>
        <v>7.9681274900398336E-2</v>
      </c>
      <c r="H101" s="132">
        <f t="shared" si="12"/>
        <v>7.8125E-2</v>
      </c>
      <c r="I101" s="132">
        <f t="shared" si="12"/>
        <v>8.7040618955512628E-2</v>
      </c>
      <c r="J101" s="132">
        <f t="shared" si="12"/>
        <v>7.735849056603783E-2</v>
      </c>
      <c r="K101" s="133">
        <f t="shared" si="17"/>
        <v>7.4680306905370974E-2</v>
      </c>
      <c r="L101" s="134">
        <f t="shared" si="18"/>
        <v>7.533902561526884E-2</v>
      </c>
      <c r="M101" s="134">
        <f t="shared" si="15"/>
        <v>8.0039525691699476E-2</v>
      </c>
      <c r="N101" s="135">
        <f t="shared" si="16"/>
        <v>8.0543425521591328E-2</v>
      </c>
    </row>
    <row r="102" spans="1:26" hidden="1" outlineLevel="1" x14ac:dyDescent="0.2">
      <c r="A102" s="409"/>
      <c r="B102" s="415" t="str">
        <f t="shared" si="11"/>
        <v>1990 - 1991</v>
      </c>
      <c r="C102" s="124">
        <v>57.5</v>
      </c>
      <c r="D102" s="125">
        <v>59</v>
      </c>
      <c r="E102" s="125">
        <v>58.9</v>
      </c>
      <c r="F102" s="126">
        <v>59</v>
      </c>
      <c r="G102" s="132">
        <f t="shared" si="12"/>
        <v>6.0885608856088513E-2</v>
      </c>
      <c r="H102" s="132">
        <f t="shared" si="12"/>
        <v>6.8840579710144789E-2</v>
      </c>
      <c r="I102" s="132">
        <f t="shared" si="12"/>
        <v>4.8042704626334531E-2</v>
      </c>
      <c r="J102" s="132">
        <f>'CPI calculations'!F102/'CPI calculations'!F101-1</f>
        <v>3.327495621716281E-2</v>
      </c>
      <c r="K102" s="133">
        <f t="shared" si="17"/>
        <v>7.5678248453117547E-2</v>
      </c>
      <c r="L102" s="134">
        <f t="shared" si="18"/>
        <v>7.3330219523586981E-2</v>
      </c>
      <c r="M102" s="134">
        <f t="shared" si="15"/>
        <v>6.3586459286367747E-2</v>
      </c>
      <c r="N102" s="135">
        <f t="shared" si="16"/>
        <v>5.253704535249204E-2</v>
      </c>
      <c r="Z102" s="67"/>
    </row>
    <row r="103" spans="1:26" hidden="1" outlineLevel="1" x14ac:dyDescent="0.2">
      <c r="A103" s="409"/>
      <c r="B103" s="415" t="str">
        <f t="shared" si="11"/>
        <v>1991 - 1992</v>
      </c>
      <c r="C103" s="124">
        <v>59.3</v>
      </c>
      <c r="D103" s="125">
        <v>59.9</v>
      </c>
      <c r="E103" s="125">
        <v>59.9</v>
      </c>
      <c r="F103" s="126">
        <v>59.7</v>
      </c>
      <c r="G103" s="132">
        <f t="shared" ref="G103:G131" si="19">C103/C102-1</f>
        <v>3.130434782608682E-2</v>
      </c>
      <c r="H103" s="132">
        <f t="shared" ref="H103:H131" si="20">D103/D102-1</f>
        <v>1.5254237288135464E-2</v>
      </c>
      <c r="I103" s="132">
        <f t="shared" si="12"/>
        <v>1.6977928692699429E-2</v>
      </c>
      <c r="J103" s="132">
        <f>'CPI calculations'!F103/'CPI calculations'!F102-1</f>
        <v>1.1864406779661163E-2</v>
      </c>
      <c r="K103" s="133">
        <f t="shared" si="17"/>
        <v>4.5132743362831906E-2</v>
      </c>
      <c r="L103" s="134">
        <f t="shared" si="18"/>
        <v>3.1766753698868611E-2</v>
      </c>
      <c r="M103" s="134">
        <f t="shared" si="15"/>
        <v>2.408602150537642E-2</v>
      </c>
      <c r="N103" s="135">
        <f t="shared" si="16"/>
        <v>1.8771331058020424E-2</v>
      </c>
      <c r="Z103" s="67"/>
    </row>
    <row r="104" spans="1:26" hidden="1" outlineLevel="1" x14ac:dyDescent="0.2">
      <c r="A104" s="409"/>
      <c r="B104" s="415" t="str">
        <f t="shared" si="11"/>
        <v>1992 - 1993</v>
      </c>
      <c r="C104" s="124">
        <v>59.8</v>
      </c>
      <c r="D104" s="125">
        <v>60.1</v>
      </c>
      <c r="E104" s="125">
        <v>60.6</v>
      </c>
      <c r="F104" s="126">
        <v>60.8</v>
      </c>
      <c r="G104" s="132">
        <f t="shared" si="19"/>
        <v>8.4317032040472917E-3</v>
      </c>
      <c r="H104" s="132">
        <f t="shared" si="20"/>
        <v>3.3388981636059967E-3</v>
      </c>
      <c r="I104" s="132">
        <f t="shared" si="12"/>
        <v>1.1686143572620988E-2</v>
      </c>
      <c r="J104" s="132">
        <f>'CPI calculations'!F104/'CPI calculations'!F103-1</f>
        <v>1.8425460636515734E-2</v>
      </c>
      <c r="K104" s="133">
        <f t="shared" si="17"/>
        <v>1.3124470787468256E-2</v>
      </c>
      <c r="L104" s="134">
        <f t="shared" si="18"/>
        <v>1.0122311261071326E-2</v>
      </c>
      <c r="M104" s="134">
        <f t="shared" si="15"/>
        <v>8.8198236035279542E-3</v>
      </c>
      <c r="N104" s="135">
        <f t="shared" si="16"/>
        <v>1.0469011725293242E-2</v>
      </c>
      <c r="Z104" s="67"/>
    </row>
    <row r="105" spans="1:26" hidden="1" outlineLevel="1" x14ac:dyDescent="0.2">
      <c r="A105" s="409"/>
      <c r="B105" s="415" t="str">
        <f t="shared" si="11"/>
        <v>1993 - 1994</v>
      </c>
      <c r="C105" s="124">
        <v>61.1</v>
      </c>
      <c r="D105" s="125">
        <v>61.2</v>
      </c>
      <c r="E105" s="125">
        <v>61.5</v>
      </c>
      <c r="F105" s="126">
        <v>61.9</v>
      </c>
      <c r="G105" s="132">
        <f t="shared" si="19"/>
        <v>2.1739130434782705E-2</v>
      </c>
      <c r="H105" s="132">
        <f t="shared" si="20"/>
        <v>1.830282861896837E-2</v>
      </c>
      <c r="I105" s="132">
        <f t="shared" si="12"/>
        <v>1.4851485148514865E-2</v>
      </c>
      <c r="J105" s="132">
        <f>'CPI calculations'!F105/'CPI calculations'!F104-1</f>
        <v>1.8092105263157965E-2</v>
      </c>
      <c r="K105" s="133">
        <f t="shared" si="17"/>
        <v>1.3790221479314635E-2</v>
      </c>
      <c r="L105" s="134">
        <f t="shared" si="18"/>
        <v>1.7536534446763952E-2</v>
      </c>
      <c r="M105" s="134">
        <f t="shared" si="15"/>
        <v>1.8318068276436339E-2</v>
      </c>
      <c r="N105" s="135">
        <f t="shared" si="16"/>
        <v>1.8234562784914976E-2</v>
      </c>
      <c r="Z105" s="67"/>
    </row>
    <row r="106" spans="1:26" hidden="1" outlineLevel="1" x14ac:dyDescent="0.2">
      <c r="A106" s="409"/>
      <c r="B106" s="415" t="str">
        <f t="shared" si="11"/>
        <v>1994 - 1995</v>
      </c>
      <c r="C106" s="124">
        <v>62.3</v>
      </c>
      <c r="D106" s="125">
        <v>62.8</v>
      </c>
      <c r="E106" s="125">
        <v>63.8</v>
      </c>
      <c r="F106" s="126">
        <v>64.7</v>
      </c>
      <c r="G106" s="132">
        <f t="shared" si="19"/>
        <v>1.9639934533551395E-2</v>
      </c>
      <c r="H106" s="132">
        <f t="shared" si="20"/>
        <v>2.614379084967311E-2</v>
      </c>
      <c r="I106" s="132">
        <f t="shared" si="12"/>
        <v>3.7398373983739797E-2</v>
      </c>
      <c r="J106" s="132">
        <f>'CPI calculations'!F106/'CPI calculations'!F105-1</f>
        <v>4.5234248788368348E-2</v>
      </c>
      <c r="K106" s="133">
        <f t="shared" si="17"/>
        <v>1.7724649629018874E-2</v>
      </c>
      <c r="L106" s="134">
        <f t="shared" si="18"/>
        <v>1.9696347968814143E-2</v>
      </c>
      <c r="M106" s="134">
        <f t="shared" si="15"/>
        <v>2.5347506132461062E-2</v>
      </c>
      <c r="N106" s="135">
        <f t="shared" si="16"/>
        <v>3.2153032153031891E-2</v>
      </c>
      <c r="Z106" s="67"/>
    </row>
    <row r="107" spans="1:26" hidden="1" outlineLevel="1" x14ac:dyDescent="0.2">
      <c r="A107" s="409"/>
      <c r="B107" s="415" t="str">
        <f t="shared" si="11"/>
        <v>1995 - 1996</v>
      </c>
      <c r="C107" s="124">
        <v>65.5</v>
      </c>
      <c r="D107" s="125">
        <v>66</v>
      </c>
      <c r="E107" s="125">
        <v>66.2</v>
      </c>
      <c r="F107" s="126">
        <v>66.7</v>
      </c>
      <c r="G107" s="132">
        <f t="shared" si="19"/>
        <v>5.1364365971107606E-2</v>
      </c>
      <c r="H107" s="132">
        <f t="shared" si="20"/>
        <v>5.0955414012738842E-2</v>
      </c>
      <c r="I107" s="132">
        <f t="shared" si="12"/>
        <v>3.7617554858934366E-2</v>
      </c>
      <c r="J107" s="132">
        <f>'CPI calculations'!F107/'CPI calculations'!F106-1</f>
        <v>3.0911901081916549E-2</v>
      </c>
      <c r="K107" s="133">
        <f t="shared" si="17"/>
        <v>4.009720534629424E-2</v>
      </c>
      <c r="L107" s="134">
        <f t="shared" si="18"/>
        <v>4.6277665995975825E-2</v>
      </c>
      <c r="M107" s="134">
        <f t="shared" si="15"/>
        <v>4.6251993620414655E-2</v>
      </c>
      <c r="N107" s="135">
        <f t="shared" si="16"/>
        <v>4.258675078864349E-2</v>
      </c>
      <c r="Z107" s="67"/>
    </row>
    <row r="108" spans="1:26" hidden="1" outlineLevel="1" x14ac:dyDescent="0.2">
      <c r="A108" s="409"/>
      <c r="B108" s="415" t="str">
        <f t="shared" si="11"/>
        <v>1996 - 1997</v>
      </c>
      <c r="C108" s="124">
        <v>66.900000000000006</v>
      </c>
      <c r="D108" s="125">
        <v>67</v>
      </c>
      <c r="E108" s="125">
        <v>67.099999999999994</v>
      </c>
      <c r="F108" s="126">
        <v>66.900000000000006</v>
      </c>
      <c r="G108" s="132">
        <f t="shared" si="19"/>
        <v>2.1374045801526798E-2</v>
      </c>
      <c r="H108" s="132">
        <f t="shared" si="20"/>
        <v>1.5151515151515138E-2</v>
      </c>
      <c r="I108" s="132">
        <f t="shared" si="12"/>
        <v>1.3595166163141936E-2</v>
      </c>
      <c r="J108" s="132">
        <f>'CPI calculations'!F108/'CPI calculations'!F107-1</f>
        <v>2.9985007496251548E-3</v>
      </c>
      <c r="K108" s="133">
        <f t="shared" si="17"/>
        <v>3.5046728971962482E-2</v>
      </c>
      <c r="L108" s="134">
        <f t="shared" si="18"/>
        <v>2.6153846153846194E-2</v>
      </c>
      <c r="M108" s="134">
        <f t="shared" si="15"/>
        <v>2.0198170731707377E-2</v>
      </c>
      <c r="N108" s="135">
        <f t="shared" si="16"/>
        <v>1.3237518910741208E-2</v>
      </c>
      <c r="Z108" s="67"/>
    </row>
    <row r="109" spans="1:26" hidden="1" outlineLevel="1" x14ac:dyDescent="0.2">
      <c r="A109" s="409"/>
      <c r="B109" s="415" t="str">
        <f t="shared" si="11"/>
        <v>1997 - 1998</v>
      </c>
      <c r="C109" s="124">
        <v>66.599999999999994</v>
      </c>
      <c r="D109" s="125">
        <v>66.8</v>
      </c>
      <c r="E109" s="125">
        <v>67</v>
      </c>
      <c r="F109" s="126">
        <v>67.400000000000006</v>
      </c>
      <c r="G109" s="132">
        <f t="shared" si="19"/>
        <v>-4.48430493273555E-3</v>
      </c>
      <c r="H109" s="132">
        <f t="shared" si="20"/>
        <v>-2.9850746268657025E-3</v>
      </c>
      <c r="I109" s="132">
        <f t="shared" si="12"/>
        <v>-1.4903129657226621E-3</v>
      </c>
      <c r="J109" s="132">
        <f>'CPI calculations'!F109/'CPI calculations'!F108-1</f>
        <v>7.4738415545589909E-3</v>
      </c>
      <c r="K109" s="133">
        <f t="shared" si="17"/>
        <v>6.7720090293457158E-3</v>
      </c>
      <c r="L109" s="134">
        <f t="shared" si="18"/>
        <v>2.2488755622187551E-3</v>
      </c>
      <c r="M109" s="134">
        <f t="shared" si="15"/>
        <v>-1.4942099364961825E-3</v>
      </c>
      <c r="N109" s="135">
        <f t="shared" si="16"/>
        <v>-3.7327360955585753E-4</v>
      </c>
      <c r="Z109" s="67"/>
    </row>
    <row r="110" spans="1:26" hidden="1" outlineLevel="1" x14ac:dyDescent="0.2">
      <c r="A110" s="409"/>
      <c r="B110" s="415" t="str">
        <f>LEFT(B109,4)+1&amp;" - "&amp;RIGHT(B109,4)+1</f>
        <v>1998 - 1999</v>
      </c>
      <c r="C110" s="124">
        <v>67.5</v>
      </c>
      <c r="D110" s="125">
        <v>67.8</v>
      </c>
      <c r="E110" s="125">
        <v>67.8</v>
      </c>
      <c r="F110" s="126">
        <v>68.099999999999994</v>
      </c>
      <c r="G110" s="132">
        <f t="shared" si="19"/>
        <v>1.3513513513513598E-2</v>
      </c>
      <c r="H110" s="132">
        <f t="shared" si="20"/>
        <v>1.4970059880239583E-2</v>
      </c>
      <c r="I110" s="132">
        <f t="shared" si="12"/>
        <v>1.1940298507462588E-2</v>
      </c>
      <c r="J110" s="132">
        <f>'CPI calculations'!F110/'CPI calculations'!F109-1</f>
        <v>1.0385756676557722E-2</v>
      </c>
      <c r="K110" s="133">
        <f t="shared" si="17"/>
        <v>4.1106128550074672E-3</v>
      </c>
      <c r="L110" s="134">
        <f t="shared" si="18"/>
        <v>8.6013462976817223E-3</v>
      </c>
      <c r="M110" s="134">
        <f t="shared" si="15"/>
        <v>1.197156752712325E-2</v>
      </c>
      <c r="N110" s="135">
        <f t="shared" si="16"/>
        <v>1.2696041822255699E-2</v>
      </c>
      <c r="Z110" s="67"/>
    </row>
    <row r="111" spans="1:26" hidden="1" outlineLevel="1" x14ac:dyDescent="0.2">
      <c r="A111" s="409"/>
      <c r="B111" s="415" t="str">
        <f t="shared" si="11"/>
        <v>1999 - 2000</v>
      </c>
      <c r="C111" s="124">
        <v>68.7</v>
      </c>
      <c r="D111" s="125">
        <v>69.099999999999994</v>
      </c>
      <c r="E111" s="125">
        <v>69.7</v>
      </c>
      <c r="F111" s="126">
        <v>70.2</v>
      </c>
      <c r="G111" s="132">
        <f t="shared" si="19"/>
        <v>1.7777777777777892E-2</v>
      </c>
      <c r="H111" s="132">
        <f t="shared" si="20"/>
        <v>1.9174041297935096E-2</v>
      </c>
      <c r="I111" s="132">
        <f t="shared" si="12"/>
        <v>2.8023598820059004E-2</v>
      </c>
      <c r="J111" s="132">
        <f>'CPI calculations'!F111/'CPI calculations'!F110-1</f>
        <v>3.0837004405286361E-2</v>
      </c>
      <c r="K111" s="133">
        <f t="shared" si="17"/>
        <v>1.3770003721622404E-2</v>
      </c>
      <c r="L111" s="134">
        <f t="shared" si="18"/>
        <v>1.4831294030403841E-2</v>
      </c>
      <c r="M111" s="134">
        <f t="shared" si="15"/>
        <v>1.8853974121996409E-2</v>
      </c>
      <c r="N111" s="135">
        <f t="shared" si="16"/>
        <v>2.3967551622418704E-2</v>
      </c>
      <c r="Z111" s="67"/>
    </row>
    <row r="112" spans="1:26" collapsed="1" x14ac:dyDescent="0.2">
      <c r="A112" s="409"/>
      <c r="B112" s="415" t="str">
        <f t="shared" si="11"/>
        <v>2000 - 2001</v>
      </c>
      <c r="C112" s="124">
        <v>72.900000000000006</v>
      </c>
      <c r="D112" s="125">
        <v>73.099999999999994</v>
      </c>
      <c r="E112" s="125">
        <v>73.900000000000006</v>
      </c>
      <c r="F112" s="126">
        <v>74.5</v>
      </c>
      <c r="G112" s="132">
        <f t="shared" si="19"/>
        <v>6.1135371179039444E-2</v>
      </c>
      <c r="H112" s="132">
        <f t="shared" si="20"/>
        <v>5.7887120115774238E-2</v>
      </c>
      <c r="I112" s="132">
        <f t="shared" si="12"/>
        <v>6.0258249641319983E-2</v>
      </c>
      <c r="J112" s="132">
        <f>'CPI calculations'!F112/'CPI calculations'!F111-1</f>
        <v>6.1253561253561184E-2</v>
      </c>
      <c r="K112" s="133">
        <f t="shared" si="17"/>
        <v>3.4875183553597644E-2</v>
      </c>
      <c r="L112" s="134">
        <f t="shared" si="18"/>
        <v>4.4574351479722329E-2</v>
      </c>
      <c r="M112" s="134">
        <f t="shared" si="15"/>
        <v>5.2612481857764903E-2</v>
      </c>
      <c r="N112" s="135">
        <f t="shared" si="16"/>
        <v>6.0136838314728047E-2</v>
      </c>
      <c r="Z112" s="67"/>
    </row>
    <row r="113" spans="1:26" x14ac:dyDescent="0.2">
      <c r="A113" s="409"/>
      <c r="B113" s="416" t="str">
        <f t="shared" si="11"/>
        <v>2001 - 2002</v>
      </c>
      <c r="C113" s="124">
        <v>74.7</v>
      </c>
      <c r="D113" s="125">
        <v>75.400000000000006</v>
      </c>
      <c r="E113" s="125">
        <v>76.099999999999994</v>
      </c>
      <c r="F113" s="126">
        <v>76.599999999999994</v>
      </c>
      <c r="G113" s="132">
        <f t="shared" si="19"/>
        <v>2.4691358024691246E-2</v>
      </c>
      <c r="H113" s="132">
        <f t="shared" si="20"/>
        <v>3.1463748290013749E-2</v>
      </c>
      <c r="I113" s="132">
        <f t="shared" si="12"/>
        <v>2.9769959404600588E-2</v>
      </c>
      <c r="J113" s="132">
        <f>'CPI calculations'!F113/'CPI calculations'!F112-1</f>
        <v>2.8187919463087185E-2</v>
      </c>
      <c r="K113" s="133">
        <f t="shared" si="17"/>
        <v>5.072720822986887E-2</v>
      </c>
      <c r="L113" s="134">
        <f t="shared" si="18"/>
        <v>4.4071353620146914E-2</v>
      </c>
      <c r="M113" s="134">
        <f t="shared" si="15"/>
        <v>3.6539124439848303E-2</v>
      </c>
      <c r="N113" s="135">
        <f t="shared" si="16"/>
        <v>2.8532608695652328E-2</v>
      </c>
      <c r="Z113" s="67"/>
    </row>
    <row r="114" spans="1:26" x14ac:dyDescent="0.2">
      <c r="A114" s="409"/>
      <c r="B114" s="416" t="str">
        <f t="shared" si="11"/>
        <v>2002 - 2003</v>
      </c>
      <c r="C114" s="124">
        <v>77.099999999999994</v>
      </c>
      <c r="D114" s="125">
        <v>77.599999999999994</v>
      </c>
      <c r="E114" s="125">
        <v>78.599999999999994</v>
      </c>
      <c r="F114" s="126">
        <v>78.599999999999994</v>
      </c>
      <c r="G114" s="132">
        <f t="shared" si="19"/>
        <v>3.2128514056224855E-2</v>
      </c>
      <c r="H114" s="132">
        <f t="shared" si="20"/>
        <v>2.9177718832890998E-2</v>
      </c>
      <c r="I114" s="132">
        <f t="shared" si="12"/>
        <v>3.2851511169513792E-2</v>
      </c>
      <c r="J114" s="132">
        <f>'CPI calculations'!F114/'CPI calculations'!F113-1</f>
        <v>2.6109660574412441E-2</v>
      </c>
      <c r="K114" s="133">
        <f t="shared" si="17"/>
        <v>3.0384875084402463E-2</v>
      </c>
      <c r="L114" s="134">
        <f t="shared" si="18"/>
        <v>2.9815745393634741E-2</v>
      </c>
      <c r="M114" s="134">
        <f t="shared" si="15"/>
        <v>3.0595277685400601E-2</v>
      </c>
      <c r="N114" s="135">
        <f t="shared" si="16"/>
        <v>3.0052840158520278E-2</v>
      </c>
      <c r="Z114" s="67"/>
    </row>
    <row r="115" spans="1:26" x14ac:dyDescent="0.2">
      <c r="A115" s="409"/>
      <c r="B115" s="416" t="str">
        <f t="shared" si="11"/>
        <v>2003 - 2004</v>
      </c>
      <c r="C115" s="124">
        <v>79.099999999999994</v>
      </c>
      <c r="D115" s="125">
        <v>79.5</v>
      </c>
      <c r="E115" s="125">
        <v>80.2</v>
      </c>
      <c r="F115" s="126">
        <v>80.599999999999994</v>
      </c>
      <c r="G115" s="132">
        <f t="shared" si="19"/>
        <v>2.5940337224383825E-2</v>
      </c>
      <c r="H115" s="132">
        <f t="shared" si="20"/>
        <v>2.4484536082474362E-2</v>
      </c>
      <c r="I115" s="132">
        <f t="shared" si="12"/>
        <v>2.0356234096692294E-2</v>
      </c>
      <c r="J115" s="132">
        <f>'CPI calculations'!F115/'CPI calculations'!F114-1</f>
        <v>2.5445292620865034E-2</v>
      </c>
      <c r="K115" s="133">
        <f t="shared" si="17"/>
        <v>2.8505897771952782E-2</v>
      </c>
      <c r="L115" s="134">
        <f t="shared" si="18"/>
        <v>2.7325959661678612E-2</v>
      </c>
      <c r="M115" s="134">
        <f t="shared" si="15"/>
        <v>2.4201355275895509E-2</v>
      </c>
      <c r="N115" s="135">
        <f t="shared" si="16"/>
        <v>2.4046168643796051E-2</v>
      </c>
      <c r="Z115" s="67"/>
    </row>
    <row r="116" spans="1:26" x14ac:dyDescent="0.2">
      <c r="A116" s="409"/>
      <c r="B116" s="416" t="str">
        <f t="shared" si="11"/>
        <v>2004 - 2005</v>
      </c>
      <c r="C116" s="124">
        <v>80.900000000000006</v>
      </c>
      <c r="D116" s="125">
        <v>81.5</v>
      </c>
      <c r="E116" s="125">
        <v>82.1</v>
      </c>
      <c r="F116" s="126">
        <v>82.6</v>
      </c>
      <c r="G116" s="132">
        <f t="shared" si="19"/>
        <v>2.2756005056890238E-2</v>
      </c>
      <c r="H116" s="132">
        <f t="shared" si="20"/>
        <v>2.515723270440251E-2</v>
      </c>
      <c r="I116" s="132">
        <f t="shared" si="12"/>
        <v>2.3690773067331472E-2</v>
      </c>
      <c r="J116" s="132">
        <f>'CPI calculations'!F116/'CPI calculations'!F115-1</f>
        <v>2.4813895781637729E-2</v>
      </c>
      <c r="K116" s="133">
        <f t="shared" si="17"/>
        <v>2.3255813953488413E-2</v>
      </c>
      <c r="L116" s="134">
        <f t="shared" si="18"/>
        <v>2.3432552248258576E-2</v>
      </c>
      <c r="M116" s="134">
        <f t="shared" si="15"/>
        <v>2.4259609325772091E-2</v>
      </c>
      <c r="N116" s="135">
        <f t="shared" si="16"/>
        <v>2.4107701941139759E-2</v>
      </c>
      <c r="Z116" s="67"/>
    </row>
    <row r="117" spans="1:26" x14ac:dyDescent="0.2">
      <c r="A117" s="409"/>
      <c r="B117" s="416" t="str">
        <f t="shared" ref="B117:B123" si="21">B52</f>
        <v>2005 - 2006</v>
      </c>
      <c r="C117" s="124">
        <v>83.4</v>
      </c>
      <c r="D117" s="125">
        <v>83.8</v>
      </c>
      <c r="E117" s="125">
        <v>84.5</v>
      </c>
      <c r="F117" s="126">
        <v>85.9</v>
      </c>
      <c r="G117" s="132">
        <f t="shared" si="19"/>
        <v>3.0902348578492056E-2</v>
      </c>
      <c r="H117" s="132">
        <f t="shared" si="20"/>
        <v>2.8220858895705581E-2</v>
      </c>
      <c r="I117" s="132">
        <f t="shared" ref="I117:I130" si="22">E117/E116-1</f>
        <v>2.923264311814866E-2</v>
      </c>
      <c r="J117" s="132">
        <f>'CPI calculations'!F117/'CPI calculations'!F116-1</f>
        <v>3.9951573849879018E-2</v>
      </c>
      <c r="K117" s="133">
        <f t="shared" ref="K117:K120" si="23">(SUM(D116:F116)+C117)/(SUM(D115:F115)+C116)-1</f>
        <v>2.6151930261519407E-2</v>
      </c>
      <c r="L117" s="134">
        <f t="shared" ref="L117:L120" si="24">(SUM(C117:D117)+F116+E116)/(SUM(C116:D116)+F115+E115)-1</f>
        <v>2.6918316831683109E-2</v>
      </c>
      <c r="M117" s="134">
        <f t="shared" si="15"/>
        <v>2.8298984927714432E-2</v>
      </c>
      <c r="N117" s="135">
        <f t="shared" si="16"/>
        <v>3.2100275145215518E-2</v>
      </c>
      <c r="Z117" s="67"/>
    </row>
    <row r="118" spans="1:26" x14ac:dyDescent="0.2">
      <c r="A118" s="409"/>
      <c r="B118" s="416" t="str">
        <f t="shared" si="21"/>
        <v>2006 - 2007</v>
      </c>
      <c r="C118" s="124">
        <v>86.7</v>
      </c>
      <c r="D118" s="125">
        <v>86.6</v>
      </c>
      <c r="E118" s="125">
        <v>86.6</v>
      </c>
      <c r="F118" s="126">
        <v>87.7</v>
      </c>
      <c r="G118" s="132">
        <f t="shared" si="19"/>
        <v>3.9568345323740983E-2</v>
      </c>
      <c r="H118" s="132">
        <f t="shared" si="20"/>
        <v>3.3412887828162319E-2</v>
      </c>
      <c r="I118" s="132">
        <f t="shared" si="22"/>
        <v>2.485207100591702E-2</v>
      </c>
      <c r="J118" s="132">
        <f>'CPI calculations'!F118/'CPI calculations'!F117-1</f>
        <v>2.0954598370197974E-2</v>
      </c>
      <c r="K118" s="133">
        <f t="shared" si="23"/>
        <v>3.4283980582524354E-2</v>
      </c>
      <c r="L118" s="134">
        <f t="shared" si="24"/>
        <v>3.555287737270274E-2</v>
      </c>
      <c r="M118" s="134">
        <f t="shared" si="15"/>
        <v>3.4400239306012548E-2</v>
      </c>
      <c r="N118" s="135">
        <f t="shared" si="16"/>
        <v>2.962085308056861E-2</v>
      </c>
      <c r="Z118" s="67"/>
    </row>
    <row r="119" spans="1:26" x14ac:dyDescent="0.2">
      <c r="A119" s="409"/>
      <c r="B119" s="416" t="str">
        <f t="shared" si="21"/>
        <v>2007 - 2008</v>
      </c>
      <c r="C119" s="124">
        <v>88.3</v>
      </c>
      <c r="D119" s="125">
        <v>89.1</v>
      </c>
      <c r="E119" s="125">
        <v>90.3</v>
      </c>
      <c r="F119" s="126">
        <v>91.6</v>
      </c>
      <c r="G119" s="132">
        <f t="shared" si="19"/>
        <v>1.8454440599769306E-2</v>
      </c>
      <c r="H119" s="132">
        <f t="shared" si="20"/>
        <v>2.886836027713624E-2</v>
      </c>
      <c r="I119" s="132">
        <f t="shared" si="22"/>
        <v>4.2725173210161671E-2</v>
      </c>
      <c r="J119" s="132">
        <f>'CPI calculations'!F119/'CPI calculations'!F118-1</f>
        <v>4.4469783352337311E-2</v>
      </c>
      <c r="K119" s="133">
        <f t="shared" si="23"/>
        <v>2.4347315928424651E-2</v>
      </c>
      <c r="L119" s="134">
        <f t="shared" si="24"/>
        <v>2.3276112889147216E-2</v>
      </c>
      <c r="M119" s="134">
        <f t="shared" si="15"/>
        <v>2.7761711972238423E-2</v>
      </c>
      <c r="N119" s="135">
        <f t="shared" si="16"/>
        <v>3.3659378596087475E-2</v>
      </c>
      <c r="Z119" s="67"/>
    </row>
    <row r="120" spans="1:26" x14ac:dyDescent="0.2">
      <c r="A120" s="409"/>
      <c r="B120" s="416" t="str">
        <f t="shared" si="21"/>
        <v>2008 - 2009</v>
      </c>
      <c r="C120" s="124">
        <v>92.7</v>
      </c>
      <c r="D120" s="125">
        <v>92.4</v>
      </c>
      <c r="E120" s="125">
        <v>92.5</v>
      </c>
      <c r="F120" s="126">
        <v>92.9</v>
      </c>
      <c r="G120" s="132">
        <f t="shared" si="19"/>
        <v>4.9830124575311441E-2</v>
      </c>
      <c r="H120" s="132">
        <f t="shared" si="20"/>
        <v>3.7037037037037202E-2</v>
      </c>
      <c r="I120" s="132">
        <f t="shared" si="22"/>
        <v>2.4363233665559259E-2</v>
      </c>
      <c r="J120" s="132">
        <f>'CPI calculations'!F120/'CPI calculations'!F119-1</f>
        <v>1.4192139737991383E-2</v>
      </c>
      <c r="K120" s="133">
        <f t="shared" si="23"/>
        <v>4.1523482245131804E-2</v>
      </c>
      <c r="L120" s="134">
        <f t="shared" si="24"/>
        <v>4.350298549900522E-2</v>
      </c>
      <c r="M120" s="134">
        <f t="shared" si="15"/>
        <v>3.8829487900956972E-2</v>
      </c>
      <c r="N120" s="135">
        <f t="shared" si="16"/>
        <v>3.1171722794322454E-2</v>
      </c>
      <c r="Z120" s="67"/>
    </row>
    <row r="121" spans="1:26" x14ac:dyDescent="0.2">
      <c r="A121" s="409"/>
      <c r="B121" s="416" t="str">
        <f t="shared" si="21"/>
        <v>2009 - 2010</v>
      </c>
      <c r="C121" s="124">
        <v>93.8</v>
      </c>
      <c r="D121" s="125">
        <v>94.3</v>
      </c>
      <c r="E121" s="125">
        <v>95.2</v>
      </c>
      <c r="F121" s="126">
        <v>95.8</v>
      </c>
      <c r="G121" s="132">
        <f t="shared" si="19"/>
        <v>1.1866235167206085E-2</v>
      </c>
      <c r="H121" s="132">
        <f t="shared" si="20"/>
        <v>2.0562770562770449E-2</v>
      </c>
      <c r="I121" s="132">
        <f t="shared" si="22"/>
        <v>2.9189189189189113E-2</v>
      </c>
      <c r="J121" s="132">
        <f>'CPI calculations'!F121/'CPI calculations'!F120-1</f>
        <v>3.1216361679224924E-2</v>
      </c>
      <c r="K121" s="133">
        <f t="shared" ref="K121:K124" si="25">(SUM(D120:F120)+C121)/(SUM(D119:F119)+C120)-1</f>
        <v>2.1721198790211727E-2</v>
      </c>
      <c r="L121" s="134">
        <f t="shared" ref="L121:L128" si="26">(SUM(C121:D121)+F120+E120)/(SUM(C120:D120)+F119+E119)-1</f>
        <v>1.7711171662125214E-2</v>
      </c>
      <c r="M121" s="134">
        <f t="shared" si="15"/>
        <v>1.8959913326110467E-2</v>
      </c>
      <c r="N121" s="135">
        <f t="shared" si="16"/>
        <v>2.3211875843454743E-2</v>
      </c>
      <c r="Z121" s="67"/>
    </row>
    <row r="122" spans="1:26" x14ac:dyDescent="0.2">
      <c r="A122" s="409"/>
      <c r="B122" s="416" t="str">
        <f t="shared" si="21"/>
        <v>2010 - 2011</v>
      </c>
      <c r="C122" s="124">
        <v>96.5</v>
      </c>
      <c r="D122" s="125">
        <v>96.9</v>
      </c>
      <c r="E122" s="125">
        <v>98.3</v>
      </c>
      <c r="F122" s="126">
        <v>99.2</v>
      </c>
      <c r="G122" s="132">
        <f t="shared" si="19"/>
        <v>2.8784648187633266E-2</v>
      </c>
      <c r="H122" s="132">
        <f t="shared" si="20"/>
        <v>2.7571580063626921E-2</v>
      </c>
      <c r="I122" s="132">
        <f t="shared" si="22"/>
        <v>3.2563025210083918E-2</v>
      </c>
      <c r="J122" s="132">
        <f>'CPI calculations'!F122/'CPI calculations'!F121-1</f>
        <v>3.5490605427975108E-2</v>
      </c>
      <c r="K122" s="133">
        <f t="shared" si="25"/>
        <v>2.7448869752422E-2</v>
      </c>
      <c r="L122" s="134">
        <f t="shared" si="26"/>
        <v>2.918340026773758E-2</v>
      </c>
      <c r="M122" s="134">
        <f t="shared" si="15"/>
        <v>3.0037214247740529E-2</v>
      </c>
      <c r="N122" s="135">
        <f t="shared" si="16"/>
        <v>3.1126351886045844E-2</v>
      </c>
      <c r="Z122" s="67"/>
    </row>
    <row r="123" spans="1:26" x14ac:dyDescent="0.2">
      <c r="A123" s="409"/>
      <c r="B123" s="416" t="str">
        <f t="shared" si="21"/>
        <v>2011 - 2012</v>
      </c>
      <c r="C123" s="124">
        <v>99.8</v>
      </c>
      <c r="D123" s="125">
        <v>99.8</v>
      </c>
      <c r="E123" s="125">
        <v>99.9</v>
      </c>
      <c r="F123" s="126">
        <v>100.4</v>
      </c>
      <c r="G123" s="132">
        <f t="shared" si="19"/>
        <v>3.4196891191709877E-2</v>
      </c>
      <c r="H123" s="132">
        <f t="shared" si="20"/>
        <v>2.9927760577915352E-2</v>
      </c>
      <c r="I123" s="132">
        <f t="shared" si="22"/>
        <v>1.6276703967446737E-2</v>
      </c>
      <c r="J123" s="132">
        <f>'CPI calculations'!F123/'CPI calculations'!F122-1</f>
        <v>1.2096774193548487E-2</v>
      </c>
      <c r="K123" s="133">
        <f t="shared" si="25"/>
        <v>3.2477737035096821E-2</v>
      </c>
      <c r="L123" s="134">
        <f t="shared" si="26"/>
        <v>3.3038501560874289E-2</v>
      </c>
      <c r="M123" s="134">
        <f t="shared" si="15"/>
        <v>2.890322580645166E-2</v>
      </c>
      <c r="N123" s="135">
        <f t="shared" si="16"/>
        <v>2.3023791250959436E-2</v>
      </c>
      <c r="Z123" s="67"/>
    </row>
    <row r="124" spans="1:26" x14ac:dyDescent="0.2">
      <c r="A124" s="409"/>
      <c r="B124" s="416" t="str">
        <f>LEFT(B58,4)+1&amp;" - "&amp;RIGHT(B58,4)+1</f>
        <v>2012 - 2013</v>
      </c>
      <c r="C124" s="124">
        <v>101.8</v>
      </c>
      <c r="D124" s="125">
        <v>102</v>
      </c>
      <c r="E124" s="125">
        <v>102.4</v>
      </c>
      <c r="F124" s="126">
        <v>102.8</v>
      </c>
      <c r="G124" s="132">
        <f t="shared" si="19"/>
        <v>2.0040080160320661E-2</v>
      </c>
      <c r="H124" s="132">
        <f t="shared" si="20"/>
        <v>2.2044088176352838E-2</v>
      </c>
      <c r="I124" s="132">
        <f t="shared" si="22"/>
        <v>2.5025025025025016E-2</v>
      </c>
      <c r="J124" s="132">
        <f>'CPI calculations'!F124/'CPI calculations'!F123-1</f>
        <v>2.3904382470119501E-2</v>
      </c>
      <c r="K124" s="133">
        <f t="shared" si="25"/>
        <v>1.9533231861999178E-2</v>
      </c>
      <c r="L124" s="134">
        <f t="shared" si="26"/>
        <v>1.76278015613196E-2</v>
      </c>
      <c r="M124" s="134">
        <f t="shared" si="15"/>
        <v>1.9814396789566091E-2</v>
      </c>
      <c r="N124" s="135">
        <f t="shared" si="16"/>
        <v>2.2755688922230677E-2</v>
      </c>
      <c r="P124" s="352" t="s">
        <v>435</v>
      </c>
      <c r="Z124" s="67"/>
    </row>
    <row r="125" spans="1:26" x14ac:dyDescent="0.2">
      <c r="A125" s="409"/>
      <c r="B125" s="416" t="str">
        <f t="shared" ref="B125:B128" si="27">LEFT(B124,4)+1&amp;" - "&amp;RIGHT(B124,4)+1</f>
        <v>2013 - 2014</v>
      </c>
      <c r="C125" s="124">
        <v>104</v>
      </c>
      <c r="D125" s="125">
        <v>104.8</v>
      </c>
      <c r="E125" s="125">
        <v>105.4</v>
      </c>
      <c r="F125" s="126">
        <v>105.9</v>
      </c>
      <c r="G125" s="132">
        <f t="shared" si="19"/>
        <v>2.16110019646365E-2</v>
      </c>
      <c r="H125" s="132">
        <f t="shared" si="20"/>
        <v>2.7450980392156765E-2</v>
      </c>
      <c r="I125" s="132">
        <f t="shared" si="22"/>
        <v>2.9296875E-2</v>
      </c>
      <c r="J125" s="132">
        <f>'CPI calculations'!F125/'CPI calculations'!F124-1</f>
        <v>3.0155642023346418E-2</v>
      </c>
      <c r="K125" s="133">
        <f>(SUM(D124:F124)+C125)/(SUM(D123:F123)+C124)-1</f>
        <v>2.3140084598158639E-2</v>
      </c>
      <c r="L125" s="134">
        <f t="shared" si="26"/>
        <v>2.4498886414253906E-2</v>
      </c>
      <c r="M125" s="134">
        <f t="shared" si="15"/>
        <v>2.5577963600590392E-2</v>
      </c>
      <c r="N125" s="135">
        <f t="shared" si="16"/>
        <v>2.7139364303178315E-2</v>
      </c>
      <c r="P125" s="352" t="s">
        <v>436</v>
      </c>
      <c r="Z125" s="67"/>
    </row>
    <row r="126" spans="1:26" x14ac:dyDescent="0.2">
      <c r="A126" s="409"/>
      <c r="B126" s="416" t="str">
        <f t="shared" si="27"/>
        <v>2014 - 2015</v>
      </c>
      <c r="C126" s="124">
        <v>106.4</v>
      </c>
      <c r="D126" s="125">
        <v>106.6</v>
      </c>
      <c r="E126" s="125">
        <v>106.8</v>
      </c>
      <c r="F126" s="126">
        <v>107.5</v>
      </c>
      <c r="G126" s="132">
        <f t="shared" si="19"/>
        <v>2.3076923076923217E-2</v>
      </c>
      <c r="H126" s="132">
        <f t="shared" si="20"/>
        <v>1.7175572519083859E-2</v>
      </c>
      <c r="I126" s="132">
        <f t="shared" si="22"/>
        <v>1.3282732447817747E-2</v>
      </c>
      <c r="J126" s="132">
        <f>'CPI calculations'!F126/'CPI calculations'!F125-1</f>
        <v>1.5108593012275628E-2</v>
      </c>
      <c r="K126" s="134">
        <f>(SUM(D125:F125)+C126)/(SUM(D124:F124)+C125)-1</f>
        <v>2.7480544747081836E-2</v>
      </c>
      <c r="L126" s="134">
        <f t="shared" si="26"/>
        <v>2.4879227053139941E-2</v>
      </c>
      <c r="M126" s="134">
        <f t="shared" si="15"/>
        <v>2.08633093525179E-2</v>
      </c>
      <c r="N126" s="135">
        <f t="shared" ref="N126:N128" si="28">SUM(C126:F126)/SUM(C125:F125) -1</f>
        <v>1.7138776481790075E-2</v>
      </c>
      <c r="Z126" s="67"/>
    </row>
    <row r="127" spans="1:26" x14ac:dyDescent="0.2">
      <c r="A127" s="409"/>
      <c r="B127" s="416" t="str">
        <f t="shared" si="27"/>
        <v>2015 - 2016</v>
      </c>
      <c r="C127" s="124">
        <v>108</v>
      </c>
      <c r="D127" s="125">
        <v>108.4</v>
      </c>
      <c r="E127" s="125">
        <v>108.2</v>
      </c>
      <c r="F127" s="125">
        <v>108.6</v>
      </c>
      <c r="G127" s="132">
        <f t="shared" si="19"/>
        <v>1.5037593984962294E-2</v>
      </c>
      <c r="H127" s="132">
        <f t="shared" si="20"/>
        <v>1.6885553470919357E-2</v>
      </c>
      <c r="I127" s="132">
        <f t="shared" si="22"/>
        <v>1.3108614232209881E-2</v>
      </c>
      <c r="J127" s="132">
        <f>'CPI calculations'!F127/'CPI calculations'!F126-1</f>
        <v>1.0232558139534831E-2</v>
      </c>
      <c r="K127" s="134">
        <f t="shared" ref="K127:K131" si="29">(SUM(D126:F126)+C127)/(SUM(D125:F125)+C126)-1</f>
        <v>1.5147928994082793E-2</v>
      </c>
      <c r="L127" s="134">
        <f t="shared" si="26"/>
        <v>1.5083667216592156E-2</v>
      </c>
      <c r="M127" s="134">
        <f t="shared" ref="M127:M128" si="30">(SUM(C127:E127)+F126)/(SUM(C126:E126)+F125)-1</f>
        <v>1.5034061545689426E-2</v>
      </c>
      <c r="N127" s="135">
        <f t="shared" si="28"/>
        <v>1.3807629300257585E-2</v>
      </c>
      <c r="Z127" s="67"/>
    </row>
    <row r="128" spans="1:26" x14ac:dyDescent="0.2">
      <c r="A128" s="409"/>
      <c r="B128" s="416" t="str">
        <f t="shared" si="27"/>
        <v>2016 - 2017</v>
      </c>
      <c r="C128" s="124">
        <v>109.4</v>
      </c>
      <c r="D128" s="125">
        <v>110</v>
      </c>
      <c r="E128" s="125">
        <v>110.5</v>
      </c>
      <c r="F128" s="125">
        <v>110.7</v>
      </c>
      <c r="G128" s="132">
        <f t="shared" si="19"/>
        <v>1.2962962962963065E-2</v>
      </c>
      <c r="H128" s="132">
        <f t="shared" si="20"/>
        <v>1.4760147601476037E-2</v>
      </c>
      <c r="I128" s="132">
        <f t="shared" si="22"/>
        <v>2.1256931608133023E-2</v>
      </c>
      <c r="J128" s="132">
        <f>'CPI calculations'!F128/'CPI calculations'!F127-1</f>
        <v>1.9337016574585641E-2</v>
      </c>
      <c r="K128" s="134">
        <f t="shared" si="29"/>
        <v>1.3289811144788999E-2</v>
      </c>
      <c r="L128" s="134">
        <f t="shared" si="26"/>
        <v>1.2769909449732886E-2</v>
      </c>
      <c r="M128" s="134">
        <f t="shared" si="30"/>
        <v>1.4811386253182013E-2</v>
      </c>
      <c r="N128" s="135">
        <f t="shared" si="28"/>
        <v>1.7082179132040354E-2</v>
      </c>
      <c r="Z128" s="67"/>
    </row>
    <row r="129" spans="1:28" x14ac:dyDescent="0.2">
      <c r="A129" s="409"/>
      <c r="B129" s="676" t="s">
        <v>233</v>
      </c>
      <c r="C129" s="1285">
        <v>111.4</v>
      </c>
      <c r="D129" s="1286">
        <v>112.1</v>
      </c>
      <c r="E129" s="1286">
        <v>112.6</v>
      </c>
      <c r="F129" s="1286">
        <v>113</v>
      </c>
      <c r="G129" s="132">
        <f t="shared" si="19"/>
        <v>1.8281535648994485E-2</v>
      </c>
      <c r="H129" s="132">
        <f t="shared" si="20"/>
        <v>1.9090909090909047E-2</v>
      </c>
      <c r="I129" s="132">
        <f t="shared" si="22"/>
        <v>1.9004524886877761E-2</v>
      </c>
      <c r="J129" s="132">
        <f>'CPI calculations'!F129/'CPI calculations'!F128-1</f>
        <v>2.0776874435411097E-2</v>
      </c>
      <c r="K129" s="134">
        <f t="shared" si="29"/>
        <v>1.8407731247123804E-2</v>
      </c>
      <c r="L129" s="134">
        <f t="shared" ref="L129:L131" si="31">(SUM(C129:D129)+F128+E128)/(SUM(C128:D128)+F127+E127)-1</f>
        <v>1.9486474094452033E-2</v>
      </c>
      <c r="M129" s="134">
        <f t="shared" ref="M129:M131" si="32">(SUM(C129:E129)+F128)/(SUM(C128:E128)+F127)-1</f>
        <v>1.8928164196123198E-2</v>
      </c>
      <c r="N129" s="135">
        <f t="shared" ref="N129:N131" si="33">SUM(C129:F129)/SUM(C128:F128) -1</f>
        <v>1.9291874716296009E-2</v>
      </c>
      <c r="Z129" s="67"/>
    </row>
    <row r="130" spans="1:28" x14ac:dyDescent="0.2">
      <c r="A130" s="409"/>
      <c r="B130" s="416" t="s">
        <v>646</v>
      </c>
      <c r="C130" s="124">
        <v>113.5</v>
      </c>
      <c r="D130" s="125">
        <v>114.1</v>
      </c>
      <c r="E130" s="125">
        <v>114.1</v>
      </c>
      <c r="F130" s="125">
        <v>114.8</v>
      </c>
      <c r="G130" s="132">
        <f t="shared" si="19"/>
        <v>1.8850987432674993E-2</v>
      </c>
      <c r="H130" s="132">
        <f t="shared" si="20"/>
        <v>1.7841213202497874E-2</v>
      </c>
      <c r="I130" s="132">
        <f t="shared" si="22"/>
        <v>1.3321492007104752E-2</v>
      </c>
      <c r="J130" s="132">
        <f>'CPI calculations'!F130/'CPI calculations'!F129-1</f>
        <v>1.5929203539823078E-2</v>
      </c>
      <c r="K130" s="134">
        <f t="shared" si="29"/>
        <v>1.9430637144148166E-2</v>
      </c>
      <c r="L130" s="134">
        <f t="shared" si="31"/>
        <v>1.9114009444569424E-2</v>
      </c>
      <c r="M130" s="134">
        <f t="shared" si="32"/>
        <v>1.7681289167412739E-2</v>
      </c>
      <c r="N130" s="135">
        <f t="shared" si="33"/>
        <v>1.6477399242930346E-2</v>
      </c>
      <c r="U130" s="352" t="s">
        <v>574</v>
      </c>
      <c r="V130" s="352" t="s">
        <v>575</v>
      </c>
      <c r="Z130" s="67"/>
    </row>
    <row r="131" spans="1:28" x14ac:dyDescent="0.2">
      <c r="A131" s="409"/>
      <c r="B131" s="416" t="s">
        <v>647</v>
      </c>
      <c r="C131" s="124">
        <v>115.4</v>
      </c>
      <c r="D131" s="125">
        <v>116.2</v>
      </c>
      <c r="E131" s="125"/>
      <c r="F131" s="125"/>
      <c r="G131" s="132">
        <f t="shared" si="19"/>
        <v>1.6740088105726914E-2</v>
      </c>
      <c r="H131" s="132">
        <f t="shared" si="20"/>
        <v>1.8404907975460238E-2</v>
      </c>
      <c r="I131" s="132">
        <v>2.1000000000000001E-2</v>
      </c>
      <c r="J131" s="132">
        <v>1.9E-2</v>
      </c>
      <c r="K131" s="134">
        <f t="shared" si="29"/>
        <v>1.5957446808510634E-2</v>
      </c>
      <c r="L131" s="134">
        <f t="shared" si="31"/>
        <v>1.6107678729037955E-2</v>
      </c>
      <c r="M131" s="134">
        <f t="shared" si="32"/>
        <v>-0.23817901913349449</v>
      </c>
      <c r="N131" s="135">
        <f t="shared" si="33"/>
        <v>-0.49266155531215772</v>
      </c>
      <c r="V131" s="352" t="s">
        <v>576</v>
      </c>
      <c r="X131" s="417">
        <v>43556</v>
      </c>
      <c r="Z131" s="67"/>
    </row>
    <row r="132" spans="1:28" ht="12.75" thickBot="1" x14ac:dyDescent="0.25">
      <c r="B132" s="645" t="s">
        <v>648</v>
      </c>
      <c r="C132" s="646"/>
      <c r="D132" s="647"/>
      <c r="E132" s="647"/>
      <c r="F132" s="647"/>
      <c r="G132" s="648">
        <v>0.02</v>
      </c>
      <c r="H132" s="648">
        <v>1.7999999999999999E-2</v>
      </c>
      <c r="I132" s="648">
        <v>0.02</v>
      </c>
      <c r="J132" s="648">
        <v>2.1000000000000001E-2</v>
      </c>
      <c r="K132" s="649"/>
      <c r="L132" s="649"/>
      <c r="M132" s="649"/>
      <c r="N132" s="650"/>
    </row>
    <row r="133" spans="1:28" ht="12.75" x14ac:dyDescent="0.2">
      <c r="B133" s="419" t="s">
        <v>437</v>
      </c>
      <c r="C133" s="139"/>
      <c r="D133" s="138"/>
      <c r="E133" s="138"/>
      <c r="F133" s="138"/>
      <c r="G133" s="138"/>
      <c r="H133" s="138"/>
      <c r="I133" s="140"/>
      <c r="J133" s="138"/>
      <c r="K133" s="419"/>
      <c r="L133" s="138"/>
      <c r="M133" s="138"/>
      <c r="N133" s="138"/>
      <c r="P133" s="420"/>
      <c r="Q133" s="421"/>
      <c r="R133" s="421"/>
      <c r="S133" s="421"/>
      <c r="T133" s="421"/>
      <c r="U133" s="32"/>
      <c r="V133" s="32"/>
      <c r="W133" s="32"/>
      <c r="X133" s="32"/>
      <c r="Y133" s="421"/>
      <c r="Z133" s="422"/>
      <c r="AA133" s="421"/>
      <c r="AB133" s="421"/>
    </row>
    <row r="134" spans="1:28" ht="13.5" thickBot="1" x14ac:dyDescent="0.25">
      <c r="C134" s="257"/>
      <c r="D134" s="9"/>
      <c r="E134" s="9"/>
      <c r="F134" s="9"/>
      <c r="Q134" s="421"/>
      <c r="R134" s="421"/>
      <c r="S134" s="421"/>
      <c r="T134" s="421"/>
      <c r="U134" s="32"/>
      <c r="V134" s="32"/>
      <c r="W134" s="32"/>
      <c r="X134" s="32"/>
      <c r="Y134" s="421"/>
      <c r="Z134" s="422"/>
      <c r="AA134" s="421"/>
      <c r="AB134" s="421"/>
    </row>
    <row r="135" spans="1:28" ht="21" thickBot="1" x14ac:dyDescent="0.35">
      <c r="B135" s="386"/>
      <c r="C135" s="387"/>
      <c r="D135" s="388"/>
      <c r="E135" s="388"/>
      <c r="F135" s="388"/>
      <c r="G135" s="389"/>
      <c r="H135" s="387" t="s">
        <v>438</v>
      </c>
      <c r="I135" s="388"/>
      <c r="J135" s="388"/>
      <c r="K135" s="388"/>
      <c r="L135" s="388"/>
      <c r="M135" s="388"/>
      <c r="N135" s="390"/>
      <c r="Q135" s="421"/>
      <c r="R135" s="421"/>
      <c r="S135" s="421"/>
      <c r="T135" s="421"/>
      <c r="U135" s="32"/>
      <c r="V135" s="32"/>
      <c r="W135" s="32"/>
      <c r="X135" s="32"/>
      <c r="Y135" s="421"/>
      <c r="Z135" s="422"/>
      <c r="AA135" s="421"/>
      <c r="AB135" s="421"/>
    </row>
    <row r="136" spans="1:28" ht="13.5" thickBot="1" x14ac:dyDescent="0.25">
      <c r="B136" s="391"/>
      <c r="C136" s="392"/>
      <c r="D136" s="393"/>
      <c r="E136" s="393"/>
      <c r="F136" s="394"/>
      <c r="G136" s="392"/>
      <c r="H136" s="392" t="s">
        <v>420</v>
      </c>
      <c r="I136" s="393"/>
      <c r="J136" s="393"/>
      <c r="K136" s="393"/>
      <c r="L136" s="393"/>
      <c r="M136" s="393"/>
      <c r="N136" s="394"/>
      <c r="Q136" s="421"/>
      <c r="R136" s="421"/>
      <c r="S136" s="421"/>
      <c r="T136" s="421"/>
      <c r="U136" s="32"/>
      <c r="V136" s="32"/>
      <c r="W136" s="32"/>
      <c r="X136" s="32"/>
      <c r="Y136" s="421"/>
      <c r="Z136" s="422"/>
      <c r="AA136" s="421"/>
      <c r="AB136" s="421"/>
    </row>
    <row r="137" spans="1:28" ht="12.75" x14ac:dyDescent="0.2">
      <c r="B137" s="391" t="str">
        <f>B4</f>
        <v>Financial</v>
      </c>
      <c r="C137" s="395"/>
      <c r="D137" s="396" t="s">
        <v>422</v>
      </c>
      <c r="E137" s="397"/>
      <c r="F137" s="398"/>
      <c r="H137" s="396" t="s">
        <v>423</v>
      </c>
      <c r="I137" s="399"/>
      <c r="J137" s="399"/>
      <c r="K137" s="395"/>
      <c r="L137" s="400" t="s">
        <v>424</v>
      </c>
      <c r="M137" s="101"/>
      <c r="N137" s="102"/>
      <c r="Q137" s="421"/>
      <c r="R137" s="421"/>
      <c r="S137" s="421"/>
      <c r="T137" s="421"/>
      <c r="U137" s="32"/>
      <c r="V137" s="32"/>
      <c r="W137" s="32"/>
      <c r="X137" s="32"/>
      <c r="Y137" s="421"/>
      <c r="Z137" s="422"/>
      <c r="AA137" s="421"/>
      <c r="AB137" s="421"/>
    </row>
    <row r="138" spans="1:28" ht="13.5" thickBot="1" x14ac:dyDescent="0.25">
      <c r="B138" s="401" t="str">
        <f>B5</f>
        <v xml:space="preserve"> Year</v>
      </c>
      <c r="C138" s="402" t="s">
        <v>426</v>
      </c>
      <c r="D138" s="403" t="s">
        <v>427</v>
      </c>
      <c r="E138" s="403" t="s">
        <v>428</v>
      </c>
      <c r="F138" s="404" t="s">
        <v>429</v>
      </c>
      <c r="G138" s="405" t="s">
        <v>430</v>
      </c>
      <c r="H138" s="405" t="s">
        <v>228</v>
      </c>
      <c r="I138" s="405" t="s">
        <v>431</v>
      </c>
      <c r="J138" s="405" t="s">
        <v>432</v>
      </c>
      <c r="K138" s="406" t="s">
        <v>430</v>
      </c>
      <c r="L138" s="407" t="s">
        <v>228</v>
      </c>
      <c r="M138" s="407" t="s">
        <v>431</v>
      </c>
      <c r="N138" s="408" t="s">
        <v>432</v>
      </c>
      <c r="Q138" s="421"/>
      <c r="R138" s="421"/>
      <c r="S138" s="421"/>
      <c r="T138" s="421"/>
      <c r="U138" s="32"/>
      <c r="V138" s="32"/>
      <c r="W138" s="32"/>
      <c r="X138" s="32"/>
      <c r="Y138" s="421"/>
      <c r="Z138" s="422"/>
      <c r="AA138" s="421"/>
      <c r="AB138" s="421"/>
    </row>
    <row r="139" spans="1:28" ht="12.75" hidden="1" outlineLevel="1" x14ac:dyDescent="0.2">
      <c r="B139" s="410" t="str">
        <f t="shared" ref="B139:B191" si="34">B6</f>
        <v>1959 - 1960</v>
      </c>
      <c r="C139" s="104">
        <v>13.103448275862071</v>
      </c>
      <c r="D139" s="105">
        <v>13.201970443349754</v>
      </c>
      <c r="E139" s="105">
        <v>13.300492610837439</v>
      </c>
      <c r="F139" s="106">
        <v>13.497536945812808</v>
      </c>
      <c r="G139" s="141"/>
      <c r="H139" s="142"/>
      <c r="I139" s="142"/>
      <c r="J139" s="143"/>
      <c r="K139" s="411"/>
      <c r="L139" s="411"/>
      <c r="M139" s="411"/>
      <c r="N139" s="412"/>
      <c r="Q139" s="421"/>
      <c r="R139" s="421"/>
      <c r="S139" s="421"/>
      <c r="T139" s="421"/>
      <c r="U139" s="32"/>
      <c r="V139" s="32"/>
      <c r="W139" s="32"/>
      <c r="X139" s="32"/>
      <c r="Y139" s="421"/>
      <c r="Z139" s="422"/>
      <c r="AA139" s="421"/>
      <c r="AB139" s="421"/>
    </row>
    <row r="140" spans="1:28" ht="12.75" hidden="1" outlineLevel="1" x14ac:dyDescent="0.2">
      <c r="B140" s="423" t="str">
        <f t="shared" si="34"/>
        <v>1960 - 1961</v>
      </c>
      <c r="C140" s="108">
        <v>13.596059113300495</v>
      </c>
      <c r="D140" s="109">
        <v>13.69458128078818</v>
      </c>
      <c r="E140" s="109">
        <v>13.793103448275863</v>
      </c>
      <c r="F140" s="110">
        <v>13.891625615763548</v>
      </c>
      <c r="G140" s="144">
        <f t="shared" ref="G140:J171" si="35">C140/C139-1</f>
        <v>3.7593984962406068E-2</v>
      </c>
      <c r="H140" s="111">
        <f t="shared" si="35"/>
        <v>3.7313432835821114E-2</v>
      </c>
      <c r="I140" s="111">
        <f t="shared" si="35"/>
        <v>3.7037037037036979E-2</v>
      </c>
      <c r="J140" s="145">
        <f t="shared" si="35"/>
        <v>2.9197080291970989E-2</v>
      </c>
      <c r="K140" s="113"/>
      <c r="L140" s="113"/>
      <c r="M140" s="113"/>
      <c r="N140" s="114">
        <f t="shared" ref="N140:N171" si="36">SUM(C140:F140)/SUM(C139:F139) -1</f>
        <v>3.5250463821892231E-2</v>
      </c>
      <c r="Q140" s="421"/>
      <c r="R140" s="421"/>
      <c r="S140" s="421"/>
      <c r="T140" s="421"/>
      <c r="U140" s="32"/>
      <c r="V140" s="32"/>
      <c r="W140" s="32"/>
      <c r="X140" s="32"/>
      <c r="Y140" s="421"/>
      <c r="Z140" s="422"/>
      <c r="AA140" s="421"/>
      <c r="AB140" s="421"/>
    </row>
    <row r="141" spans="1:28" ht="12.75" hidden="1" outlineLevel="1" x14ac:dyDescent="0.2">
      <c r="B141" s="423" t="str">
        <f t="shared" si="34"/>
        <v>1961 - 1962</v>
      </c>
      <c r="C141" s="108">
        <v>13.842364532019706</v>
      </c>
      <c r="D141" s="109">
        <v>13.793103448275863</v>
      </c>
      <c r="E141" s="109">
        <v>13.793103448275863</v>
      </c>
      <c r="F141" s="110">
        <v>13.793103448275863</v>
      </c>
      <c r="G141" s="144">
        <f t="shared" si="35"/>
        <v>1.8115942028985588E-2</v>
      </c>
      <c r="H141" s="111">
        <f t="shared" si="35"/>
        <v>7.194244604316502E-3</v>
      </c>
      <c r="I141" s="111">
        <f t="shared" si="35"/>
        <v>0</v>
      </c>
      <c r="J141" s="145">
        <f t="shared" si="35"/>
        <v>-7.0921985815602939E-3</v>
      </c>
      <c r="K141" s="116">
        <f t="shared" ref="K141:K191" si="37">(SUM(D140:F140)+C141)/(SUM(D139:F139)+C140)-1</f>
        <v>3.0330882352941124E-2</v>
      </c>
      <c r="L141" s="116">
        <f t="shared" ref="L141:L183" si="38">(SUM(C141:D141)+SUM(E140:F140))/(SUM(C140:D140)+SUM(E139:F139)) - 1</f>
        <v>2.2768670309653682E-2</v>
      </c>
      <c r="M141" s="116">
        <f t="shared" ref="M141:M183" si="39">(SUM(C141:E141)+F140)/(SUM(C140:E140)+F139) -1</f>
        <v>1.3537906137183864E-2</v>
      </c>
      <c r="N141" s="114">
        <f t="shared" si="36"/>
        <v>4.4802867383513245E-3</v>
      </c>
      <c r="Q141" s="421"/>
      <c r="R141" s="421"/>
      <c r="S141" s="421"/>
      <c r="T141" s="421"/>
      <c r="U141" s="32"/>
      <c r="V141" s="32"/>
      <c r="W141" s="32"/>
      <c r="X141" s="32"/>
      <c r="Y141" s="421"/>
      <c r="Z141" s="422"/>
      <c r="AA141" s="421"/>
      <c r="AB141" s="421"/>
    </row>
    <row r="142" spans="1:28" ht="12.75" hidden="1" outlineLevel="1" x14ac:dyDescent="0.2">
      <c r="B142" s="423" t="str">
        <f t="shared" si="34"/>
        <v>1962 - 1963</v>
      </c>
      <c r="C142" s="108">
        <v>13.842364532019706</v>
      </c>
      <c r="D142" s="109">
        <v>13.891625615763548</v>
      </c>
      <c r="E142" s="109">
        <v>13.891625615763548</v>
      </c>
      <c r="F142" s="110">
        <v>13.940886699507391</v>
      </c>
      <c r="G142" s="144">
        <f t="shared" si="35"/>
        <v>0</v>
      </c>
      <c r="H142" s="111">
        <f t="shared" si="35"/>
        <v>7.1428571428571175E-3</v>
      </c>
      <c r="I142" s="111">
        <f t="shared" si="35"/>
        <v>7.1428571428571175E-3</v>
      </c>
      <c r="J142" s="145">
        <f t="shared" si="35"/>
        <v>1.0714285714285898E-2</v>
      </c>
      <c r="K142" s="116">
        <f t="shared" si="37"/>
        <v>0</v>
      </c>
      <c r="L142" s="116">
        <f t="shared" si="38"/>
        <v>0</v>
      </c>
      <c r="M142" s="116">
        <f t="shared" si="39"/>
        <v>1.7809439002673955E-3</v>
      </c>
      <c r="N142" s="114">
        <f t="shared" si="36"/>
        <v>6.2444246208741561E-3</v>
      </c>
      <c r="Q142" s="421"/>
      <c r="R142" s="421"/>
      <c r="S142" s="421"/>
      <c r="T142" s="421"/>
      <c r="U142" s="32"/>
      <c r="V142" s="32"/>
      <c r="W142" s="32"/>
      <c r="X142" s="32"/>
      <c r="Y142" s="421"/>
      <c r="Z142" s="422"/>
      <c r="AA142" s="421"/>
      <c r="AB142" s="421"/>
    </row>
    <row r="143" spans="1:28" ht="12.75" hidden="1" outlineLevel="1" x14ac:dyDescent="0.2">
      <c r="B143" s="423" t="str">
        <f t="shared" si="34"/>
        <v>1963 - 1964</v>
      </c>
      <c r="C143" s="108">
        <v>13.940886699507391</v>
      </c>
      <c r="D143" s="109">
        <v>13.940886699507391</v>
      </c>
      <c r="E143" s="109">
        <v>14.039408866995075</v>
      </c>
      <c r="F143" s="110">
        <v>14.187192118226603</v>
      </c>
      <c r="G143" s="144">
        <f t="shared" si="35"/>
        <v>7.1174377224199059E-3</v>
      </c>
      <c r="H143" s="111">
        <f t="shared" si="35"/>
        <v>3.5460992907803135E-3</v>
      </c>
      <c r="I143" s="111">
        <f t="shared" si="35"/>
        <v>1.0638297872340496E-2</v>
      </c>
      <c r="J143" s="145">
        <f t="shared" si="35"/>
        <v>1.7667844522968101E-2</v>
      </c>
      <c r="K143" s="116">
        <f t="shared" si="37"/>
        <v>8.0285459411240101E-3</v>
      </c>
      <c r="L143" s="116">
        <f t="shared" si="38"/>
        <v>7.1237756010686937E-3</v>
      </c>
      <c r="M143" s="116">
        <f t="shared" si="39"/>
        <v>8.0000000000000071E-3</v>
      </c>
      <c r="N143" s="114">
        <f t="shared" si="36"/>
        <v>9.7517730496454735E-3</v>
      </c>
      <c r="Q143" s="421"/>
      <c r="R143" s="421"/>
      <c r="S143" s="421"/>
      <c r="T143" s="421"/>
      <c r="U143" s="32"/>
      <c r="V143" s="32"/>
      <c r="W143" s="32"/>
      <c r="X143" s="32"/>
      <c r="Y143" s="421"/>
      <c r="Z143" s="422"/>
      <c r="AA143" s="421"/>
      <c r="AB143" s="421"/>
    </row>
    <row r="144" spans="1:28" ht="12.75" hidden="1" outlineLevel="1" x14ac:dyDescent="0.2">
      <c r="B144" s="423" t="str">
        <f t="shared" si="34"/>
        <v>1964 - 1965</v>
      </c>
      <c r="C144" s="108">
        <v>14.33497536945813</v>
      </c>
      <c r="D144" s="109">
        <v>14.482758620689657</v>
      </c>
      <c r="E144" s="109">
        <v>14.532019704433498</v>
      </c>
      <c r="F144" s="110">
        <v>14.679802955665027</v>
      </c>
      <c r="G144" s="144">
        <f t="shared" si="35"/>
        <v>2.8268551236749095E-2</v>
      </c>
      <c r="H144" s="111">
        <f t="shared" si="35"/>
        <v>3.8869257950529867E-2</v>
      </c>
      <c r="I144" s="111">
        <f t="shared" si="35"/>
        <v>3.5087719298245501E-2</v>
      </c>
      <c r="J144" s="145">
        <f t="shared" si="35"/>
        <v>3.4722222222222099E-2</v>
      </c>
      <c r="K144" s="116">
        <f t="shared" si="37"/>
        <v>1.5044247787610487E-2</v>
      </c>
      <c r="L144" s="116">
        <f t="shared" si="38"/>
        <v>2.3872679045092937E-2</v>
      </c>
      <c r="M144" s="116">
        <f t="shared" si="39"/>
        <v>2.9982363315696592E-2</v>
      </c>
      <c r="N144" s="114">
        <f t="shared" si="36"/>
        <v>3.4240561896400123E-2</v>
      </c>
      <c r="Q144" s="421"/>
      <c r="R144" s="421"/>
      <c r="S144" s="421"/>
      <c r="T144" s="421"/>
      <c r="U144" s="32"/>
      <c r="V144" s="32"/>
      <c r="W144" s="32"/>
      <c r="X144" s="32"/>
      <c r="Y144" s="421"/>
      <c r="Z144" s="422"/>
      <c r="AA144" s="421"/>
      <c r="AB144" s="421"/>
    </row>
    <row r="145" spans="2:28" ht="12.75" hidden="1" outlineLevel="1" x14ac:dyDescent="0.2">
      <c r="B145" s="423" t="str">
        <f t="shared" si="34"/>
        <v>1965 - 1966</v>
      </c>
      <c r="C145" s="108">
        <v>14.827586206896553</v>
      </c>
      <c r="D145" s="109">
        <v>15.024630541871923</v>
      </c>
      <c r="E145" s="109">
        <v>15.024630541871923</v>
      </c>
      <c r="F145" s="110">
        <v>15.073891625615765</v>
      </c>
      <c r="G145" s="144">
        <f t="shared" si="35"/>
        <v>3.4364261168384758E-2</v>
      </c>
      <c r="H145" s="111">
        <f t="shared" si="35"/>
        <v>3.741496598639471E-2</v>
      </c>
      <c r="I145" s="111">
        <f t="shared" si="35"/>
        <v>3.3898305084745894E-2</v>
      </c>
      <c r="J145" s="145">
        <f t="shared" si="35"/>
        <v>2.6845637583892579E-2</v>
      </c>
      <c r="K145" s="116">
        <f t="shared" si="37"/>
        <v>3.574542284219695E-2</v>
      </c>
      <c r="L145" s="116">
        <f t="shared" si="38"/>
        <v>3.5405872193436938E-2</v>
      </c>
      <c r="M145" s="116">
        <f t="shared" si="39"/>
        <v>3.510273972602751E-2</v>
      </c>
      <c r="N145" s="114">
        <f t="shared" si="36"/>
        <v>3.3106960950764153E-2</v>
      </c>
      <c r="Q145" s="421"/>
      <c r="R145" s="421"/>
      <c r="S145" s="421"/>
      <c r="T145" s="421"/>
      <c r="U145" s="32"/>
      <c r="V145" s="32"/>
      <c r="W145" s="32"/>
      <c r="X145" s="32"/>
      <c r="Y145" s="421"/>
      <c r="Z145" s="422"/>
      <c r="AA145" s="421"/>
      <c r="AB145" s="421"/>
    </row>
    <row r="146" spans="2:28" ht="12.75" hidden="1" outlineLevel="1" x14ac:dyDescent="0.2">
      <c r="B146" s="423" t="str">
        <f t="shared" si="34"/>
        <v>1966 - 1967</v>
      </c>
      <c r="C146" s="108">
        <v>15.17241379310345</v>
      </c>
      <c r="D146" s="109">
        <v>15.320197044334977</v>
      </c>
      <c r="E146" s="109">
        <v>15.369458128078819</v>
      </c>
      <c r="F146" s="110">
        <v>15.517241379310347</v>
      </c>
      <c r="G146" s="144">
        <f t="shared" si="35"/>
        <v>2.3255813953488413E-2</v>
      </c>
      <c r="H146" s="111">
        <f t="shared" si="35"/>
        <v>1.9672131147540961E-2</v>
      </c>
      <c r="I146" s="111">
        <f t="shared" si="35"/>
        <v>2.2950819672131084E-2</v>
      </c>
      <c r="J146" s="145">
        <f t="shared" si="35"/>
        <v>2.941176470588247E-2</v>
      </c>
      <c r="K146" s="116">
        <f t="shared" si="37"/>
        <v>3.0303030303030498E-2</v>
      </c>
      <c r="L146" s="116">
        <f t="shared" si="38"/>
        <v>2.5854879065888126E-2</v>
      </c>
      <c r="M146" s="116">
        <f t="shared" si="39"/>
        <v>2.3159636062861866E-2</v>
      </c>
      <c r="N146" s="114">
        <f t="shared" si="36"/>
        <v>2.3829087921117598E-2</v>
      </c>
      <c r="Q146" s="421"/>
      <c r="R146" s="421"/>
      <c r="S146" s="421"/>
      <c r="T146" s="421"/>
      <c r="U146" s="32"/>
      <c r="V146" s="32"/>
      <c r="W146" s="32"/>
      <c r="X146" s="32"/>
      <c r="Y146" s="421"/>
      <c r="Z146" s="422"/>
      <c r="AA146" s="421"/>
      <c r="AB146" s="421"/>
    </row>
    <row r="147" spans="2:28" ht="12.75" hidden="1" outlineLevel="1" x14ac:dyDescent="0.2">
      <c r="B147" s="423" t="str">
        <f t="shared" si="34"/>
        <v>1967 - 1968</v>
      </c>
      <c r="C147" s="108">
        <v>15.714285714285715</v>
      </c>
      <c r="D147" s="109">
        <v>15.8128078817734</v>
      </c>
      <c r="E147" s="109">
        <v>15.862068965517244</v>
      </c>
      <c r="F147" s="110">
        <v>15.960591133004927</v>
      </c>
      <c r="G147" s="144">
        <f t="shared" si="35"/>
        <v>3.5714285714285587E-2</v>
      </c>
      <c r="H147" s="111">
        <f t="shared" si="35"/>
        <v>3.2154340836012762E-2</v>
      </c>
      <c r="I147" s="111">
        <f t="shared" si="35"/>
        <v>3.2051282051282159E-2</v>
      </c>
      <c r="J147" s="145">
        <f t="shared" si="35"/>
        <v>2.857142857142847E-2</v>
      </c>
      <c r="K147" s="116">
        <f t="shared" si="37"/>
        <v>2.6960784313725394E-2</v>
      </c>
      <c r="L147" s="116">
        <f t="shared" si="38"/>
        <v>3.0081300813008083E-2</v>
      </c>
      <c r="M147" s="116">
        <f t="shared" si="39"/>
        <v>3.2336297493936961E-2</v>
      </c>
      <c r="N147" s="114">
        <f t="shared" si="36"/>
        <v>3.2102728731942198E-2</v>
      </c>
      <c r="Q147" s="421"/>
      <c r="R147" s="421"/>
      <c r="S147" s="421"/>
      <c r="T147" s="421"/>
      <c r="U147" s="32"/>
      <c r="V147" s="32"/>
      <c r="W147" s="32"/>
      <c r="X147" s="32"/>
      <c r="Y147" s="421"/>
      <c r="Z147" s="422"/>
      <c r="AA147" s="421"/>
      <c r="AB147" s="421"/>
    </row>
    <row r="148" spans="2:28" ht="12.75" hidden="1" outlineLevel="1" x14ac:dyDescent="0.2">
      <c r="B148" s="423" t="str">
        <f t="shared" si="34"/>
        <v>1968 - 1969</v>
      </c>
      <c r="C148" s="108">
        <v>16.009852216748769</v>
      </c>
      <c r="D148" s="109">
        <v>16.256157635467982</v>
      </c>
      <c r="E148" s="109">
        <v>16.403940886699509</v>
      </c>
      <c r="F148" s="110">
        <v>16.502463054187192</v>
      </c>
      <c r="G148" s="144">
        <f t="shared" si="35"/>
        <v>1.8808777429466961E-2</v>
      </c>
      <c r="H148" s="111">
        <f t="shared" si="35"/>
        <v>2.8037383177570208E-2</v>
      </c>
      <c r="I148" s="111">
        <f t="shared" si="35"/>
        <v>3.4161490683229712E-2</v>
      </c>
      <c r="J148" s="145">
        <f t="shared" si="35"/>
        <v>3.3950617283950546E-2</v>
      </c>
      <c r="K148" s="116">
        <f t="shared" si="37"/>
        <v>2.7844073190135266E-2</v>
      </c>
      <c r="L148" s="116">
        <f t="shared" si="38"/>
        <v>2.6835043409629167E-2</v>
      </c>
      <c r="M148" s="116">
        <f t="shared" si="39"/>
        <v>2.7407987470634332E-2</v>
      </c>
      <c r="N148" s="114">
        <f t="shared" si="36"/>
        <v>2.8771384136858424E-2</v>
      </c>
      <c r="Q148" s="421"/>
      <c r="R148" s="421"/>
      <c r="S148" s="421"/>
      <c r="T148" s="421"/>
      <c r="U148" s="32"/>
      <c r="V148" s="32"/>
      <c r="W148" s="32"/>
      <c r="X148" s="32"/>
      <c r="Y148" s="421"/>
      <c r="Z148" s="422"/>
      <c r="AA148" s="421"/>
      <c r="AB148" s="421"/>
    </row>
    <row r="149" spans="2:28" ht="12.75" hidden="1" outlineLevel="1" x14ac:dyDescent="0.2">
      <c r="B149" s="423" t="str">
        <f t="shared" si="34"/>
        <v>1969 - 1970</v>
      </c>
      <c r="C149" s="108">
        <v>16.650246305418719</v>
      </c>
      <c r="D149" s="109">
        <v>16.847290640394093</v>
      </c>
      <c r="E149" s="109">
        <v>17.093596059113302</v>
      </c>
      <c r="F149" s="110">
        <v>17.339901477832516</v>
      </c>
      <c r="G149" s="144">
        <f t="shared" si="35"/>
        <v>4.0000000000000036E-2</v>
      </c>
      <c r="H149" s="111">
        <f t="shared" si="35"/>
        <v>3.6363636363636376E-2</v>
      </c>
      <c r="I149" s="111">
        <f t="shared" si="35"/>
        <v>4.2042042042041983E-2</v>
      </c>
      <c r="J149" s="145">
        <f t="shared" si="35"/>
        <v>5.0746268656716609E-2</v>
      </c>
      <c r="K149" s="116">
        <f t="shared" si="37"/>
        <v>3.4055727554179294E-2</v>
      </c>
      <c r="L149" s="116">
        <f t="shared" si="38"/>
        <v>3.6126056879323576E-2</v>
      </c>
      <c r="M149" s="116">
        <f t="shared" si="39"/>
        <v>3.8109756097560954E-2</v>
      </c>
      <c r="N149" s="114">
        <f t="shared" si="36"/>
        <v>4.2328042328042326E-2</v>
      </c>
      <c r="Q149" s="421"/>
      <c r="R149" s="421"/>
      <c r="S149" s="421"/>
      <c r="T149" s="421"/>
      <c r="U149" s="32"/>
      <c r="V149" s="32"/>
      <c r="W149" s="32"/>
      <c r="X149" s="32"/>
      <c r="Y149" s="421"/>
      <c r="Z149" s="422"/>
      <c r="AA149" s="421"/>
      <c r="AB149" s="421"/>
    </row>
    <row r="150" spans="2:28" ht="12.75" hidden="1" outlineLevel="1" x14ac:dyDescent="0.2">
      <c r="B150" s="423" t="str">
        <f t="shared" si="34"/>
        <v>1970 - 1971</v>
      </c>
      <c r="C150" s="108">
        <v>17.487684729064043</v>
      </c>
      <c r="D150" s="109">
        <v>17.832512315270939</v>
      </c>
      <c r="E150" s="109">
        <v>18.02955665024631</v>
      </c>
      <c r="F150" s="110">
        <v>18.374384236453203</v>
      </c>
      <c r="G150" s="144">
        <f t="shared" si="35"/>
        <v>5.0295857988165826E-2</v>
      </c>
      <c r="H150" s="111">
        <f t="shared" si="35"/>
        <v>5.8479532163742576E-2</v>
      </c>
      <c r="I150" s="111">
        <f t="shared" si="35"/>
        <v>5.4755043227665778E-2</v>
      </c>
      <c r="J150" s="145">
        <f t="shared" si="35"/>
        <v>5.9659090909090828E-2</v>
      </c>
      <c r="K150" s="116">
        <f t="shared" si="37"/>
        <v>4.4910179640718972E-2</v>
      </c>
      <c r="L150" s="116">
        <f t="shared" si="38"/>
        <v>5.0445103857566842E-2</v>
      </c>
      <c r="M150" s="116">
        <f t="shared" si="39"/>
        <v>5.3597650513950157E-2</v>
      </c>
      <c r="N150" s="114">
        <f t="shared" si="36"/>
        <v>5.5837563451776706E-2</v>
      </c>
      <c r="Q150" s="421"/>
      <c r="R150" s="421"/>
      <c r="S150" s="421"/>
      <c r="T150" s="421"/>
      <c r="U150" s="32"/>
      <c r="V150" s="32"/>
      <c r="W150" s="32"/>
      <c r="X150" s="32"/>
      <c r="Y150" s="421"/>
      <c r="Z150" s="422"/>
      <c r="AA150" s="421"/>
      <c r="AB150" s="421"/>
    </row>
    <row r="151" spans="2:28" ht="12.75" hidden="1" outlineLevel="1" x14ac:dyDescent="0.2">
      <c r="B151" s="423" t="str">
        <f t="shared" si="34"/>
        <v>1971 - 1972</v>
      </c>
      <c r="C151" s="108">
        <v>18.91625615763547</v>
      </c>
      <c r="D151" s="109">
        <v>19.35960591133005</v>
      </c>
      <c r="E151" s="109">
        <v>19.556650246305423</v>
      </c>
      <c r="F151" s="110">
        <v>19.75369458128079</v>
      </c>
      <c r="G151" s="144">
        <f t="shared" si="35"/>
        <v>8.1690140845070314E-2</v>
      </c>
      <c r="H151" s="111">
        <f t="shared" si="35"/>
        <v>8.5635359116021936E-2</v>
      </c>
      <c r="I151" s="111">
        <f t="shared" si="35"/>
        <v>8.4699453551912551E-2</v>
      </c>
      <c r="J151" s="145">
        <f t="shared" si="35"/>
        <v>7.5067024128686377E-2</v>
      </c>
      <c r="K151" s="116">
        <f t="shared" si="37"/>
        <v>6.3753581661891046E-2</v>
      </c>
      <c r="L151" s="116">
        <f t="shared" si="38"/>
        <v>7.0621468926553632E-2</v>
      </c>
      <c r="M151" s="116">
        <f t="shared" si="39"/>
        <v>7.8048780487804947E-2</v>
      </c>
      <c r="N151" s="114">
        <f t="shared" si="36"/>
        <v>8.1730769230769162E-2</v>
      </c>
      <c r="Q151" s="421"/>
      <c r="R151" s="421"/>
      <c r="S151" s="421"/>
      <c r="T151" s="421"/>
      <c r="U151" s="32"/>
      <c r="V151" s="32"/>
      <c r="W151" s="32"/>
      <c r="X151" s="32"/>
      <c r="Y151" s="421"/>
      <c r="Z151" s="422"/>
      <c r="AA151" s="421"/>
      <c r="AB151" s="421"/>
    </row>
    <row r="152" spans="2:28" ht="12.75" hidden="1" outlineLevel="1" x14ac:dyDescent="0.2">
      <c r="B152" s="423" t="str">
        <f t="shared" si="34"/>
        <v>1972 - 1973</v>
      </c>
      <c r="C152" s="108">
        <v>20</v>
      </c>
      <c r="D152" s="109">
        <v>20.246305418719214</v>
      </c>
      <c r="E152" s="109">
        <v>20.689655172413794</v>
      </c>
      <c r="F152" s="110">
        <v>21.330049261083744</v>
      </c>
      <c r="G152" s="144">
        <f t="shared" si="35"/>
        <v>5.7291666666666519E-2</v>
      </c>
      <c r="H152" s="111">
        <f t="shared" si="35"/>
        <v>4.5801526717557328E-2</v>
      </c>
      <c r="I152" s="111">
        <f t="shared" si="35"/>
        <v>5.7934508816120722E-2</v>
      </c>
      <c r="J152" s="145">
        <f t="shared" si="35"/>
        <v>7.9800498753117122E-2</v>
      </c>
      <c r="K152" s="116">
        <f t="shared" si="37"/>
        <v>7.5420875420875388E-2</v>
      </c>
      <c r="L152" s="116">
        <f t="shared" si="38"/>
        <v>6.5303430079155511E-2</v>
      </c>
      <c r="M152" s="116">
        <f t="shared" si="39"/>
        <v>5.8823529411764719E-2</v>
      </c>
      <c r="N152" s="114">
        <f t="shared" si="36"/>
        <v>6.0317460317460103E-2</v>
      </c>
      <c r="Q152" s="421"/>
      <c r="R152" s="421"/>
      <c r="S152" s="421"/>
      <c r="T152" s="421"/>
      <c r="U152" s="32"/>
      <c r="V152" s="32"/>
      <c r="W152" s="32"/>
      <c r="X152" s="32"/>
      <c r="Y152" s="421"/>
      <c r="Z152" s="422"/>
      <c r="AA152" s="421"/>
      <c r="AB152" s="421"/>
    </row>
    <row r="153" spans="2:28" ht="12.75" hidden="1" outlineLevel="1" x14ac:dyDescent="0.2">
      <c r="B153" s="423" t="str">
        <f t="shared" si="34"/>
        <v>1973 - 1974</v>
      </c>
      <c r="C153" s="108">
        <v>22.118226600985224</v>
      </c>
      <c r="D153" s="109">
        <v>22.955665024630544</v>
      </c>
      <c r="E153" s="109">
        <v>23.448275862068968</v>
      </c>
      <c r="F153" s="110">
        <v>24.384236453201972</v>
      </c>
      <c r="G153" s="144">
        <f t="shared" si="35"/>
        <v>0.10591133004926112</v>
      </c>
      <c r="H153" s="111">
        <f t="shared" si="35"/>
        <v>0.13381995133819946</v>
      </c>
      <c r="I153" s="111">
        <f t="shared" si="35"/>
        <v>0.13333333333333353</v>
      </c>
      <c r="J153" s="145">
        <f t="shared" si="35"/>
        <v>0.14318706697459582</v>
      </c>
      <c r="K153" s="116">
        <f t="shared" si="37"/>
        <v>7.2636192861615489E-2</v>
      </c>
      <c r="L153" s="116">
        <f t="shared" si="38"/>
        <v>9.473684210526323E-2</v>
      </c>
      <c r="M153" s="116">
        <f t="shared" si="39"/>
        <v>0.11355311355311359</v>
      </c>
      <c r="N153" s="114">
        <f t="shared" si="36"/>
        <v>0.12934131736526955</v>
      </c>
      <c r="Q153" s="421"/>
      <c r="R153" s="421"/>
      <c r="S153" s="421"/>
      <c r="T153" s="421"/>
      <c r="U153" s="32"/>
      <c r="V153" s="32"/>
      <c r="W153" s="32"/>
      <c r="X153" s="32"/>
      <c r="Y153" s="421"/>
      <c r="Z153" s="422"/>
      <c r="AA153" s="421"/>
      <c r="AB153" s="421"/>
    </row>
    <row r="154" spans="2:28" ht="12.75" hidden="1" outlineLevel="1" x14ac:dyDescent="0.2">
      <c r="B154" s="423" t="str">
        <f t="shared" si="34"/>
        <v>1974 - 1975</v>
      </c>
      <c r="C154" s="108">
        <v>25.665024630541875</v>
      </c>
      <c r="D154" s="109">
        <v>26.551724137931036</v>
      </c>
      <c r="E154" s="109">
        <v>27.438423645320203</v>
      </c>
      <c r="F154" s="110">
        <v>28.47290640394089</v>
      </c>
      <c r="G154" s="144">
        <f t="shared" si="35"/>
        <v>0.16035634743875282</v>
      </c>
      <c r="H154" s="111">
        <f t="shared" si="35"/>
        <v>0.1566523605150214</v>
      </c>
      <c r="I154" s="111">
        <f t="shared" si="35"/>
        <v>0.17016806722689082</v>
      </c>
      <c r="J154" s="145">
        <f t="shared" si="35"/>
        <v>0.16767676767676765</v>
      </c>
      <c r="K154" s="116">
        <f t="shared" si="37"/>
        <v>0.14302393461763008</v>
      </c>
      <c r="L154" s="116">
        <f t="shared" si="38"/>
        <v>0.14875565610859742</v>
      </c>
      <c r="M154" s="116">
        <f t="shared" si="39"/>
        <v>0.15789473684210509</v>
      </c>
      <c r="N154" s="114">
        <f t="shared" si="36"/>
        <v>0.16383881230116648</v>
      </c>
      <c r="Q154" s="421"/>
      <c r="R154" s="421"/>
      <c r="S154" s="421"/>
      <c r="T154" s="421"/>
      <c r="U154" s="32"/>
      <c r="V154" s="32"/>
      <c r="W154" s="32"/>
      <c r="X154" s="32"/>
      <c r="Y154" s="421"/>
      <c r="Z154" s="422"/>
      <c r="AA154" s="421"/>
      <c r="AB154" s="421"/>
    </row>
    <row r="155" spans="2:28" ht="12.75" hidden="1" outlineLevel="1" x14ac:dyDescent="0.2">
      <c r="B155" s="423" t="str">
        <f t="shared" si="34"/>
        <v>1975 - 1976</v>
      </c>
      <c r="C155" s="108">
        <v>28.916256157635473</v>
      </c>
      <c r="D155" s="109">
        <v>30.246305418719214</v>
      </c>
      <c r="E155" s="109">
        <v>31.182266009852217</v>
      </c>
      <c r="F155" s="110">
        <v>31.871921182266014</v>
      </c>
      <c r="G155" s="144">
        <f t="shared" si="35"/>
        <v>0.12667946257197693</v>
      </c>
      <c r="H155" s="111">
        <f t="shared" si="35"/>
        <v>0.13914656771799638</v>
      </c>
      <c r="I155" s="111">
        <f t="shared" si="35"/>
        <v>0.13644524236983813</v>
      </c>
      <c r="J155" s="145">
        <f t="shared" si="35"/>
        <v>0.11937716262975773</v>
      </c>
      <c r="K155" s="116">
        <f t="shared" si="37"/>
        <v>0.15474974463738489</v>
      </c>
      <c r="L155" s="116">
        <f t="shared" si="38"/>
        <v>0.1501723289020187</v>
      </c>
      <c r="M155" s="116">
        <f t="shared" si="39"/>
        <v>0.14204545454545459</v>
      </c>
      <c r="N155" s="114">
        <f t="shared" si="36"/>
        <v>0.13029612756264219</v>
      </c>
      <c r="Q155" s="421"/>
      <c r="R155" s="421"/>
      <c r="S155" s="421"/>
      <c r="T155" s="421"/>
      <c r="U155" s="32"/>
      <c r="V155" s="32"/>
      <c r="W155" s="32"/>
      <c r="X155" s="32"/>
      <c r="Y155" s="421"/>
      <c r="Z155" s="422"/>
      <c r="AA155" s="421"/>
      <c r="AB155" s="421"/>
    </row>
    <row r="156" spans="2:28" ht="12.75" hidden="1" outlineLevel="1" x14ac:dyDescent="0.2">
      <c r="B156" s="423" t="str">
        <f t="shared" si="34"/>
        <v>1976 - 1977</v>
      </c>
      <c r="C156" s="108">
        <v>32.413793103448278</v>
      </c>
      <c r="D156" s="109">
        <v>34.187192118226605</v>
      </c>
      <c r="E156" s="109">
        <v>34.926108374384242</v>
      </c>
      <c r="F156" s="110">
        <v>35.665024630541879</v>
      </c>
      <c r="G156" s="144">
        <f t="shared" si="35"/>
        <v>0.12095400340715479</v>
      </c>
      <c r="H156" s="111">
        <f t="shared" si="35"/>
        <v>0.13029315960912058</v>
      </c>
      <c r="I156" s="111">
        <f t="shared" si="35"/>
        <v>0.1200631911532386</v>
      </c>
      <c r="J156" s="145">
        <f t="shared" si="35"/>
        <v>0.1190108191653787</v>
      </c>
      <c r="K156" s="116">
        <f t="shared" si="37"/>
        <v>0.12870411322423703</v>
      </c>
      <c r="L156" s="116">
        <f t="shared" si="38"/>
        <v>0.12671232876712302</v>
      </c>
      <c r="M156" s="116">
        <f t="shared" si="39"/>
        <v>0.12271973466003305</v>
      </c>
      <c r="N156" s="114">
        <f t="shared" si="36"/>
        <v>0.12253123740427263</v>
      </c>
      <c r="Q156" s="421"/>
      <c r="R156" s="421"/>
      <c r="S156" s="421"/>
      <c r="T156" s="421"/>
      <c r="U156" s="32"/>
      <c r="V156" s="32"/>
      <c r="W156" s="32"/>
      <c r="X156" s="32"/>
      <c r="Y156" s="421"/>
      <c r="Z156" s="422"/>
      <c r="AA156" s="421"/>
      <c r="AB156" s="421"/>
    </row>
    <row r="157" spans="2:28" ht="12.75" hidden="1" outlineLevel="1" x14ac:dyDescent="0.2">
      <c r="B157" s="423" t="str">
        <f t="shared" si="34"/>
        <v>1977 - 1978</v>
      </c>
      <c r="C157" s="108">
        <v>36.256157635467979</v>
      </c>
      <c r="D157" s="109">
        <v>37.142857142857146</v>
      </c>
      <c r="E157" s="109">
        <v>37.635467980295573</v>
      </c>
      <c r="F157" s="110">
        <v>38.37438423645321</v>
      </c>
      <c r="G157" s="144">
        <f t="shared" si="35"/>
        <v>0.11854103343465039</v>
      </c>
      <c r="H157" s="111">
        <f t="shared" si="35"/>
        <v>8.6455331412103709E-2</v>
      </c>
      <c r="I157" s="111">
        <f t="shared" si="35"/>
        <v>7.757404795486611E-2</v>
      </c>
      <c r="J157" s="145">
        <f t="shared" si="35"/>
        <v>7.5966850828729227E-2</v>
      </c>
      <c r="K157" s="116">
        <f t="shared" si="37"/>
        <v>0.12186520376175558</v>
      </c>
      <c r="L157" s="116">
        <f t="shared" si="38"/>
        <v>0.11056231003039518</v>
      </c>
      <c r="M157" s="116">
        <f t="shared" si="39"/>
        <v>9.9704579025110984E-2</v>
      </c>
      <c r="N157" s="114">
        <f t="shared" si="36"/>
        <v>8.9048473967684005E-2</v>
      </c>
      <c r="Q157" s="421"/>
      <c r="R157" s="421"/>
      <c r="S157" s="421"/>
      <c r="T157" s="421"/>
      <c r="U157" s="32"/>
      <c r="V157" s="32"/>
      <c r="W157" s="32"/>
      <c r="X157" s="32"/>
      <c r="Y157" s="421"/>
      <c r="Z157" s="422"/>
      <c r="AA157" s="421"/>
      <c r="AB157" s="421"/>
    </row>
    <row r="158" spans="2:28" ht="12.75" hidden="1" outlineLevel="1" x14ac:dyDescent="0.2">
      <c r="B158" s="423" t="str">
        <f t="shared" si="34"/>
        <v>1978 - 1979</v>
      </c>
      <c r="C158" s="108">
        <v>39.162561576354683</v>
      </c>
      <c r="D158" s="109">
        <v>40.14778325123153</v>
      </c>
      <c r="E158" s="109">
        <v>40.935960591133004</v>
      </c>
      <c r="F158" s="110">
        <v>42.118226600985224</v>
      </c>
      <c r="G158" s="144">
        <f t="shared" si="35"/>
        <v>8.0163043478260976E-2</v>
      </c>
      <c r="H158" s="111">
        <f t="shared" si="35"/>
        <v>8.0901856763925695E-2</v>
      </c>
      <c r="I158" s="111">
        <f t="shared" si="35"/>
        <v>8.7696335078533805E-2</v>
      </c>
      <c r="J158" s="145">
        <f t="shared" si="35"/>
        <v>9.7560975609755962E-2</v>
      </c>
      <c r="K158" s="116">
        <f t="shared" si="37"/>
        <v>7.9986028641285456E-2</v>
      </c>
      <c r="L158" s="116">
        <f t="shared" si="38"/>
        <v>7.8686281217926979E-2</v>
      </c>
      <c r="M158" s="116">
        <f t="shared" si="39"/>
        <v>8.12625923438548E-2</v>
      </c>
      <c r="N158" s="114">
        <f t="shared" si="36"/>
        <v>8.6712825585229192E-2</v>
      </c>
      <c r="Q158" s="421"/>
      <c r="R158" s="421"/>
      <c r="S158" s="421"/>
      <c r="T158" s="421"/>
      <c r="U158" s="32"/>
      <c r="V158" s="32"/>
      <c r="W158" s="32"/>
      <c r="X158" s="32"/>
      <c r="Y158" s="421"/>
      <c r="Z158" s="422"/>
      <c r="AA158" s="421"/>
      <c r="AB158" s="421"/>
    </row>
    <row r="159" spans="2:28" ht="12.75" hidden="1" outlineLevel="1" x14ac:dyDescent="0.2">
      <c r="B159" s="423" t="str">
        <f t="shared" si="34"/>
        <v>1979 - 1980</v>
      </c>
      <c r="C159" s="108">
        <v>43.054187192118235</v>
      </c>
      <c r="D159" s="109">
        <v>44.285714285714292</v>
      </c>
      <c r="E159" s="109">
        <v>45.467980295566505</v>
      </c>
      <c r="F159" s="110">
        <v>46.748768472906413</v>
      </c>
      <c r="G159" s="144">
        <f t="shared" si="35"/>
        <v>9.9371069182390137E-2</v>
      </c>
      <c r="H159" s="111">
        <f t="shared" si="35"/>
        <v>0.10306748466257676</v>
      </c>
      <c r="I159" s="111">
        <f t="shared" si="35"/>
        <v>0.11070998796630582</v>
      </c>
      <c r="J159" s="145">
        <f t="shared" si="35"/>
        <v>0.10994152046783645</v>
      </c>
      <c r="K159" s="116">
        <f t="shared" si="37"/>
        <v>9.152652005174633E-2</v>
      </c>
      <c r="L159" s="116">
        <f t="shared" si="38"/>
        <v>9.7050428163653502E-2</v>
      </c>
      <c r="M159" s="116">
        <f t="shared" si="39"/>
        <v>0.10279503105590049</v>
      </c>
      <c r="N159" s="114">
        <f t="shared" si="36"/>
        <v>0.10588592233009719</v>
      </c>
      <c r="Q159" s="421"/>
      <c r="R159" s="421"/>
      <c r="S159" s="421"/>
      <c r="T159" s="421"/>
      <c r="U159" s="32"/>
      <c r="V159" s="32"/>
      <c r="W159" s="32"/>
      <c r="X159" s="32"/>
      <c r="Y159" s="421"/>
      <c r="Z159" s="422"/>
      <c r="AA159" s="421"/>
      <c r="AB159" s="421"/>
    </row>
    <row r="160" spans="2:28" ht="12.75" hidden="1" outlineLevel="1" x14ac:dyDescent="0.2">
      <c r="B160" s="423" t="str">
        <f t="shared" si="34"/>
        <v>1980 - 1981</v>
      </c>
      <c r="C160" s="108">
        <v>47.586206896551722</v>
      </c>
      <c r="D160" s="109">
        <v>48.62068965517242</v>
      </c>
      <c r="E160" s="109">
        <v>49.90147783251232</v>
      </c>
      <c r="F160" s="110">
        <v>50.886699507389167</v>
      </c>
      <c r="G160" s="144">
        <f t="shared" si="35"/>
        <v>0.1052631578947365</v>
      </c>
      <c r="H160" s="111">
        <f t="shared" si="35"/>
        <v>9.7886540600667482E-2</v>
      </c>
      <c r="I160" s="111">
        <f t="shared" si="35"/>
        <v>9.7508125677139734E-2</v>
      </c>
      <c r="J160" s="145">
        <f t="shared" si="35"/>
        <v>8.8514225500526678E-2</v>
      </c>
      <c r="K160" s="116">
        <f t="shared" si="37"/>
        <v>0.10725925925925939</v>
      </c>
      <c r="L160" s="116">
        <f t="shared" si="38"/>
        <v>0.10581092801387681</v>
      </c>
      <c r="M160" s="116">
        <f t="shared" si="39"/>
        <v>0.10250633624331185</v>
      </c>
      <c r="N160" s="114">
        <f t="shared" si="36"/>
        <v>9.7119341563785877E-2</v>
      </c>
      <c r="Q160" s="421"/>
      <c r="R160" s="421"/>
      <c r="S160" s="421"/>
      <c r="T160" s="421"/>
      <c r="U160" s="32"/>
      <c r="V160" s="32"/>
      <c r="W160" s="32"/>
      <c r="X160" s="32"/>
      <c r="Y160" s="421"/>
      <c r="Z160" s="422"/>
      <c r="AA160" s="421"/>
      <c r="AB160" s="421"/>
    </row>
    <row r="161" spans="2:28" ht="12.75" hidden="1" outlineLevel="1" x14ac:dyDescent="0.2">
      <c r="B161" s="423" t="str">
        <f t="shared" si="34"/>
        <v>1981 - 1982</v>
      </c>
      <c r="C161" s="108">
        <v>51.773399014778327</v>
      </c>
      <c r="D161" s="109">
        <v>53.891625615763552</v>
      </c>
      <c r="E161" s="109">
        <v>54.926108374384242</v>
      </c>
      <c r="F161" s="110">
        <v>56.453201970443352</v>
      </c>
      <c r="G161" s="144">
        <f t="shared" si="35"/>
        <v>8.7991718426501109E-2</v>
      </c>
      <c r="H161" s="111">
        <f t="shared" si="35"/>
        <v>0.10840932117527857</v>
      </c>
      <c r="I161" s="111">
        <f t="shared" si="35"/>
        <v>0.10069101678183623</v>
      </c>
      <c r="J161" s="145">
        <f t="shared" si="35"/>
        <v>0.10939012584704733</v>
      </c>
      <c r="K161" s="116">
        <f t="shared" si="37"/>
        <v>9.2855231469092914E-2</v>
      </c>
      <c r="L161" s="116">
        <f t="shared" si="38"/>
        <v>9.5686274509803937E-2</v>
      </c>
      <c r="M161" s="116">
        <f t="shared" si="39"/>
        <v>9.6551724137930783E-2</v>
      </c>
      <c r="N161" s="114">
        <f t="shared" si="36"/>
        <v>0.10177544386096526</v>
      </c>
      <c r="Q161" s="421"/>
      <c r="R161" s="421"/>
      <c r="S161" s="421"/>
      <c r="T161" s="421"/>
      <c r="U161" s="32"/>
      <c r="V161" s="32"/>
      <c r="W161" s="32"/>
      <c r="X161" s="32"/>
      <c r="Y161" s="421"/>
      <c r="Z161" s="422"/>
      <c r="AA161" s="421"/>
      <c r="AB161" s="421"/>
    </row>
    <row r="162" spans="2:28" ht="12.75" hidden="1" outlineLevel="1" x14ac:dyDescent="0.2">
      <c r="B162" s="423" t="str">
        <f t="shared" si="34"/>
        <v>1982 - 1983</v>
      </c>
      <c r="C162" s="108">
        <v>58.472906403940897</v>
      </c>
      <c r="D162" s="109">
        <v>60.29556650246306</v>
      </c>
      <c r="E162" s="109">
        <v>61.625615763546804</v>
      </c>
      <c r="F162" s="110">
        <v>62.758620689655181</v>
      </c>
      <c r="G162" s="144">
        <f t="shared" si="35"/>
        <v>0.12940057088487178</v>
      </c>
      <c r="H162" s="111">
        <f t="shared" si="35"/>
        <v>0.11882998171846437</v>
      </c>
      <c r="I162" s="111">
        <f t="shared" si="35"/>
        <v>0.12197309417040358</v>
      </c>
      <c r="J162" s="145">
        <f t="shared" si="35"/>
        <v>0.11169284467713791</v>
      </c>
      <c r="K162" s="116">
        <f t="shared" si="37"/>
        <v>0.11214495592556317</v>
      </c>
      <c r="L162" s="116">
        <f t="shared" si="38"/>
        <v>0.11476974469100432</v>
      </c>
      <c r="M162" s="116">
        <f t="shared" si="39"/>
        <v>0.11996273002562319</v>
      </c>
      <c r="N162" s="114">
        <f t="shared" si="36"/>
        <v>0.12029051293690407</v>
      </c>
      <c r="Q162" s="421"/>
      <c r="R162" s="421"/>
      <c r="S162" s="421"/>
      <c r="T162" s="421"/>
      <c r="U162" s="32"/>
      <c r="V162" s="32"/>
      <c r="W162" s="32"/>
      <c r="X162" s="32"/>
      <c r="Y162" s="421"/>
      <c r="Z162" s="422"/>
      <c r="AA162" s="421"/>
      <c r="AB162" s="421"/>
    </row>
    <row r="163" spans="2:28" ht="12.75" hidden="1" outlineLevel="1" x14ac:dyDescent="0.2">
      <c r="B163" s="423" t="str">
        <f t="shared" si="34"/>
        <v>1983 - 1984</v>
      </c>
      <c r="C163" s="108">
        <v>63.645320197044335</v>
      </c>
      <c r="D163" s="109">
        <v>64.926108374384242</v>
      </c>
      <c r="E163" s="109">
        <v>64.630541871921181</v>
      </c>
      <c r="F163" s="110">
        <v>64.630541871921181</v>
      </c>
      <c r="G163" s="144">
        <f t="shared" si="35"/>
        <v>8.8458298230833732E-2</v>
      </c>
      <c r="H163" s="111">
        <f t="shared" si="35"/>
        <v>7.6797385620914982E-2</v>
      </c>
      <c r="I163" s="111">
        <f t="shared" si="35"/>
        <v>4.8760991207034143E-2</v>
      </c>
      <c r="J163" s="145">
        <f t="shared" si="35"/>
        <v>2.9827315541601118E-2</v>
      </c>
      <c r="K163" s="116">
        <f t="shared" si="37"/>
        <v>0.10986349625715541</v>
      </c>
      <c r="L163" s="116">
        <f t="shared" si="38"/>
        <v>9.9101027397260344E-2</v>
      </c>
      <c r="M163" s="116">
        <f t="shared" si="39"/>
        <v>8.0698835274542358E-2</v>
      </c>
      <c r="N163" s="114">
        <f t="shared" si="36"/>
        <v>6.0372771474878517E-2</v>
      </c>
      <c r="Q163" s="421"/>
      <c r="R163" s="421"/>
      <c r="S163" s="421"/>
      <c r="T163" s="421"/>
      <c r="U163" s="32"/>
      <c r="V163" s="32"/>
      <c r="W163" s="32"/>
      <c r="X163" s="32"/>
      <c r="Y163" s="421"/>
      <c r="Z163" s="422"/>
      <c r="AA163" s="421"/>
      <c r="AB163" s="421"/>
    </row>
    <row r="164" spans="2:28" ht="12.75" hidden="1" outlineLevel="1" x14ac:dyDescent="0.2">
      <c r="B164" s="423" t="str">
        <f t="shared" si="34"/>
        <v>1984 - 1985</v>
      </c>
      <c r="C164" s="108">
        <v>65.418719211822676</v>
      </c>
      <c r="D164" s="109">
        <v>66.354679802955673</v>
      </c>
      <c r="E164" s="109">
        <v>67.38916256157637</v>
      </c>
      <c r="F164" s="110">
        <v>68.817733990147786</v>
      </c>
      <c r="G164" s="144">
        <f t="shared" si="35"/>
        <v>2.7863777089783603E-2</v>
      </c>
      <c r="H164" s="111">
        <f t="shared" si="35"/>
        <v>2.2003034901365792E-2</v>
      </c>
      <c r="I164" s="111">
        <f t="shared" si="35"/>
        <v>4.2682926829268553E-2</v>
      </c>
      <c r="J164" s="145">
        <f t="shared" si="35"/>
        <v>6.4786585365853799E-2</v>
      </c>
      <c r="K164" s="116">
        <f t="shared" si="37"/>
        <v>4.5427494544733271E-2</v>
      </c>
      <c r="L164" s="116">
        <f t="shared" si="38"/>
        <v>3.1937682570593928E-2</v>
      </c>
      <c r="M164" s="116">
        <f t="shared" si="39"/>
        <v>3.0600461893764752E-2</v>
      </c>
      <c r="N164" s="114">
        <f t="shared" si="36"/>
        <v>3.9358043561329881E-2</v>
      </c>
      <c r="Q164" s="421"/>
      <c r="R164" s="421"/>
      <c r="S164" s="421"/>
      <c r="T164" s="421"/>
      <c r="U164" s="32"/>
      <c r="V164" s="32"/>
      <c r="W164" s="32"/>
      <c r="X164" s="32"/>
      <c r="Y164" s="421"/>
      <c r="Z164" s="422"/>
      <c r="AA164" s="421"/>
      <c r="AB164" s="421"/>
    </row>
    <row r="165" spans="2:28" ht="12.75" hidden="1" outlineLevel="1" x14ac:dyDescent="0.2">
      <c r="B165" s="423" t="str">
        <f t="shared" si="34"/>
        <v>1985 - 1986</v>
      </c>
      <c r="C165" s="108">
        <v>70.29556650246306</v>
      </c>
      <c r="D165" s="109">
        <v>71.871921182266021</v>
      </c>
      <c r="E165" s="109">
        <v>73.596059113300498</v>
      </c>
      <c r="F165" s="110">
        <v>74.876847290640399</v>
      </c>
      <c r="G165" s="144">
        <f t="shared" si="35"/>
        <v>7.4548192771084265E-2</v>
      </c>
      <c r="H165" s="111">
        <f t="shared" si="35"/>
        <v>8.3147735708982928E-2</v>
      </c>
      <c r="I165" s="111">
        <f t="shared" si="35"/>
        <v>9.2105263157894468E-2</v>
      </c>
      <c r="J165" s="145">
        <f t="shared" si="35"/>
        <v>8.8045812455261219E-2</v>
      </c>
      <c r="K165" s="116">
        <f t="shared" si="37"/>
        <v>5.1043643263757099E-2</v>
      </c>
      <c r="L165" s="116">
        <f t="shared" si="38"/>
        <v>6.6427627854312332E-2</v>
      </c>
      <c r="M165" s="116">
        <f t="shared" si="39"/>
        <v>7.8804855275443231E-2</v>
      </c>
      <c r="N165" s="114">
        <f t="shared" si="36"/>
        <v>8.4558823529411686E-2</v>
      </c>
      <c r="Q165" s="421"/>
      <c r="R165" s="421"/>
      <c r="S165" s="421"/>
      <c r="T165" s="421"/>
      <c r="U165" s="32"/>
      <c r="V165" s="32"/>
      <c r="W165" s="32"/>
      <c r="X165" s="32"/>
      <c r="Y165" s="421"/>
      <c r="Z165" s="422"/>
      <c r="AA165" s="421"/>
      <c r="AB165" s="421"/>
    </row>
    <row r="166" spans="2:28" ht="12.75" hidden="1" outlineLevel="1" x14ac:dyDescent="0.2">
      <c r="B166" s="423" t="str">
        <f t="shared" si="34"/>
        <v>1986 - 1987</v>
      </c>
      <c r="C166" s="108">
        <v>76.74876847290642</v>
      </c>
      <c r="D166" s="109">
        <v>78.86699507389163</v>
      </c>
      <c r="E166" s="109">
        <v>80.541871921182278</v>
      </c>
      <c r="F166" s="110">
        <v>81.822660098522178</v>
      </c>
      <c r="G166" s="144">
        <f t="shared" si="35"/>
        <v>9.1800981079187327E-2</v>
      </c>
      <c r="H166" s="111">
        <f t="shared" si="35"/>
        <v>9.7326936257710717E-2</v>
      </c>
      <c r="I166" s="111">
        <f t="shared" si="35"/>
        <v>9.4377510040160706E-2</v>
      </c>
      <c r="J166" s="145">
        <f t="shared" si="35"/>
        <v>9.2763157894736992E-2</v>
      </c>
      <c r="K166" s="116">
        <f t="shared" si="37"/>
        <v>8.8824697598844482E-2</v>
      </c>
      <c r="L166" s="116">
        <f t="shared" si="38"/>
        <v>9.2373031321890009E-2</v>
      </c>
      <c r="M166" s="116">
        <f t="shared" si="39"/>
        <v>9.2954820841267161E-2</v>
      </c>
      <c r="N166" s="114">
        <f t="shared" si="36"/>
        <v>9.4067796610169729E-2</v>
      </c>
      <c r="Q166" s="421"/>
      <c r="R166" s="421"/>
      <c r="S166" s="421"/>
      <c r="T166" s="421"/>
      <c r="U166" s="32"/>
      <c r="V166" s="32"/>
      <c r="W166" s="32"/>
      <c r="X166" s="32"/>
      <c r="Y166" s="421"/>
      <c r="Z166" s="422"/>
      <c r="AA166" s="421"/>
      <c r="AB166" s="421"/>
    </row>
    <row r="167" spans="2:28" ht="12.75" hidden="1" outlineLevel="1" x14ac:dyDescent="0.2">
      <c r="B167" s="423" t="str">
        <f t="shared" si="34"/>
        <v>1987 - 1988</v>
      </c>
      <c r="C167" s="108">
        <v>83.251231527093609</v>
      </c>
      <c r="D167" s="109">
        <v>84.630541871921196</v>
      </c>
      <c r="E167" s="109">
        <v>86.502463054187203</v>
      </c>
      <c r="F167" s="110">
        <v>87.832512315270947</v>
      </c>
      <c r="G167" s="144">
        <f t="shared" si="35"/>
        <v>8.4724005134788172E-2</v>
      </c>
      <c r="H167" s="111">
        <f t="shared" si="35"/>
        <v>7.3079325421611552E-2</v>
      </c>
      <c r="I167" s="111">
        <f t="shared" si="35"/>
        <v>7.4006116207951056E-2</v>
      </c>
      <c r="J167" s="145">
        <f t="shared" si="35"/>
        <v>7.3449729078868042E-2</v>
      </c>
      <c r="K167" s="116">
        <f t="shared" si="37"/>
        <v>9.2190349859061271E-2</v>
      </c>
      <c r="L167" s="116">
        <f t="shared" si="38"/>
        <v>8.6019763486149259E-2</v>
      </c>
      <c r="M167" s="116">
        <f t="shared" si="39"/>
        <v>8.0931263858093017E-2</v>
      </c>
      <c r="N167" s="114">
        <f t="shared" si="36"/>
        <v>7.6219984508133054E-2</v>
      </c>
      <c r="Q167" s="421"/>
      <c r="R167" s="421"/>
      <c r="S167" s="421"/>
      <c r="T167" s="421"/>
      <c r="U167" s="32"/>
      <c r="V167" s="32"/>
      <c r="W167" s="32"/>
      <c r="X167" s="32"/>
      <c r="Y167" s="421"/>
      <c r="Z167" s="422"/>
      <c r="AA167" s="421"/>
      <c r="AB167" s="421"/>
    </row>
    <row r="168" spans="2:28" ht="12.75" hidden="1" outlineLevel="1" x14ac:dyDescent="0.2">
      <c r="B168" s="423" t="str">
        <f t="shared" si="34"/>
        <v>1988 - 1989</v>
      </c>
      <c r="C168" s="108">
        <v>90.098522167487701</v>
      </c>
      <c r="D168" s="109">
        <v>92.413793103448285</v>
      </c>
      <c r="E168" s="109">
        <v>92.512315270935972</v>
      </c>
      <c r="F168" s="110">
        <v>94.827586206896555</v>
      </c>
      <c r="G168" s="144">
        <f t="shared" si="35"/>
        <v>8.224852071005917E-2</v>
      </c>
      <c r="H168" s="111">
        <f t="shared" si="35"/>
        <v>9.1967403958090665E-2</v>
      </c>
      <c r="I168" s="111">
        <f t="shared" si="35"/>
        <v>6.9476082004555906E-2</v>
      </c>
      <c r="J168" s="145">
        <f t="shared" si="35"/>
        <v>7.964105440269198E-2</v>
      </c>
      <c r="K168" s="116">
        <f t="shared" si="37"/>
        <v>7.5755275542735978E-2</v>
      </c>
      <c r="L168" s="116">
        <f t="shared" si="38"/>
        <v>8.0548926014319733E-2</v>
      </c>
      <c r="M168" s="116">
        <f t="shared" si="39"/>
        <v>7.9267399267399119E-2</v>
      </c>
      <c r="N168" s="114">
        <f t="shared" si="36"/>
        <v>8.0754282424067902E-2</v>
      </c>
      <c r="Q168" s="421"/>
      <c r="R168" s="421"/>
      <c r="S168" s="421"/>
      <c r="T168" s="421"/>
      <c r="U168" s="32"/>
      <c r="V168" s="32"/>
      <c r="W168" s="32"/>
      <c r="X168" s="32"/>
      <c r="Y168" s="421"/>
      <c r="Z168" s="422"/>
      <c r="AA168" s="421"/>
      <c r="AB168" s="421"/>
    </row>
    <row r="169" spans="2:28" ht="12.75" hidden="1" outlineLevel="1" x14ac:dyDescent="0.2">
      <c r="B169" s="423" t="str">
        <f t="shared" si="34"/>
        <v>1989 - 1990</v>
      </c>
      <c r="C169" s="108">
        <v>97.438423645320213</v>
      </c>
      <c r="D169" s="109">
        <v>99.211822660098534</v>
      </c>
      <c r="E169" s="109">
        <v>100.93596059113301</v>
      </c>
      <c r="F169" s="110">
        <v>102.46305418719213</v>
      </c>
      <c r="G169" s="144">
        <f t="shared" si="35"/>
        <v>8.1465281574630843E-2</v>
      </c>
      <c r="H169" s="111">
        <f t="shared" si="35"/>
        <v>7.356076759061847E-2</v>
      </c>
      <c r="I169" s="111">
        <f t="shared" si="35"/>
        <v>9.1054313099041551E-2</v>
      </c>
      <c r="J169" s="145">
        <f t="shared" si="35"/>
        <v>8.0519480519480657E-2</v>
      </c>
      <c r="K169" s="116">
        <f t="shared" si="37"/>
        <v>8.0581428168218894E-2</v>
      </c>
      <c r="L169" s="116">
        <f t="shared" si="38"/>
        <v>7.6062948647156237E-2</v>
      </c>
      <c r="M169" s="116">
        <f t="shared" si="39"/>
        <v>8.1455335324463807E-2</v>
      </c>
      <c r="N169" s="114">
        <f t="shared" si="36"/>
        <v>8.1646244006393198E-2</v>
      </c>
      <c r="Q169" s="421"/>
      <c r="R169" s="421"/>
      <c r="S169" s="421"/>
      <c r="T169" s="421"/>
      <c r="U169" s="32"/>
      <c r="V169" s="32"/>
      <c r="W169" s="32"/>
      <c r="X169" s="32"/>
      <c r="Y169" s="421"/>
      <c r="Z169" s="422"/>
      <c r="AA169" s="421"/>
      <c r="AB169" s="421"/>
    </row>
    <row r="170" spans="2:28" ht="12.75" hidden="1" outlineLevel="1" x14ac:dyDescent="0.2">
      <c r="B170" s="423" t="str">
        <f t="shared" si="34"/>
        <v>1990 - 1991</v>
      </c>
      <c r="C170" s="108">
        <v>103.05418719211823</v>
      </c>
      <c r="D170" s="109">
        <v>105.51724137931035</v>
      </c>
      <c r="E170" s="109">
        <v>105.71428571428572</v>
      </c>
      <c r="F170" s="110">
        <v>105.36945812807883</v>
      </c>
      <c r="G170" s="144">
        <f t="shared" si="35"/>
        <v>5.7633973710818909E-2</v>
      </c>
      <c r="H170" s="111">
        <f t="shared" si="35"/>
        <v>6.3555114200595675E-2</v>
      </c>
      <c r="I170" s="111">
        <f t="shared" si="35"/>
        <v>4.7340165934602219E-2</v>
      </c>
      <c r="J170" s="145">
        <f t="shared" si="35"/>
        <v>2.8365384615384626E-2</v>
      </c>
      <c r="K170" s="116">
        <f t="shared" si="37"/>
        <v>7.5486482956771628E-2</v>
      </c>
      <c r="L170" s="116">
        <f t="shared" si="38"/>
        <v>7.286722257857603E-2</v>
      </c>
      <c r="M170" s="116">
        <f t="shared" si="39"/>
        <v>6.2013557619884585E-2</v>
      </c>
      <c r="N170" s="114">
        <f t="shared" si="36"/>
        <v>4.9008742765669133E-2</v>
      </c>
      <c r="Q170" s="421"/>
      <c r="R170" s="421"/>
      <c r="S170" s="421"/>
      <c r="T170" s="421"/>
      <c r="U170" s="32"/>
      <c r="V170" s="32"/>
      <c r="W170" s="32"/>
      <c r="X170" s="32"/>
      <c r="Y170" s="421"/>
      <c r="Z170" s="422"/>
      <c r="AA170" s="421"/>
      <c r="AB170" s="421"/>
    </row>
    <row r="171" spans="2:28" ht="12.75" hidden="1" outlineLevel="1" x14ac:dyDescent="0.2">
      <c r="B171" s="423" t="str">
        <f t="shared" si="34"/>
        <v>1991 - 1992</v>
      </c>
      <c r="C171" s="108">
        <v>105.96059113300494</v>
      </c>
      <c r="D171" s="109">
        <v>107.14285714285715</v>
      </c>
      <c r="E171" s="109">
        <v>107</v>
      </c>
      <c r="F171" s="110">
        <v>106.5</v>
      </c>
      <c r="G171" s="144">
        <f t="shared" si="35"/>
        <v>2.8202676864244713E-2</v>
      </c>
      <c r="H171" s="111">
        <f t="shared" si="35"/>
        <v>1.5406162464986162E-2</v>
      </c>
      <c r="I171" s="111">
        <f t="shared" si="35"/>
        <v>1.2162162162162149E-2</v>
      </c>
      <c r="J171" s="145">
        <f t="shared" si="35"/>
        <v>1.0729312762973287E-2</v>
      </c>
      <c r="K171" s="116">
        <f t="shared" si="37"/>
        <v>4.1651487553127087E-2</v>
      </c>
      <c r="L171" s="116">
        <f t="shared" si="38"/>
        <v>2.9654430228386985E-2</v>
      </c>
      <c r="M171" s="116">
        <f t="shared" si="39"/>
        <v>2.0933806146572032E-2</v>
      </c>
      <c r="N171" s="114">
        <f t="shared" si="36"/>
        <v>1.6557107641741897E-2</v>
      </c>
      <c r="Q171" s="421"/>
      <c r="R171" s="421"/>
      <c r="S171" s="421"/>
      <c r="T171" s="421"/>
      <c r="U171" s="32"/>
      <c r="V171" s="32"/>
      <c r="W171" s="32"/>
      <c r="X171" s="32"/>
      <c r="Y171" s="421"/>
      <c r="Z171" s="422"/>
      <c r="AA171" s="421"/>
      <c r="AB171" s="421"/>
    </row>
    <row r="172" spans="2:28" ht="12.75" hidden="1" outlineLevel="1" x14ac:dyDescent="0.2">
      <c r="B172" s="423" t="str">
        <f t="shared" si="34"/>
        <v>1992 - 1993</v>
      </c>
      <c r="C172" s="108">
        <v>106.9</v>
      </c>
      <c r="D172" s="109">
        <v>107.4</v>
      </c>
      <c r="E172" s="109">
        <v>108.2</v>
      </c>
      <c r="F172" s="110">
        <v>108.4</v>
      </c>
      <c r="G172" s="144">
        <f t="shared" ref="G172:J191" si="40">C172/C171-1</f>
        <v>8.8656438865644116E-3</v>
      </c>
      <c r="H172" s="111">
        <f t="shared" si="40"/>
        <v>2.3999999999999577E-3</v>
      </c>
      <c r="I172" s="111">
        <f t="shared" si="40"/>
        <v>1.1214953271028172E-2</v>
      </c>
      <c r="J172" s="145">
        <f t="shared" si="40"/>
        <v>1.7840375586854584E-2</v>
      </c>
      <c r="K172" s="116">
        <f t="shared" si="37"/>
        <v>1.1788295640009272E-2</v>
      </c>
      <c r="L172" s="116">
        <f t="shared" si="38"/>
        <v>8.5170131227498835E-3</v>
      </c>
      <c r="M172" s="116">
        <f t="shared" si="39"/>
        <v>8.2898194996006147E-3</v>
      </c>
      <c r="N172" s="114">
        <f t="shared" ref="N172:N191" si="41">SUM(C172:F172)/SUM(C171:F171) -1</f>
        <v>1.0071535383744834E-2</v>
      </c>
      <c r="Q172" s="421"/>
      <c r="R172" s="421"/>
      <c r="S172" s="421"/>
      <c r="T172" s="421"/>
      <c r="U172" s="32"/>
      <c r="V172" s="32"/>
      <c r="W172" s="32"/>
      <c r="X172" s="32"/>
      <c r="Y172" s="421"/>
      <c r="Z172" s="422"/>
      <c r="AA172" s="421"/>
      <c r="AB172" s="421"/>
    </row>
    <row r="173" spans="2:28" ht="12.75" hidden="1" outlineLevel="1" x14ac:dyDescent="0.2">
      <c r="B173" s="423" t="str">
        <f t="shared" si="34"/>
        <v>1993 - 1994</v>
      </c>
      <c r="C173" s="108">
        <v>108.7</v>
      </c>
      <c r="D173" s="109">
        <v>108.8</v>
      </c>
      <c r="E173" s="109">
        <v>109.1</v>
      </c>
      <c r="F173" s="110">
        <v>110</v>
      </c>
      <c r="G173" s="144">
        <f t="shared" si="40"/>
        <v>1.6838166510757757E-2</v>
      </c>
      <c r="H173" s="111">
        <f t="shared" si="40"/>
        <v>1.3035381750465369E-2</v>
      </c>
      <c r="I173" s="111">
        <f t="shared" si="40"/>
        <v>8.3179297597042456E-3</v>
      </c>
      <c r="J173" s="145">
        <f t="shared" si="40"/>
        <v>1.4760147601476037E-2</v>
      </c>
      <c r="K173" s="116">
        <f t="shared" si="37"/>
        <v>1.2062282812082215E-2</v>
      </c>
      <c r="L173" s="116">
        <f t="shared" si="38"/>
        <v>1.4726507713884951E-2</v>
      </c>
      <c r="M173" s="116">
        <f t="shared" si="39"/>
        <v>1.3986013986013957E-2</v>
      </c>
      <c r="N173" s="114">
        <f t="shared" si="41"/>
        <v>1.3228127175678894E-2</v>
      </c>
      <c r="Q173" s="421"/>
      <c r="R173" s="421"/>
      <c r="S173" s="421"/>
      <c r="T173" s="421"/>
      <c r="U173" s="32"/>
      <c r="V173" s="32"/>
      <c r="W173" s="32"/>
      <c r="X173" s="32"/>
      <c r="Y173" s="421"/>
      <c r="Z173" s="422"/>
      <c r="AA173" s="421"/>
      <c r="AB173" s="421"/>
    </row>
    <row r="174" spans="2:28" ht="12.75" hidden="1" outlineLevel="1" x14ac:dyDescent="0.2">
      <c r="B174" s="423" t="str">
        <f t="shared" si="34"/>
        <v>1994 - 1995</v>
      </c>
      <c r="C174" s="108">
        <v>111</v>
      </c>
      <c r="D174" s="109">
        <v>111.8</v>
      </c>
      <c r="E174" s="109">
        <v>113.7</v>
      </c>
      <c r="F174" s="110">
        <v>115.4</v>
      </c>
      <c r="G174" s="144">
        <f t="shared" si="40"/>
        <v>2.1159153633854677E-2</v>
      </c>
      <c r="H174" s="111">
        <f t="shared" si="40"/>
        <v>2.7573529411764719E-2</v>
      </c>
      <c r="I174" s="111">
        <f t="shared" si="40"/>
        <v>4.2163153070577497E-2</v>
      </c>
      <c r="J174" s="145">
        <f t="shared" si="40"/>
        <v>4.9090909090909074E-2</v>
      </c>
      <c r="K174" s="116">
        <f t="shared" si="37"/>
        <v>1.4328634157614983E-2</v>
      </c>
      <c r="L174" s="116">
        <f t="shared" si="38"/>
        <v>1.7968210089840841E-2</v>
      </c>
      <c r="M174" s="116">
        <f t="shared" si="39"/>
        <v>2.6436781609195492E-2</v>
      </c>
      <c r="N174" s="114">
        <f t="shared" si="41"/>
        <v>3.5043518094365345E-2</v>
      </c>
      <c r="Q174" s="421"/>
      <c r="R174" s="421"/>
      <c r="S174" s="421"/>
      <c r="T174" s="421"/>
      <c r="U174" s="32"/>
      <c r="V174" s="32"/>
      <c r="W174" s="32"/>
      <c r="X174" s="32"/>
      <c r="Y174" s="421"/>
      <c r="Z174" s="422"/>
      <c r="AA174" s="421"/>
      <c r="AB174" s="421"/>
    </row>
    <row r="175" spans="2:28" ht="12.75" hidden="1" outlineLevel="1" x14ac:dyDescent="0.2">
      <c r="B175" s="423" t="str">
        <f t="shared" si="34"/>
        <v>1995 - 1996</v>
      </c>
      <c r="C175" s="108">
        <v>117.3</v>
      </c>
      <c r="D175" s="109">
        <v>118.3</v>
      </c>
      <c r="E175" s="109">
        <v>119.1</v>
      </c>
      <c r="F175" s="110">
        <v>119.9</v>
      </c>
      <c r="G175" s="144">
        <f t="shared" si="40"/>
        <v>5.6756756756756621E-2</v>
      </c>
      <c r="H175" s="111">
        <f t="shared" si="40"/>
        <v>5.8139534883721034E-2</v>
      </c>
      <c r="I175" s="111">
        <f t="shared" si="40"/>
        <v>4.7493403693931402E-2</v>
      </c>
      <c r="J175" s="145">
        <f t="shared" si="40"/>
        <v>3.8994800693240794E-2</v>
      </c>
      <c r="K175" s="116">
        <f t="shared" si="37"/>
        <v>4.3973570289359776E-2</v>
      </c>
      <c r="L175" s="116">
        <f t="shared" si="38"/>
        <v>5.1595383570943731E-2</v>
      </c>
      <c r="M175" s="116">
        <f t="shared" si="39"/>
        <v>5.2855543113101922E-2</v>
      </c>
      <c r="N175" s="114">
        <f t="shared" si="41"/>
        <v>5.0232352290329851E-2</v>
      </c>
      <c r="Q175" s="421"/>
      <c r="R175" s="421"/>
      <c r="S175" s="421"/>
      <c r="T175" s="421"/>
      <c r="U175" s="32"/>
      <c r="V175" s="32"/>
      <c r="W175" s="32"/>
      <c r="X175" s="32"/>
      <c r="Y175" s="421"/>
      <c r="Z175" s="422"/>
      <c r="AA175" s="421"/>
      <c r="AB175" s="421"/>
    </row>
    <row r="176" spans="2:28" ht="12.75" hidden="1" outlineLevel="1" x14ac:dyDescent="0.2">
      <c r="B176" s="423" t="str">
        <f t="shared" si="34"/>
        <v>1996 - 1997</v>
      </c>
      <c r="C176" s="108">
        <v>120.2</v>
      </c>
      <c r="D176" s="109">
        <v>120.4</v>
      </c>
      <c r="E176" s="109">
        <v>120.6</v>
      </c>
      <c r="F176" s="110">
        <v>120.2</v>
      </c>
      <c r="G176" s="144">
        <f t="shared" si="40"/>
        <v>2.4722932651321416E-2</v>
      </c>
      <c r="H176" s="111">
        <f t="shared" si="40"/>
        <v>1.7751479289940919E-2</v>
      </c>
      <c r="I176" s="111">
        <f t="shared" si="40"/>
        <v>1.2594458438287104E-2</v>
      </c>
      <c r="J176" s="145">
        <f t="shared" si="40"/>
        <v>2.5020850708923348E-3</v>
      </c>
      <c r="K176" s="116">
        <f t="shared" si="37"/>
        <v>4.2121344391095494E-2</v>
      </c>
      <c r="L176" s="116">
        <f t="shared" si="38"/>
        <v>3.2063697008822833E-2</v>
      </c>
      <c r="M176" s="116">
        <f t="shared" si="39"/>
        <v>2.3399276749627829E-2</v>
      </c>
      <c r="N176" s="114">
        <f t="shared" si="41"/>
        <v>1.4327855035819681E-2</v>
      </c>
      <c r="Q176" s="421"/>
      <c r="R176" s="421"/>
      <c r="S176" s="421"/>
      <c r="T176" s="421"/>
      <c r="U176" s="32"/>
      <c r="V176" s="32"/>
      <c r="W176" s="32"/>
      <c r="X176" s="32"/>
      <c r="Y176" s="421"/>
      <c r="Z176" s="422"/>
      <c r="AA176" s="421"/>
      <c r="AB176" s="421"/>
    </row>
    <row r="177" spans="2:28" ht="12.75" hidden="1" outlineLevel="1" x14ac:dyDescent="0.2">
      <c r="B177" s="423" t="str">
        <f t="shared" si="34"/>
        <v>1997 - 1998</v>
      </c>
      <c r="C177" s="108">
        <v>119.8</v>
      </c>
      <c r="D177" s="109">
        <v>120.1</v>
      </c>
      <c r="E177" s="109">
        <v>120.7</v>
      </c>
      <c r="F177" s="110">
        <v>121.4</v>
      </c>
      <c r="G177" s="144">
        <f t="shared" si="40"/>
        <v>-3.3277870216306127E-3</v>
      </c>
      <c r="H177" s="111">
        <f t="shared" si="40"/>
        <v>-2.491694352159568E-3</v>
      </c>
      <c r="I177" s="111">
        <f t="shared" si="40"/>
        <v>8.2918739635173822E-4</v>
      </c>
      <c r="J177" s="145">
        <f t="shared" si="40"/>
        <v>9.9833610648918381E-3</v>
      </c>
      <c r="K177" s="116">
        <f t="shared" si="37"/>
        <v>7.3298429319372804E-3</v>
      </c>
      <c r="L177" s="116">
        <f t="shared" si="38"/>
        <v>2.2935779816513069E-3</v>
      </c>
      <c r="M177" s="116">
        <f t="shared" si="39"/>
        <v>-6.2357098316367932E-4</v>
      </c>
      <c r="N177" s="114">
        <f t="shared" si="41"/>
        <v>1.2463647694225255E-3</v>
      </c>
      <c r="Q177" s="421"/>
      <c r="R177" s="421"/>
      <c r="S177" s="421"/>
      <c r="T177" s="421"/>
      <c r="U177" s="32"/>
      <c r="V177" s="32"/>
      <c r="W177" s="32"/>
      <c r="X177" s="32"/>
      <c r="Y177" s="421"/>
      <c r="Z177" s="422"/>
      <c r="AA177" s="421"/>
      <c r="AB177" s="421"/>
    </row>
    <row r="178" spans="2:28" ht="12.75" hidden="1" outlineLevel="1" x14ac:dyDescent="0.2">
      <c r="B178" s="423" t="str">
        <f t="shared" si="34"/>
        <v>1998 - 1999</v>
      </c>
      <c r="C178" s="108">
        <v>121.9</v>
      </c>
      <c r="D178" s="109">
        <v>122.4</v>
      </c>
      <c r="E178" s="109">
        <v>122.6</v>
      </c>
      <c r="F178" s="110">
        <v>123</v>
      </c>
      <c r="G178" s="144">
        <f t="shared" si="40"/>
        <v>1.7529215358931705E-2</v>
      </c>
      <c r="H178" s="111">
        <f t="shared" si="40"/>
        <v>1.9150707743547102E-2</v>
      </c>
      <c r="I178" s="111">
        <f t="shared" si="40"/>
        <v>1.5741507870753901E-2</v>
      </c>
      <c r="J178" s="145">
        <f t="shared" si="40"/>
        <v>1.3179571663920919E-2</v>
      </c>
      <c r="K178" s="116">
        <f t="shared" si="37"/>
        <v>6.444906444906584E-3</v>
      </c>
      <c r="L178" s="116">
        <f t="shared" si="38"/>
        <v>1.1857707509881577E-2</v>
      </c>
      <c r="M178" s="116">
        <f t="shared" si="39"/>
        <v>1.5599001663893608E-2</v>
      </c>
      <c r="N178" s="114">
        <f t="shared" si="41"/>
        <v>1.6390041493775875E-2</v>
      </c>
      <c r="Q178" s="421"/>
      <c r="R178" s="421"/>
      <c r="S178" s="421"/>
      <c r="T178" s="421"/>
      <c r="U178" s="32"/>
      <c r="V178" s="32"/>
      <c r="W178" s="32"/>
      <c r="X178" s="32"/>
      <c r="Y178" s="421"/>
      <c r="Z178" s="422"/>
      <c r="AA178" s="421"/>
      <c r="AB178" s="421"/>
    </row>
    <row r="179" spans="2:28" ht="12.75" hidden="1" outlineLevel="1" x14ac:dyDescent="0.2">
      <c r="B179" s="423" t="str">
        <f t="shared" si="34"/>
        <v>1999 - 2000</v>
      </c>
      <c r="C179" s="108">
        <v>124.1</v>
      </c>
      <c r="D179" s="109">
        <v>124.7</v>
      </c>
      <c r="E179" s="109">
        <v>125.8</v>
      </c>
      <c r="F179" s="110">
        <v>127</v>
      </c>
      <c r="G179" s="144">
        <f t="shared" si="40"/>
        <v>1.8047579983593076E-2</v>
      </c>
      <c r="H179" s="111">
        <f t="shared" si="40"/>
        <v>1.8790849673202548E-2</v>
      </c>
      <c r="I179" s="111">
        <f t="shared" si="40"/>
        <v>2.610114192495927E-2</v>
      </c>
      <c r="J179" s="145">
        <f t="shared" si="40"/>
        <v>3.2520325203251987E-2</v>
      </c>
      <c r="K179" s="116">
        <f t="shared" si="37"/>
        <v>1.6525511258004499E-2</v>
      </c>
      <c r="L179" s="116">
        <f t="shared" si="38"/>
        <v>1.6447368421052433E-2</v>
      </c>
      <c r="M179" s="116">
        <f t="shared" si="39"/>
        <v>1.9045668646324065E-2</v>
      </c>
      <c r="N179" s="114">
        <f t="shared" si="41"/>
        <v>2.3882424984690953E-2</v>
      </c>
      <c r="Q179" s="421"/>
      <c r="R179" s="421"/>
      <c r="S179" s="421"/>
      <c r="T179" s="421"/>
      <c r="U179" s="32"/>
      <c r="V179" s="32"/>
      <c r="W179" s="32"/>
      <c r="X179" s="32"/>
      <c r="Y179" s="421"/>
      <c r="Z179" s="422"/>
      <c r="AA179" s="421"/>
      <c r="AB179" s="421"/>
    </row>
    <row r="180" spans="2:28" ht="12.75" hidden="1" outlineLevel="1" x14ac:dyDescent="0.2">
      <c r="B180" s="423" t="str">
        <f t="shared" si="34"/>
        <v>2000 - 2001</v>
      </c>
      <c r="C180" s="108">
        <v>131.6</v>
      </c>
      <c r="D180" s="109">
        <v>132.19999999999999</v>
      </c>
      <c r="E180" s="109">
        <v>134</v>
      </c>
      <c r="F180" s="110">
        <v>135</v>
      </c>
      <c r="G180" s="144">
        <f t="shared" si="40"/>
        <v>6.0435132957292526E-2</v>
      </c>
      <c r="H180" s="111">
        <f t="shared" si="40"/>
        <v>6.0144346431435292E-2</v>
      </c>
      <c r="I180" s="111">
        <f t="shared" si="40"/>
        <v>6.5182829888712268E-2</v>
      </c>
      <c r="J180" s="145">
        <f t="shared" si="40"/>
        <v>6.2992125984252079E-2</v>
      </c>
      <c r="K180" s="116">
        <f t="shared" si="37"/>
        <v>3.4545824019508231E-2</v>
      </c>
      <c r="L180" s="116">
        <f t="shared" si="38"/>
        <v>4.4902912621359148E-2</v>
      </c>
      <c r="M180" s="116">
        <f t="shared" si="39"/>
        <v>5.4662379421221763E-2</v>
      </c>
      <c r="N180" s="114">
        <f t="shared" si="41"/>
        <v>6.2200956937798813E-2</v>
      </c>
      <c r="Q180" s="421"/>
      <c r="R180" s="421"/>
      <c r="S180" s="421"/>
      <c r="T180" s="421"/>
      <c r="U180" s="32"/>
      <c r="V180" s="32"/>
      <c r="W180" s="32"/>
      <c r="X180" s="32"/>
      <c r="Y180" s="421"/>
      <c r="Z180" s="422"/>
      <c r="AA180" s="421"/>
      <c r="AB180" s="421"/>
    </row>
    <row r="181" spans="2:28" ht="12.75" hidden="1" outlineLevel="1" x14ac:dyDescent="0.2">
      <c r="B181" s="423" t="str">
        <f t="shared" si="34"/>
        <v>2001 - 2002</v>
      </c>
      <c r="C181" s="108">
        <v>135.4</v>
      </c>
      <c r="D181" s="109">
        <v>136.6</v>
      </c>
      <c r="E181" s="109">
        <v>137.9</v>
      </c>
      <c r="F181" s="110">
        <v>138.80000000000001</v>
      </c>
      <c r="G181" s="144">
        <f t="shared" si="40"/>
        <v>2.8875379939209855E-2</v>
      </c>
      <c r="H181" s="111">
        <f t="shared" si="40"/>
        <v>3.3282904689863946E-2</v>
      </c>
      <c r="I181" s="111">
        <f t="shared" si="40"/>
        <v>2.9104477611940238E-2</v>
      </c>
      <c r="J181" s="145">
        <f t="shared" si="40"/>
        <v>2.8148148148148255E-2</v>
      </c>
      <c r="K181" s="116">
        <f t="shared" si="37"/>
        <v>5.4016892555490026E-2</v>
      </c>
      <c r="L181" s="116">
        <f t="shared" si="38"/>
        <v>4.7231900890437606E-2</v>
      </c>
      <c r="M181" s="116">
        <f t="shared" si="39"/>
        <v>3.8300304878048808E-2</v>
      </c>
      <c r="N181" s="114">
        <f t="shared" si="41"/>
        <v>2.984234234234262E-2</v>
      </c>
      <c r="Q181" s="421"/>
      <c r="R181" s="421"/>
      <c r="S181" s="421"/>
      <c r="T181" s="421"/>
      <c r="U181" s="32"/>
      <c r="V181" s="32"/>
      <c r="W181" s="32"/>
      <c r="X181" s="32"/>
      <c r="Y181" s="421"/>
      <c r="Z181" s="422"/>
      <c r="AA181" s="421"/>
      <c r="AB181" s="421"/>
    </row>
    <row r="182" spans="2:28" ht="12.75" hidden="1" outlineLevel="1" x14ac:dyDescent="0.2">
      <c r="B182" s="423" t="str">
        <f t="shared" si="34"/>
        <v>2002 - 2003</v>
      </c>
      <c r="C182" s="108">
        <v>139.6</v>
      </c>
      <c r="D182" s="109">
        <v>140.4</v>
      </c>
      <c r="E182" s="109">
        <v>142.1</v>
      </c>
      <c r="F182" s="110">
        <v>142.19999999999999</v>
      </c>
      <c r="G182" s="144">
        <f t="shared" si="40"/>
        <v>3.1019202363367748E-2</v>
      </c>
      <c r="H182" s="111">
        <f t="shared" si="40"/>
        <v>2.7818448023426257E-2</v>
      </c>
      <c r="I182" s="111">
        <f t="shared" si="40"/>
        <v>3.0456852791878042E-2</v>
      </c>
      <c r="J182" s="145">
        <f t="shared" si="40"/>
        <v>2.4495677233429269E-2</v>
      </c>
      <c r="K182" s="116">
        <f t="shared" si="37"/>
        <v>3.0376444278792381E-2</v>
      </c>
      <c r="L182" s="116">
        <f t="shared" si="38"/>
        <v>2.9020332717190511E-2</v>
      </c>
      <c r="M182" s="116">
        <f t="shared" si="39"/>
        <v>2.9363185905670885E-2</v>
      </c>
      <c r="N182" s="114">
        <f t="shared" si="41"/>
        <v>2.843083652268974E-2</v>
      </c>
      <c r="Q182" s="421"/>
      <c r="R182" s="421"/>
      <c r="S182" s="421"/>
      <c r="T182" s="421"/>
      <c r="U182" s="32"/>
      <c r="V182" s="32"/>
      <c r="W182" s="32"/>
      <c r="X182" s="32"/>
      <c r="Y182" s="421"/>
      <c r="Z182" s="422"/>
      <c r="AA182" s="421"/>
      <c r="AB182" s="421"/>
    </row>
    <row r="183" spans="2:28" ht="12.75" hidden="1" outlineLevel="1" x14ac:dyDescent="0.2">
      <c r="B183" s="423" t="str">
        <f t="shared" si="34"/>
        <v>2003 - 2004</v>
      </c>
      <c r="C183" s="108">
        <v>142.4</v>
      </c>
      <c r="D183" s="109">
        <v>143.6</v>
      </c>
      <c r="E183" s="109">
        <v>145</v>
      </c>
      <c r="F183" s="110">
        <v>145.5</v>
      </c>
      <c r="G183" s="144">
        <f t="shared" si="40"/>
        <v>2.0057306590258062E-2</v>
      </c>
      <c r="H183" s="111">
        <f t="shared" si="40"/>
        <v>2.2792022792022637E-2</v>
      </c>
      <c r="I183" s="111">
        <f t="shared" si="40"/>
        <v>2.0408163265306145E-2</v>
      </c>
      <c r="J183" s="145">
        <f t="shared" si="40"/>
        <v>2.320675105485237E-2</v>
      </c>
      <c r="K183" s="116">
        <f t="shared" si="37"/>
        <v>2.5682763610056059E-2</v>
      </c>
      <c r="L183" s="116">
        <f t="shared" si="38"/>
        <v>2.4429674869768103E-2</v>
      </c>
      <c r="M183" s="116">
        <f t="shared" si="39"/>
        <v>2.1929042610090876E-2</v>
      </c>
      <c r="N183" s="114">
        <f t="shared" si="41"/>
        <v>2.1619705830232316E-2</v>
      </c>
      <c r="Q183" s="421"/>
      <c r="R183" s="421"/>
      <c r="S183" s="421"/>
      <c r="T183" s="421"/>
      <c r="U183" s="32"/>
      <c r="V183" s="32"/>
      <c r="W183" s="32"/>
      <c r="X183" s="32"/>
      <c r="Y183" s="421"/>
      <c r="Z183" s="422"/>
      <c r="AA183" s="421"/>
      <c r="AB183" s="421"/>
    </row>
    <row r="184" spans="2:28" ht="12.75" hidden="1" outlineLevel="1" x14ac:dyDescent="0.2">
      <c r="B184" s="423" t="str">
        <f t="shared" si="34"/>
        <v>2004 - 2005</v>
      </c>
      <c r="C184" s="108">
        <v>146.19999999999999</v>
      </c>
      <c r="D184" s="109">
        <v>147.30000000000001</v>
      </c>
      <c r="E184" s="109">
        <v>148.19999999999999</v>
      </c>
      <c r="F184" s="110">
        <v>149</v>
      </c>
      <c r="G184" s="144">
        <f t="shared" si="40"/>
        <v>2.6685393258426782E-2</v>
      </c>
      <c r="H184" s="111">
        <f t="shared" si="40"/>
        <v>2.5766016713091977E-2</v>
      </c>
      <c r="I184" s="111">
        <f t="shared" si="40"/>
        <v>2.2068965517241246E-2</v>
      </c>
      <c r="J184" s="145">
        <f t="shared" si="40"/>
        <v>2.405498281786933E-2</v>
      </c>
      <c r="K184" s="116">
        <f t="shared" si="37"/>
        <v>2.3276318109680671E-2</v>
      </c>
      <c r="L184" s="116">
        <f t="shared" ref="L184:L191" si="42">(SUM(C184:D184)+SUM(E183:F183))/(SUM(C183:D183)+SUM(E182:F182))-1</f>
        <v>2.4022444327546966E-2</v>
      </c>
      <c r="M184" s="116">
        <f t="shared" ref="M184:M191" si="43">(SUM(C184:E184)+F183)/(SUM(C183:E183)+F182)-1</f>
        <v>2.4424284717376121E-2</v>
      </c>
      <c r="N184" s="114">
        <f t="shared" si="41"/>
        <v>2.4631396357328805E-2</v>
      </c>
      <c r="Q184" s="421"/>
      <c r="R184" s="421"/>
      <c r="S184" s="421"/>
      <c r="T184" s="421"/>
      <c r="U184" s="32"/>
      <c r="V184" s="32"/>
      <c r="W184" s="32"/>
      <c r="X184" s="32"/>
      <c r="Y184" s="421"/>
      <c r="Z184" s="422"/>
      <c r="AA184" s="421"/>
      <c r="AB184" s="421"/>
    </row>
    <row r="185" spans="2:28" ht="12.75" hidden="1" outlineLevel="1" x14ac:dyDescent="0.2">
      <c r="B185" s="423" t="str">
        <f t="shared" si="34"/>
        <v>2005 - 2006</v>
      </c>
      <c r="C185" s="108">
        <v>150.5</v>
      </c>
      <c r="D185" s="109">
        <v>151</v>
      </c>
      <c r="E185" s="109">
        <v>152.19999999999999</v>
      </c>
      <c r="F185" s="110">
        <v>154.69999999999999</v>
      </c>
      <c r="G185" s="144">
        <f t="shared" si="40"/>
        <v>2.941176470588247E-2</v>
      </c>
      <c r="H185" s="111">
        <f t="shared" si="40"/>
        <v>2.5118805159538349E-2</v>
      </c>
      <c r="I185" s="111">
        <f t="shared" si="40"/>
        <v>2.6990553306342813E-2</v>
      </c>
      <c r="J185" s="145">
        <f t="shared" si="40"/>
        <v>3.8255033557046847E-2</v>
      </c>
      <c r="K185" s="116">
        <f t="shared" si="37"/>
        <v>2.5331724969843261E-2</v>
      </c>
      <c r="L185" s="116">
        <f t="shared" si="42"/>
        <v>2.5171232876712413E-2</v>
      </c>
      <c r="M185" s="116">
        <f t="shared" si="43"/>
        <v>2.639645776566768E-2</v>
      </c>
      <c r="N185" s="114">
        <f t="shared" si="41"/>
        <v>2.9964448958862189E-2</v>
      </c>
      <c r="Q185" s="421"/>
      <c r="R185" s="421"/>
      <c r="S185" s="421"/>
      <c r="T185" s="421"/>
      <c r="U185" s="32"/>
      <c r="V185" s="32"/>
      <c r="W185" s="32"/>
      <c r="X185" s="32"/>
      <c r="Y185" s="421"/>
      <c r="Z185" s="422"/>
      <c r="AA185" s="421"/>
      <c r="AB185" s="421"/>
    </row>
    <row r="186" spans="2:28" ht="12.75" hidden="1" outlineLevel="1" x14ac:dyDescent="0.2">
      <c r="B186" s="423" t="str">
        <f t="shared" si="34"/>
        <v>2006 - 2007</v>
      </c>
      <c r="C186" s="108">
        <v>156.1</v>
      </c>
      <c r="D186" s="109">
        <v>155.80000000000001</v>
      </c>
      <c r="E186" s="109">
        <v>155.6</v>
      </c>
      <c r="F186" s="110">
        <v>157.4</v>
      </c>
      <c r="G186" s="144">
        <f t="shared" si="40"/>
        <v>3.7209302325581284E-2</v>
      </c>
      <c r="H186" s="111">
        <f t="shared" si="40"/>
        <v>3.1788079470198793E-2</v>
      </c>
      <c r="I186" s="111">
        <f t="shared" si="40"/>
        <v>2.2339027595269512E-2</v>
      </c>
      <c r="J186" s="145">
        <f t="shared" si="40"/>
        <v>1.7453135100194084E-2</v>
      </c>
      <c r="K186" s="116">
        <f t="shared" si="37"/>
        <v>3.1932773109243806E-2</v>
      </c>
      <c r="L186" s="116">
        <f t="shared" si="42"/>
        <v>3.3572740938700329E-2</v>
      </c>
      <c r="M186" s="116">
        <f t="shared" si="43"/>
        <v>3.2354405176704848E-2</v>
      </c>
      <c r="N186" s="114">
        <f t="shared" si="41"/>
        <v>2.7120315581854015E-2</v>
      </c>
      <c r="Q186" s="421"/>
      <c r="R186" s="421"/>
      <c r="S186" s="421"/>
      <c r="T186" s="421"/>
      <c r="U186" s="32"/>
      <c r="V186" s="32"/>
      <c r="W186" s="32"/>
      <c r="X186" s="32"/>
      <c r="Y186" s="421"/>
      <c r="Z186" s="422"/>
      <c r="AA186" s="421"/>
      <c r="AB186" s="421"/>
    </row>
    <row r="187" spans="2:28" ht="12.75" hidden="1" outlineLevel="1" x14ac:dyDescent="0.2">
      <c r="B187" s="423" t="str">
        <f t="shared" si="34"/>
        <v>2007 - 2008</v>
      </c>
      <c r="C187" s="108">
        <v>158.1</v>
      </c>
      <c r="D187" s="109">
        <v>159.5</v>
      </c>
      <c r="E187" s="109">
        <v>161.69999999999999</v>
      </c>
      <c r="F187" s="110">
        <v>164.1</v>
      </c>
      <c r="G187" s="144">
        <f t="shared" si="40"/>
        <v>1.2812299807815508E-2</v>
      </c>
      <c r="H187" s="111">
        <f t="shared" si="40"/>
        <v>2.3748395378690557E-2</v>
      </c>
      <c r="I187" s="111">
        <f t="shared" si="40"/>
        <v>3.92030848329048E-2</v>
      </c>
      <c r="J187" s="145">
        <f t="shared" si="40"/>
        <v>4.2566709021600868E-2</v>
      </c>
      <c r="K187" s="116">
        <f t="shared" si="37"/>
        <v>2.1009771986970627E-2</v>
      </c>
      <c r="L187" s="116">
        <f t="shared" si="42"/>
        <v>1.9069166127989812E-2</v>
      </c>
      <c r="M187" s="116">
        <f t="shared" si="43"/>
        <v>2.3304403728704681E-2</v>
      </c>
      <c r="N187" s="114">
        <f t="shared" si="41"/>
        <v>2.9604736757881334E-2</v>
      </c>
      <c r="Q187" s="421"/>
      <c r="R187" s="421"/>
      <c r="S187" s="421"/>
      <c r="T187" s="421"/>
      <c r="U187" s="32"/>
      <c r="V187" s="32"/>
      <c r="W187" s="32"/>
      <c r="X187" s="32"/>
      <c r="Y187" s="421"/>
      <c r="Z187" s="422"/>
      <c r="AA187" s="421"/>
      <c r="AB187" s="421"/>
    </row>
    <row r="188" spans="2:28" ht="12.75" hidden="1" outlineLevel="1" x14ac:dyDescent="0.2">
      <c r="B188" s="423" t="str">
        <f t="shared" si="34"/>
        <v>2008 - 2009</v>
      </c>
      <c r="C188" s="108">
        <v>165.9</v>
      </c>
      <c r="D188" s="109">
        <v>165.5</v>
      </c>
      <c r="E188" s="109">
        <v>165.6</v>
      </c>
      <c r="F188" s="110">
        <v>166.3</v>
      </c>
      <c r="G188" s="144">
        <f t="shared" si="40"/>
        <v>4.933586337760909E-2</v>
      </c>
      <c r="H188" s="111">
        <f t="shared" si="40"/>
        <v>3.7617554858934144E-2</v>
      </c>
      <c r="I188" s="111">
        <f t="shared" si="40"/>
        <v>2.4118738404452778E-2</v>
      </c>
      <c r="J188" s="145">
        <f t="shared" si="40"/>
        <v>1.3406459475929333E-2</v>
      </c>
      <c r="K188" s="116">
        <f t="shared" si="37"/>
        <v>3.8762163024405716E-2</v>
      </c>
      <c r="L188" s="116">
        <f t="shared" si="42"/>
        <v>4.2182048842372089E-2</v>
      </c>
      <c r="M188" s="116">
        <f t="shared" si="43"/>
        <v>3.8322600910946969E-2</v>
      </c>
      <c r="N188" s="114">
        <f t="shared" si="41"/>
        <v>3.0929437364003665E-2</v>
      </c>
      <c r="Q188" s="421"/>
      <c r="R188" s="421"/>
      <c r="S188" s="421"/>
      <c r="T188" s="421"/>
      <c r="U188" s="32"/>
      <c r="V188" s="32"/>
      <c r="W188" s="32"/>
      <c r="X188" s="32"/>
      <c r="Y188" s="421"/>
      <c r="Z188" s="422"/>
      <c r="AA188" s="421"/>
      <c r="AB188" s="421"/>
    </row>
    <row r="189" spans="2:28" ht="12.75" hidden="1" outlineLevel="1" x14ac:dyDescent="0.2">
      <c r="B189" s="423" t="str">
        <f t="shared" si="34"/>
        <v>2009 - 2010</v>
      </c>
      <c r="C189" s="108">
        <v>168.1</v>
      </c>
      <c r="D189" s="109">
        <v>169.1</v>
      </c>
      <c r="E189" s="109">
        <v>170.5</v>
      </c>
      <c r="F189" s="110">
        <v>171.1</v>
      </c>
      <c r="G189" s="144">
        <f t="shared" si="40"/>
        <v>1.3261000602772688E-2</v>
      </c>
      <c r="H189" s="111">
        <f t="shared" si="40"/>
        <v>2.1752265861027187E-2</v>
      </c>
      <c r="I189" s="111">
        <f t="shared" si="40"/>
        <v>2.9589371980676349E-2</v>
      </c>
      <c r="J189" s="145">
        <f t="shared" si="40"/>
        <v>2.8863499699338435E-2</v>
      </c>
      <c r="K189" s="116">
        <f t="shared" si="37"/>
        <v>2.1959459459459651E-2</v>
      </c>
      <c r="L189" s="116">
        <f t="shared" si="42"/>
        <v>1.8107121119902647E-2</v>
      </c>
      <c r="M189" s="116">
        <f t="shared" si="43"/>
        <v>1.9512932990470411E-2</v>
      </c>
      <c r="N189" s="114">
        <f t="shared" si="41"/>
        <v>2.3368008442635313E-2</v>
      </c>
      <c r="Q189" s="421"/>
      <c r="R189" s="421"/>
      <c r="S189" s="421"/>
      <c r="T189" s="421"/>
      <c r="U189" s="32"/>
      <c r="V189" s="32"/>
      <c r="W189" s="32"/>
      <c r="X189" s="32"/>
      <c r="Y189" s="421"/>
      <c r="Z189" s="422"/>
      <c r="AA189" s="421"/>
      <c r="AB189" s="421"/>
    </row>
    <row r="190" spans="2:28" ht="12.75" hidden="1" outlineLevel="1" x14ac:dyDescent="0.2">
      <c r="B190" s="423" t="str">
        <f t="shared" si="34"/>
        <v>2010 - 2011</v>
      </c>
      <c r="C190" s="108">
        <v>172.5</v>
      </c>
      <c r="D190" s="109">
        <v>173.1</v>
      </c>
      <c r="E190" s="109">
        <v>175.9</v>
      </c>
      <c r="F190" s="110">
        <v>177.6</v>
      </c>
      <c r="G190" s="144">
        <f t="shared" si="40"/>
        <v>2.6174895895300532E-2</v>
      </c>
      <c r="H190" s="111">
        <f t="shared" si="40"/>
        <v>2.3654642223536415E-2</v>
      </c>
      <c r="I190" s="111">
        <f t="shared" si="40"/>
        <v>3.1671554252199474E-2</v>
      </c>
      <c r="J190" s="145">
        <f t="shared" si="40"/>
        <v>3.7989479836352924E-2</v>
      </c>
      <c r="K190" s="116">
        <f t="shared" si="37"/>
        <v>2.6596543951916019E-2</v>
      </c>
      <c r="L190" s="116">
        <f t="shared" si="42"/>
        <v>2.7051262890450012E-2</v>
      </c>
      <c r="M190" s="116">
        <f t="shared" si="43"/>
        <v>2.7596439169139453E-2</v>
      </c>
      <c r="N190" s="114">
        <f t="shared" si="41"/>
        <v>2.9905715969357871E-2</v>
      </c>
      <c r="Q190" s="421"/>
      <c r="R190" s="421"/>
      <c r="S190" s="421"/>
      <c r="T190" s="421"/>
      <c r="U190" s="32"/>
      <c r="V190" s="32"/>
      <c r="W190" s="32"/>
      <c r="X190" s="32"/>
      <c r="Y190" s="421"/>
      <c r="Z190" s="422"/>
      <c r="AA190" s="421"/>
      <c r="AB190" s="421"/>
    </row>
    <row r="191" spans="2:28" ht="13.5" hidden="1" outlineLevel="1" thickBot="1" x14ac:dyDescent="0.25">
      <c r="B191" s="424" t="str">
        <f t="shared" si="34"/>
        <v>2011 - 2012</v>
      </c>
      <c r="C191" s="117">
        <v>178.8</v>
      </c>
      <c r="D191" s="118">
        <v>178.7</v>
      </c>
      <c r="E191" s="118">
        <v>178.8</v>
      </c>
      <c r="F191" s="119">
        <v>179.9</v>
      </c>
      <c r="G191" s="146">
        <f t="shared" si="40"/>
        <v>3.6521739130434883E-2</v>
      </c>
      <c r="H191" s="120">
        <f t="shared" si="40"/>
        <v>3.2351242056614549E-2</v>
      </c>
      <c r="I191" s="120">
        <f t="shared" si="40"/>
        <v>1.6486640136441189E-2</v>
      </c>
      <c r="J191" s="147">
        <f t="shared" si="40"/>
        <v>1.2950450450450512E-2</v>
      </c>
      <c r="K191" s="148">
        <f t="shared" si="37"/>
        <v>3.249414519906324E-2</v>
      </c>
      <c r="L191" s="148">
        <f t="shared" si="42"/>
        <v>3.4633294528521485E-2</v>
      </c>
      <c r="M191" s="148">
        <f t="shared" si="43"/>
        <v>3.0753681778804332E-2</v>
      </c>
      <c r="N191" s="149">
        <f t="shared" si="41"/>
        <v>2.4460020025747209E-2</v>
      </c>
      <c r="Q191" s="421"/>
      <c r="R191" s="421"/>
      <c r="S191" s="421"/>
      <c r="T191" s="421"/>
      <c r="U191" s="32"/>
      <c r="V191" s="32"/>
      <c r="W191" s="32"/>
      <c r="X191" s="32"/>
      <c r="Y191" s="421"/>
      <c r="Z191" s="422"/>
      <c r="AA191" s="421"/>
      <c r="AB191" s="421"/>
    </row>
    <row r="192" spans="2:28" ht="12.75" collapsed="1" x14ac:dyDescent="0.2">
      <c r="B192" s="416"/>
      <c r="C192" s="124"/>
      <c r="D192" s="125"/>
      <c r="E192" s="125"/>
      <c r="F192" s="126"/>
      <c r="G192" s="150"/>
      <c r="H192" s="128"/>
      <c r="I192" s="128"/>
      <c r="J192" s="151"/>
      <c r="K192" s="130"/>
      <c r="L192" s="130"/>
      <c r="M192" s="130"/>
      <c r="N192" s="131"/>
      <c r="Q192" s="421"/>
      <c r="R192" s="421"/>
      <c r="S192" s="421"/>
      <c r="T192" s="421"/>
      <c r="U192" s="32"/>
      <c r="V192" s="32"/>
      <c r="W192" s="32"/>
      <c r="X192" s="32"/>
      <c r="Y192" s="421"/>
      <c r="Z192" s="422"/>
      <c r="AA192" s="421"/>
      <c r="AB192" s="421"/>
    </row>
    <row r="193" spans="1:28" ht="12.75" hidden="1" outlineLevel="1" x14ac:dyDescent="0.2">
      <c r="B193" s="416" t="s">
        <v>434</v>
      </c>
      <c r="C193" s="124">
        <v>3.7</v>
      </c>
      <c r="D193" s="125">
        <v>3.7</v>
      </c>
      <c r="E193" s="125">
        <v>3.9</v>
      </c>
      <c r="F193" s="126">
        <v>3.9</v>
      </c>
      <c r="G193" s="127"/>
      <c r="H193" s="132"/>
      <c r="I193" s="132"/>
      <c r="J193" s="152"/>
      <c r="K193" s="130"/>
      <c r="L193" s="130"/>
      <c r="M193" s="130"/>
      <c r="N193" s="131"/>
      <c r="Q193" s="421"/>
      <c r="R193" s="421"/>
      <c r="S193" s="421"/>
      <c r="T193" s="421"/>
      <c r="U193" s="32"/>
      <c r="V193" s="32"/>
      <c r="W193" s="32"/>
      <c r="X193" s="32"/>
      <c r="Y193" s="421"/>
      <c r="Z193" s="422"/>
      <c r="AA193" s="421"/>
      <c r="AB193" s="421"/>
    </row>
    <row r="194" spans="1:28" ht="12.75" hidden="1" outlineLevel="1" x14ac:dyDescent="0.2">
      <c r="B194" s="416" t="str">
        <f t="shared" ref="B194:B257" si="44">LEFT(B193,4)+1&amp;" - "&amp;RIGHT(B193,4)+1</f>
        <v>1949 - 1950</v>
      </c>
      <c r="C194" s="124">
        <v>4</v>
      </c>
      <c r="D194" s="125">
        <v>4.0999999999999996</v>
      </c>
      <c r="E194" s="125">
        <v>4.0999999999999996</v>
      </c>
      <c r="F194" s="126">
        <v>4.3</v>
      </c>
      <c r="G194" s="127">
        <f t="shared" ref="G194:J209" si="45">C194/C193-1</f>
        <v>8.1081081081080919E-2</v>
      </c>
      <c r="H194" s="132">
        <f t="shared" si="45"/>
        <v>0.10810810810810789</v>
      </c>
      <c r="I194" s="132">
        <f t="shared" si="45"/>
        <v>5.1282051282051322E-2</v>
      </c>
      <c r="J194" s="152">
        <f t="shared" si="45"/>
        <v>0.10256410256410264</v>
      </c>
      <c r="K194" s="130"/>
      <c r="L194" s="130"/>
      <c r="M194" s="130"/>
      <c r="N194" s="135">
        <f t="shared" ref="N194" si="46">SUM(C194:F194)/SUM(C193:F193) -1</f>
        <v>8.5526315789473673E-2</v>
      </c>
      <c r="Q194" s="421"/>
      <c r="R194" s="421"/>
      <c r="S194" s="421"/>
      <c r="T194" s="421"/>
      <c r="U194" s="32"/>
      <c r="V194" s="32"/>
      <c r="W194" s="32"/>
      <c r="X194" s="32"/>
      <c r="Y194" s="421"/>
      <c r="Z194" s="422"/>
      <c r="AA194" s="421"/>
      <c r="AB194" s="421"/>
    </row>
    <row r="195" spans="1:28" ht="12.75" hidden="1" outlineLevel="1" x14ac:dyDescent="0.2">
      <c r="B195" s="416" t="str">
        <f t="shared" si="44"/>
        <v>1950 - 1951</v>
      </c>
      <c r="C195" s="124">
        <v>4.4000000000000004</v>
      </c>
      <c r="D195" s="125">
        <v>4.5999999999999996</v>
      </c>
      <c r="E195" s="125">
        <v>4.7</v>
      </c>
      <c r="F195" s="126">
        <v>5.0999999999999996</v>
      </c>
      <c r="G195" s="127">
        <f t="shared" si="45"/>
        <v>0.10000000000000009</v>
      </c>
      <c r="H195" s="132">
        <f t="shared" si="45"/>
        <v>0.12195121951219523</v>
      </c>
      <c r="I195" s="132">
        <f t="shared" si="45"/>
        <v>0.14634146341463428</v>
      </c>
      <c r="J195" s="152">
        <f t="shared" si="45"/>
        <v>0.18604651162790686</v>
      </c>
      <c r="K195" s="134">
        <f t="shared" ref="K195" si="47">(SUM(D194:F194)+C195)/(SUM(D193:F193)+C194)-1</f>
        <v>9.0322580645161299E-2</v>
      </c>
      <c r="L195" s="134">
        <f t="shared" ref="L195" si="48">(SUM(C195:D195)+F194+E194)/(SUM(C194:D194)+F193+E193)-1</f>
        <v>9.4339622641509413E-2</v>
      </c>
      <c r="M195" s="134">
        <f>(SUM(C195:E195)+F194)/(SUM(C194:E194)+F193)-1</f>
        <v>0.11801242236024856</v>
      </c>
      <c r="N195" s="135">
        <f t="shared" ref="N195" si="49">SUM(C195:F195)/SUM(C194:F194) -1</f>
        <v>0.13939393939393918</v>
      </c>
      <c r="Q195" s="421"/>
      <c r="R195" s="421"/>
      <c r="S195" s="421"/>
      <c r="T195" s="421"/>
      <c r="U195" s="32"/>
      <c r="V195" s="32"/>
      <c r="W195" s="32"/>
      <c r="X195" s="32"/>
      <c r="Y195" s="421"/>
      <c r="Z195" s="422"/>
      <c r="AA195" s="421"/>
      <c r="AB195" s="421"/>
    </row>
    <row r="196" spans="1:28" ht="12.75" hidden="1" outlineLevel="1" x14ac:dyDescent="0.2">
      <c r="B196" s="416" t="str">
        <f t="shared" si="44"/>
        <v>1951 - 1952</v>
      </c>
      <c r="C196" s="124">
        <v>5.4</v>
      </c>
      <c r="D196" s="125">
        <v>5.7</v>
      </c>
      <c r="E196" s="125">
        <v>5.9</v>
      </c>
      <c r="F196" s="126">
        <v>6.1</v>
      </c>
      <c r="G196" s="127">
        <f t="shared" si="45"/>
        <v>0.22727272727272729</v>
      </c>
      <c r="H196" s="132">
        <f t="shared" si="45"/>
        <v>0.23913043478260887</v>
      </c>
      <c r="I196" s="132">
        <f t="shared" si="45"/>
        <v>0.25531914893617014</v>
      </c>
      <c r="J196" s="152">
        <f t="shared" si="45"/>
        <v>0.19607843137254899</v>
      </c>
      <c r="K196" s="134">
        <f t="shared" ref="K196:K249" si="50">(SUM(D195:F195)+C196)/(SUM(D194:F194)+C195)-1</f>
        <v>0.17159763313609488</v>
      </c>
      <c r="L196" s="134">
        <f t="shared" ref="L196:L249" si="51">(SUM(C196:D196)+F195+E195)/(SUM(C195:D195)+F194+E194)-1</f>
        <v>0.20114942528735646</v>
      </c>
      <c r="M196" s="134">
        <f t="shared" ref="M196:M258" si="52">(SUM(C196:E196)+F195)/(SUM(C195:E195)+F194)-1</f>
        <v>0.22777777777777786</v>
      </c>
      <c r="N196" s="135">
        <f t="shared" ref="N196:N258" si="53">SUM(C196:F196)/SUM(C195:F195) -1</f>
        <v>0.22872340425531945</v>
      </c>
      <c r="Q196" s="421"/>
      <c r="R196" s="421"/>
      <c r="S196" s="421"/>
      <c r="T196" s="421"/>
      <c r="U196" s="32"/>
      <c r="V196" s="32"/>
      <c r="W196" s="32"/>
      <c r="X196" s="32"/>
      <c r="Y196" s="421"/>
      <c r="Z196" s="422"/>
      <c r="AA196" s="421"/>
      <c r="AB196" s="421"/>
    </row>
    <row r="197" spans="1:28" ht="12.75" hidden="1" outlineLevel="1" x14ac:dyDescent="0.2">
      <c r="B197" s="416" t="str">
        <f t="shared" si="44"/>
        <v>1952 - 1953</v>
      </c>
      <c r="C197" s="124">
        <v>6.2</v>
      </c>
      <c r="D197" s="125">
        <v>6.3</v>
      </c>
      <c r="E197" s="125">
        <v>6.3</v>
      </c>
      <c r="F197" s="126">
        <v>6.4</v>
      </c>
      <c r="G197" s="127">
        <f t="shared" si="45"/>
        <v>0.14814814814814814</v>
      </c>
      <c r="H197" s="132">
        <f t="shared" si="45"/>
        <v>0.10526315789473673</v>
      </c>
      <c r="I197" s="132">
        <f t="shared" si="45"/>
        <v>6.7796610169491345E-2</v>
      </c>
      <c r="J197" s="152">
        <f t="shared" si="45"/>
        <v>4.9180327868852514E-2</v>
      </c>
      <c r="K197" s="134">
        <f t="shared" si="50"/>
        <v>0.20707070707070718</v>
      </c>
      <c r="L197" s="134">
        <f t="shared" si="51"/>
        <v>0.17224880382775098</v>
      </c>
      <c r="M197" s="134">
        <f t="shared" si="52"/>
        <v>0.12669683257918529</v>
      </c>
      <c r="N197" s="135">
        <f t="shared" si="53"/>
        <v>9.090909090909105E-2</v>
      </c>
      <c r="Q197" s="421"/>
      <c r="R197" s="421"/>
      <c r="S197" s="421"/>
      <c r="T197" s="421"/>
      <c r="U197" s="32"/>
      <c r="V197" s="32"/>
      <c r="W197" s="32"/>
      <c r="X197" s="32"/>
      <c r="Y197" s="421"/>
      <c r="Z197" s="422"/>
      <c r="AA197" s="421"/>
      <c r="AB197" s="421"/>
    </row>
    <row r="198" spans="1:28" ht="12.75" hidden="1" outlineLevel="1" x14ac:dyDescent="0.2">
      <c r="B198" s="416" t="str">
        <f t="shared" si="44"/>
        <v>1953 - 1954</v>
      </c>
      <c r="C198" s="124">
        <v>6.4</v>
      </c>
      <c r="D198" s="125">
        <v>6.4</v>
      </c>
      <c r="E198" s="125">
        <v>6.4</v>
      </c>
      <c r="F198" s="126">
        <v>6.4</v>
      </c>
      <c r="G198" s="127">
        <f t="shared" si="45"/>
        <v>3.2258064516129004E-2</v>
      </c>
      <c r="H198" s="132">
        <f t="shared" si="45"/>
        <v>1.5873015873016039E-2</v>
      </c>
      <c r="I198" s="132">
        <f t="shared" si="45"/>
        <v>1.5873015873016039E-2</v>
      </c>
      <c r="J198" s="152">
        <f t="shared" si="45"/>
        <v>0</v>
      </c>
      <c r="K198" s="134">
        <f t="shared" si="50"/>
        <v>6.2761506276150403E-2</v>
      </c>
      <c r="L198" s="134">
        <f t="shared" si="51"/>
        <v>4.081632653061229E-2</v>
      </c>
      <c r="M198" s="134">
        <f t="shared" si="52"/>
        <v>2.8112449799196915E-2</v>
      </c>
      <c r="N198" s="135">
        <f t="shared" si="53"/>
        <v>1.5873015873015817E-2</v>
      </c>
      <c r="Q198" s="421"/>
      <c r="R198" s="421"/>
      <c r="S198" s="421"/>
      <c r="T198" s="421"/>
      <c r="U198" s="32"/>
      <c r="V198" s="32"/>
      <c r="W198" s="32"/>
      <c r="X198" s="32"/>
      <c r="Y198" s="421"/>
      <c r="Z198" s="422"/>
      <c r="AA198" s="421"/>
      <c r="AB198" s="421"/>
    </row>
    <row r="199" spans="1:28" ht="12.75" hidden="1" outlineLevel="1" x14ac:dyDescent="0.2">
      <c r="B199" s="416" t="str">
        <f t="shared" si="44"/>
        <v>1954 - 1955</v>
      </c>
      <c r="C199" s="124">
        <v>6.4</v>
      </c>
      <c r="D199" s="125">
        <v>6.4</v>
      </c>
      <c r="E199" s="125">
        <v>6.5</v>
      </c>
      <c r="F199" s="126">
        <v>6.5</v>
      </c>
      <c r="G199" s="127">
        <f t="shared" si="45"/>
        <v>0</v>
      </c>
      <c r="H199" s="132">
        <f t="shared" si="45"/>
        <v>0</v>
      </c>
      <c r="I199" s="132">
        <f t="shared" si="45"/>
        <v>1.5625E-2</v>
      </c>
      <c r="J199" s="152">
        <f t="shared" si="45"/>
        <v>1.5625E-2</v>
      </c>
      <c r="K199" s="134">
        <f t="shared" si="50"/>
        <v>7.8740157480317041E-3</v>
      </c>
      <c r="L199" s="134">
        <f t="shared" si="51"/>
        <v>3.9215686274509665E-3</v>
      </c>
      <c r="M199" s="134">
        <f t="shared" si="52"/>
        <v>3.90625E-3</v>
      </c>
      <c r="N199" s="135">
        <f t="shared" si="53"/>
        <v>7.8125E-3</v>
      </c>
      <c r="Q199" s="421"/>
      <c r="R199" s="421"/>
      <c r="S199" s="421"/>
      <c r="T199" s="421"/>
      <c r="U199" s="32"/>
      <c r="V199" s="32"/>
      <c r="W199" s="32"/>
      <c r="X199" s="32"/>
      <c r="Y199" s="421"/>
      <c r="Z199" s="422"/>
      <c r="AA199" s="421"/>
      <c r="AB199" s="421"/>
    </row>
    <row r="200" spans="1:28" ht="12.75" hidden="1" outlineLevel="1" x14ac:dyDescent="0.2">
      <c r="B200" s="416" t="str">
        <f t="shared" si="44"/>
        <v>1955 - 1956</v>
      </c>
      <c r="C200" s="124">
        <v>6.5</v>
      </c>
      <c r="D200" s="125">
        <v>6.6</v>
      </c>
      <c r="E200" s="125">
        <v>6.6</v>
      </c>
      <c r="F200" s="126">
        <v>6.9</v>
      </c>
      <c r="G200" s="127">
        <f t="shared" si="45"/>
        <v>1.5625E-2</v>
      </c>
      <c r="H200" s="132">
        <f t="shared" si="45"/>
        <v>3.1249999999999778E-2</v>
      </c>
      <c r="I200" s="132">
        <f t="shared" si="45"/>
        <v>1.538461538461533E-2</v>
      </c>
      <c r="J200" s="152">
        <f t="shared" si="45"/>
        <v>6.1538461538461542E-2</v>
      </c>
      <c r="K200" s="134">
        <f t="shared" si="50"/>
        <v>1.1718749999999778E-2</v>
      </c>
      <c r="L200" s="134">
        <f t="shared" si="51"/>
        <v>1.953125E-2</v>
      </c>
      <c r="M200" s="134">
        <f t="shared" si="52"/>
        <v>1.9455252918287869E-2</v>
      </c>
      <c r="N200" s="135">
        <f t="shared" si="53"/>
        <v>3.1007751937984551E-2</v>
      </c>
      <c r="Q200" s="421"/>
      <c r="R200" s="421"/>
      <c r="S200" s="421"/>
      <c r="T200" s="421"/>
      <c r="U200" s="32"/>
      <c r="V200" s="32"/>
      <c r="W200" s="32"/>
      <c r="X200" s="32"/>
      <c r="Y200" s="421"/>
      <c r="Z200" s="422"/>
      <c r="AA200" s="421"/>
      <c r="AB200" s="421"/>
    </row>
    <row r="201" spans="1:28" ht="12.75" hidden="1" outlineLevel="1" x14ac:dyDescent="0.2">
      <c r="B201" s="416" t="str">
        <f t="shared" si="44"/>
        <v>1956 - 1957</v>
      </c>
      <c r="C201" s="124">
        <v>7.1</v>
      </c>
      <c r="D201" s="125">
        <v>7.1</v>
      </c>
      <c r="E201" s="125">
        <v>7.1</v>
      </c>
      <c r="F201" s="126">
        <v>7.1</v>
      </c>
      <c r="G201" s="127">
        <f t="shared" si="45"/>
        <v>9.2307692307692202E-2</v>
      </c>
      <c r="H201" s="132">
        <f t="shared" si="45"/>
        <v>7.575757575757569E-2</v>
      </c>
      <c r="I201" s="132">
        <f t="shared" si="45"/>
        <v>7.575757575757569E-2</v>
      </c>
      <c r="J201" s="152">
        <f t="shared" si="45"/>
        <v>2.8985507246376718E-2</v>
      </c>
      <c r="K201" s="134">
        <f t="shared" si="50"/>
        <v>5.0193050193050315E-2</v>
      </c>
      <c r="L201" s="134">
        <f t="shared" si="51"/>
        <v>6.1302681992337238E-2</v>
      </c>
      <c r="M201" s="134">
        <f t="shared" si="52"/>
        <v>7.6335877862595325E-2</v>
      </c>
      <c r="N201" s="135">
        <f t="shared" si="53"/>
        <v>6.7669172932330657E-2</v>
      </c>
      <c r="Q201" s="421"/>
      <c r="R201" s="421"/>
      <c r="S201" s="421"/>
      <c r="T201" s="421"/>
      <c r="U201" s="32"/>
      <c r="V201" s="32"/>
      <c r="W201" s="32"/>
      <c r="X201" s="32"/>
      <c r="Y201" s="421"/>
      <c r="Z201" s="422"/>
      <c r="AA201" s="421"/>
      <c r="AB201" s="421"/>
    </row>
    <row r="202" spans="1:28" ht="12.75" hidden="1" outlineLevel="1" x14ac:dyDescent="0.2">
      <c r="B202" s="416" t="str">
        <f t="shared" si="44"/>
        <v>1957 - 1958</v>
      </c>
      <c r="C202" s="124">
        <v>7.2</v>
      </c>
      <c r="D202" s="125">
        <v>7.2</v>
      </c>
      <c r="E202" s="125">
        <v>7.3</v>
      </c>
      <c r="F202" s="126">
        <v>7.3</v>
      </c>
      <c r="G202" s="127">
        <f t="shared" si="45"/>
        <v>1.4084507042253502E-2</v>
      </c>
      <c r="H202" s="132">
        <f t="shared" si="45"/>
        <v>1.4084507042253502E-2</v>
      </c>
      <c r="I202" s="132">
        <f t="shared" si="45"/>
        <v>2.8169014084507005E-2</v>
      </c>
      <c r="J202" s="152">
        <f t="shared" si="45"/>
        <v>2.8169014084507005E-2</v>
      </c>
      <c r="K202" s="134">
        <f t="shared" si="50"/>
        <v>4.7794117647058654E-2</v>
      </c>
      <c r="L202" s="134">
        <f t="shared" si="51"/>
        <v>3.2490974729241895E-2</v>
      </c>
      <c r="M202" s="134">
        <f t="shared" si="52"/>
        <v>2.1276595744680993E-2</v>
      </c>
      <c r="N202" s="135">
        <f t="shared" si="53"/>
        <v>2.1126760563380254E-2</v>
      </c>
      <c r="P202" s="352" t="str">
        <f>P124</f>
        <v>ABS rebased the CPI to 100 in 2012 (see ABS note below)</v>
      </c>
      <c r="Q202" s="421"/>
      <c r="R202" s="421"/>
      <c r="S202" s="421"/>
      <c r="T202" s="421"/>
      <c r="U202" s="32"/>
      <c r="V202" s="32"/>
      <c r="W202" s="32"/>
      <c r="X202" s="32"/>
      <c r="Y202" s="421"/>
      <c r="Z202" s="422"/>
      <c r="AA202" s="421"/>
      <c r="AB202" s="421"/>
    </row>
    <row r="203" spans="1:28" ht="12.75" hidden="1" outlineLevel="1" x14ac:dyDescent="0.2">
      <c r="B203" s="416" t="str">
        <f t="shared" si="44"/>
        <v>1958 - 1959</v>
      </c>
      <c r="C203" s="124">
        <v>7.2</v>
      </c>
      <c r="D203" s="125">
        <v>7.3</v>
      </c>
      <c r="E203" s="125">
        <v>7.3</v>
      </c>
      <c r="F203" s="126">
        <v>7.3</v>
      </c>
      <c r="G203" s="127">
        <f t="shared" si="45"/>
        <v>0</v>
      </c>
      <c r="H203" s="132">
        <f t="shared" si="45"/>
        <v>1.388888888888884E-2</v>
      </c>
      <c r="I203" s="132">
        <f t="shared" si="45"/>
        <v>0</v>
      </c>
      <c r="J203" s="152">
        <f t="shared" si="45"/>
        <v>0</v>
      </c>
      <c r="K203" s="134">
        <f t="shared" si="50"/>
        <v>1.7543859649122862E-2</v>
      </c>
      <c r="L203" s="134">
        <f t="shared" si="51"/>
        <v>1.7482517482517501E-2</v>
      </c>
      <c r="M203" s="134">
        <f t="shared" si="52"/>
        <v>1.0416666666666741E-2</v>
      </c>
      <c r="N203" s="135">
        <f t="shared" si="53"/>
        <v>3.4482758620690834E-3</v>
      </c>
      <c r="Q203" s="421"/>
      <c r="R203" s="421"/>
      <c r="S203" s="421"/>
      <c r="T203" s="421"/>
      <c r="U203" s="32"/>
      <c r="V203" s="32"/>
      <c r="W203" s="32"/>
      <c r="X203" s="32"/>
      <c r="Y203" s="421"/>
      <c r="Z203" s="422"/>
      <c r="AA203" s="421"/>
      <c r="AB203" s="421"/>
    </row>
    <row r="204" spans="1:28" ht="12.75" hidden="1" outlineLevel="1" x14ac:dyDescent="0.2">
      <c r="B204" s="416" t="str">
        <f t="shared" si="44"/>
        <v>1959 - 1960</v>
      </c>
      <c r="C204" s="124">
        <v>7.3</v>
      </c>
      <c r="D204" s="125">
        <v>7.4</v>
      </c>
      <c r="E204" s="125">
        <v>7.4</v>
      </c>
      <c r="F204" s="126">
        <v>7.5</v>
      </c>
      <c r="G204" s="127">
        <f t="shared" si="45"/>
        <v>1.388888888888884E-2</v>
      </c>
      <c r="H204" s="132">
        <f t="shared" si="45"/>
        <v>1.3698630136986356E-2</v>
      </c>
      <c r="I204" s="132">
        <f t="shared" si="45"/>
        <v>1.3698630136986356E-2</v>
      </c>
      <c r="J204" s="152">
        <f t="shared" si="45"/>
        <v>2.7397260273972712E-2</v>
      </c>
      <c r="K204" s="134">
        <f t="shared" si="50"/>
        <v>6.8965517241379448E-3</v>
      </c>
      <c r="L204" s="134">
        <f t="shared" si="51"/>
        <v>6.8728522336769515E-3</v>
      </c>
      <c r="M204" s="134">
        <f t="shared" si="52"/>
        <v>1.0309278350515427E-2</v>
      </c>
      <c r="N204" s="135">
        <f t="shared" si="53"/>
        <v>1.7182130584192379E-2</v>
      </c>
      <c r="Q204" s="421"/>
      <c r="R204" s="421"/>
      <c r="S204" s="421"/>
      <c r="T204" s="421"/>
      <c r="U204" s="32"/>
      <c r="V204" s="32"/>
      <c r="W204" s="32"/>
      <c r="X204" s="32"/>
      <c r="Y204" s="421"/>
      <c r="Z204" s="422"/>
      <c r="AA204" s="421"/>
      <c r="AB204" s="421"/>
    </row>
    <row r="205" spans="1:28" hidden="1" outlineLevel="1" x14ac:dyDescent="0.2">
      <c r="A205" s="409"/>
      <c r="B205" s="416" t="str">
        <f t="shared" si="44"/>
        <v>1960 - 1961</v>
      </c>
      <c r="C205" s="124">
        <v>7.6</v>
      </c>
      <c r="D205" s="125">
        <v>7.7</v>
      </c>
      <c r="E205" s="125">
        <v>7.7</v>
      </c>
      <c r="F205" s="126">
        <v>7.8</v>
      </c>
      <c r="G205" s="127">
        <f t="shared" si="45"/>
        <v>4.1095890410958846E-2</v>
      </c>
      <c r="H205" s="132">
        <f t="shared" si="45"/>
        <v>4.0540540540540571E-2</v>
      </c>
      <c r="I205" s="132">
        <f t="shared" si="45"/>
        <v>4.0540540540540571E-2</v>
      </c>
      <c r="J205" s="152">
        <f t="shared" si="45"/>
        <v>4.0000000000000036E-2</v>
      </c>
      <c r="K205" s="134">
        <f t="shared" si="50"/>
        <v>2.3972602739726012E-2</v>
      </c>
      <c r="L205" s="134">
        <f t="shared" si="51"/>
        <v>3.0716723549488067E-2</v>
      </c>
      <c r="M205" s="134">
        <f t="shared" si="52"/>
        <v>3.7414965986394488E-2</v>
      </c>
      <c r="N205" s="135">
        <f t="shared" si="53"/>
        <v>4.0540540540540571E-2</v>
      </c>
    </row>
    <row r="206" spans="1:28" hidden="1" outlineLevel="1" x14ac:dyDescent="0.2">
      <c r="B206" s="416" t="str">
        <f t="shared" si="44"/>
        <v>1961 - 1962</v>
      </c>
      <c r="C206" s="124">
        <v>7.7</v>
      </c>
      <c r="D206" s="125">
        <v>7.7</v>
      </c>
      <c r="E206" s="125">
        <v>7.7</v>
      </c>
      <c r="F206" s="126">
        <v>7.7</v>
      </c>
      <c r="G206" s="127">
        <f t="shared" si="45"/>
        <v>1.3157894736842257E-2</v>
      </c>
      <c r="H206" s="132">
        <f t="shared" si="45"/>
        <v>0</v>
      </c>
      <c r="I206" s="132">
        <f t="shared" si="45"/>
        <v>0</v>
      </c>
      <c r="J206" s="152">
        <f t="shared" si="45"/>
        <v>-1.2820512820512775E-2</v>
      </c>
      <c r="K206" s="134">
        <f t="shared" si="50"/>
        <v>3.3444816053511683E-2</v>
      </c>
      <c r="L206" s="134">
        <f t="shared" si="51"/>
        <v>2.3178807947019653E-2</v>
      </c>
      <c r="M206" s="134">
        <f t="shared" si="52"/>
        <v>1.3114754098360715E-2</v>
      </c>
      <c r="N206" s="135">
        <f t="shared" si="53"/>
        <v>0</v>
      </c>
    </row>
    <row r="207" spans="1:28" ht="12.75" hidden="1" outlineLevel="1" x14ac:dyDescent="0.2">
      <c r="B207" s="416" t="str">
        <f t="shared" si="44"/>
        <v>1962 - 1963</v>
      </c>
      <c r="C207" s="124">
        <v>7.7</v>
      </c>
      <c r="D207" s="125">
        <v>7.8</v>
      </c>
      <c r="E207" s="125">
        <v>7.8</v>
      </c>
      <c r="F207" s="126">
        <v>7.8</v>
      </c>
      <c r="G207" s="127">
        <f t="shared" si="45"/>
        <v>0</v>
      </c>
      <c r="H207" s="132">
        <f t="shared" si="45"/>
        <v>1.298701298701288E-2</v>
      </c>
      <c r="I207" s="132">
        <f t="shared" si="45"/>
        <v>1.298701298701288E-2</v>
      </c>
      <c r="J207" s="152">
        <f t="shared" si="45"/>
        <v>1.298701298701288E-2</v>
      </c>
      <c r="K207" s="134">
        <f t="shared" si="50"/>
        <v>-3.2362459546925182E-3</v>
      </c>
      <c r="L207" s="134">
        <f t="shared" si="51"/>
        <v>0</v>
      </c>
      <c r="M207" s="134">
        <f t="shared" si="52"/>
        <v>3.2362459546924072E-3</v>
      </c>
      <c r="N207" s="135">
        <f t="shared" si="53"/>
        <v>9.7402597402598268E-3</v>
      </c>
      <c r="P207" s="420"/>
      <c r="Q207" s="425"/>
      <c r="R207" s="425"/>
      <c r="S207" s="426"/>
      <c r="T207" s="426"/>
      <c r="U207" s="28"/>
    </row>
    <row r="208" spans="1:28" hidden="1" outlineLevel="1" x14ac:dyDescent="0.2">
      <c r="B208" s="416" t="str">
        <f t="shared" si="44"/>
        <v>1963 - 1964</v>
      </c>
      <c r="C208" s="124">
        <v>7.8</v>
      </c>
      <c r="D208" s="125">
        <v>7.8</v>
      </c>
      <c r="E208" s="125">
        <v>7.8</v>
      </c>
      <c r="F208" s="126">
        <v>7.9</v>
      </c>
      <c r="G208" s="127">
        <f t="shared" si="45"/>
        <v>1.298701298701288E-2</v>
      </c>
      <c r="H208" s="132">
        <f t="shared" si="45"/>
        <v>0</v>
      </c>
      <c r="I208" s="132">
        <f t="shared" si="45"/>
        <v>0</v>
      </c>
      <c r="J208" s="152">
        <f t="shared" si="45"/>
        <v>1.2820512820512997E-2</v>
      </c>
      <c r="K208" s="134">
        <f t="shared" si="50"/>
        <v>1.298701298701288E-2</v>
      </c>
      <c r="L208" s="134">
        <f t="shared" si="51"/>
        <v>9.7087378640776656E-3</v>
      </c>
      <c r="M208" s="134">
        <f t="shared" si="52"/>
        <v>6.4516129032257119E-3</v>
      </c>
      <c r="N208" s="135">
        <f t="shared" si="53"/>
        <v>6.4308681672025081E-3</v>
      </c>
    </row>
    <row r="209" spans="2:22" hidden="1" outlineLevel="1" x14ac:dyDescent="0.2">
      <c r="B209" s="416" t="str">
        <f t="shared" si="44"/>
        <v>1964 - 1965</v>
      </c>
      <c r="C209" s="124">
        <v>8</v>
      </c>
      <c r="D209" s="125">
        <v>8.1</v>
      </c>
      <c r="E209" s="125">
        <v>8.1</v>
      </c>
      <c r="F209" s="126">
        <v>8.1999999999999993</v>
      </c>
      <c r="G209" s="127">
        <f t="shared" si="45"/>
        <v>2.5641025641025772E-2</v>
      </c>
      <c r="H209" s="132">
        <f t="shared" si="45"/>
        <v>3.8461538461538547E-2</v>
      </c>
      <c r="I209" s="132">
        <f t="shared" si="45"/>
        <v>3.8461538461538547E-2</v>
      </c>
      <c r="J209" s="152">
        <f t="shared" si="45"/>
        <v>3.7974683544303556E-2</v>
      </c>
      <c r="K209" s="134">
        <f t="shared" si="50"/>
        <v>9.6153846153845812E-3</v>
      </c>
      <c r="L209" s="134">
        <f t="shared" si="51"/>
        <v>1.9230769230769384E-2</v>
      </c>
      <c r="M209" s="134">
        <f t="shared" si="52"/>
        <v>2.8846153846153966E-2</v>
      </c>
      <c r="N209" s="135">
        <f t="shared" si="53"/>
        <v>3.5143769968051464E-2</v>
      </c>
    </row>
    <row r="210" spans="2:22" hidden="1" outlineLevel="1" x14ac:dyDescent="0.2">
      <c r="B210" s="416" t="str">
        <f t="shared" si="44"/>
        <v>1965 - 1966</v>
      </c>
      <c r="C210" s="124">
        <v>8.3000000000000007</v>
      </c>
      <c r="D210" s="125">
        <v>8.4</v>
      </c>
      <c r="E210" s="125">
        <v>8.4</v>
      </c>
      <c r="F210" s="126">
        <v>8.4</v>
      </c>
      <c r="G210" s="127">
        <f t="shared" ref="G210:J264" si="54">C210/C209-1</f>
        <v>3.7500000000000089E-2</v>
      </c>
      <c r="H210" s="132">
        <f t="shared" si="54"/>
        <v>3.7037037037037202E-2</v>
      </c>
      <c r="I210" s="132">
        <f t="shared" si="54"/>
        <v>3.7037037037037202E-2</v>
      </c>
      <c r="J210" s="152">
        <f t="shared" si="54"/>
        <v>2.4390243902439046E-2</v>
      </c>
      <c r="K210" s="134">
        <f t="shared" si="50"/>
        <v>3.8095238095238182E-2</v>
      </c>
      <c r="L210" s="134">
        <f t="shared" si="51"/>
        <v>3.7735849056603765E-2</v>
      </c>
      <c r="M210" s="134">
        <f t="shared" si="52"/>
        <v>3.738317757009324E-2</v>
      </c>
      <c r="N210" s="135">
        <f t="shared" si="53"/>
        <v>3.3950617283950546E-2</v>
      </c>
    </row>
    <row r="211" spans="2:22" hidden="1" outlineLevel="1" x14ac:dyDescent="0.2">
      <c r="B211" s="416" t="str">
        <f t="shared" si="44"/>
        <v>1966 - 1967</v>
      </c>
      <c r="C211" s="124">
        <v>8.5</v>
      </c>
      <c r="D211" s="125">
        <v>8.5</v>
      </c>
      <c r="E211" s="125">
        <v>8.6</v>
      </c>
      <c r="F211" s="126">
        <v>8.6999999999999993</v>
      </c>
      <c r="G211" s="127">
        <f t="shared" si="54"/>
        <v>2.409638554216853E-2</v>
      </c>
      <c r="H211" s="132">
        <f t="shared" si="54"/>
        <v>1.1904761904761862E-2</v>
      </c>
      <c r="I211" s="132">
        <f t="shared" si="54"/>
        <v>2.3809523809523725E-2</v>
      </c>
      <c r="J211" s="152">
        <f t="shared" si="54"/>
        <v>3.5714285714285587E-2</v>
      </c>
      <c r="K211" s="134">
        <f t="shared" si="50"/>
        <v>3.0581039755351647E-2</v>
      </c>
      <c r="L211" s="134">
        <f t="shared" si="51"/>
        <v>2.4242424242424176E-2</v>
      </c>
      <c r="M211" s="134">
        <f t="shared" si="52"/>
        <v>2.1021021021021102E-2</v>
      </c>
      <c r="N211" s="135">
        <f t="shared" si="53"/>
        <v>2.3880597014925398E-2</v>
      </c>
      <c r="V211" s="153"/>
    </row>
    <row r="212" spans="2:22" hidden="1" outlineLevel="1" x14ac:dyDescent="0.2">
      <c r="B212" s="416" t="str">
        <f t="shared" si="44"/>
        <v>1967 - 1968</v>
      </c>
      <c r="C212" s="124">
        <v>8.8000000000000007</v>
      </c>
      <c r="D212" s="125">
        <v>8.8000000000000007</v>
      </c>
      <c r="E212" s="125">
        <v>8.9</v>
      </c>
      <c r="F212" s="126">
        <v>8.9</v>
      </c>
      <c r="G212" s="127">
        <f t="shared" si="54"/>
        <v>3.529411764705892E-2</v>
      </c>
      <c r="H212" s="132">
        <f t="shared" si="54"/>
        <v>3.529411764705892E-2</v>
      </c>
      <c r="I212" s="132">
        <f t="shared" si="54"/>
        <v>3.488372093023262E-2</v>
      </c>
      <c r="J212" s="152">
        <f t="shared" si="54"/>
        <v>2.2988505747126631E-2</v>
      </c>
      <c r="K212" s="134">
        <f t="shared" si="50"/>
        <v>2.6706231454005858E-2</v>
      </c>
      <c r="L212" s="134">
        <f t="shared" si="51"/>
        <v>3.2544378698224907E-2</v>
      </c>
      <c r="M212" s="134">
        <f t="shared" si="52"/>
        <v>3.529411764705892E-2</v>
      </c>
      <c r="N212" s="135">
        <f t="shared" si="53"/>
        <v>3.2069970845481022E-2</v>
      </c>
    </row>
    <row r="213" spans="2:22" hidden="1" outlineLevel="1" x14ac:dyDescent="0.2">
      <c r="B213" s="416" t="str">
        <f t="shared" si="44"/>
        <v>1968 - 1969</v>
      </c>
      <c r="C213" s="124">
        <v>8.9</v>
      </c>
      <c r="D213" s="125">
        <v>9.1</v>
      </c>
      <c r="E213" s="125">
        <v>9.1999999999999993</v>
      </c>
      <c r="F213" s="126">
        <v>9.1999999999999993</v>
      </c>
      <c r="G213" s="127">
        <f t="shared" si="54"/>
        <v>1.1363636363636243E-2</v>
      </c>
      <c r="H213" s="132">
        <f t="shared" si="54"/>
        <v>3.409090909090895E-2</v>
      </c>
      <c r="I213" s="132">
        <f t="shared" si="54"/>
        <v>3.3707865168539186E-2</v>
      </c>
      <c r="J213" s="152">
        <f t="shared" si="54"/>
        <v>3.3707865168539186E-2</v>
      </c>
      <c r="K213" s="134">
        <f t="shared" si="50"/>
        <v>2.6011560693641522E-2</v>
      </c>
      <c r="L213" s="134">
        <f t="shared" si="51"/>
        <v>2.5787965616045794E-2</v>
      </c>
      <c r="M213" s="134">
        <f t="shared" si="52"/>
        <v>2.5568181818181879E-2</v>
      </c>
      <c r="N213" s="135">
        <f t="shared" si="53"/>
        <v>2.8248587570621542E-2</v>
      </c>
    </row>
    <row r="214" spans="2:22" hidden="1" outlineLevel="1" x14ac:dyDescent="0.2">
      <c r="B214" s="416" t="str">
        <f t="shared" si="44"/>
        <v>1969 - 1970</v>
      </c>
      <c r="C214" s="124">
        <v>9.3000000000000007</v>
      </c>
      <c r="D214" s="125">
        <v>9.4</v>
      </c>
      <c r="E214" s="125">
        <v>9.5</v>
      </c>
      <c r="F214" s="126">
        <v>9.6999999999999993</v>
      </c>
      <c r="G214" s="127">
        <f t="shared" si="54"/>
        <v>4.4943820224719211E-2</v>
      </c>
      <c r="H214" s="132">
        <f t="shared" si="54"/>
        <v>3.2967032967033072E-2</v>
      </c>
      <c r="I214" s="132">
        <f t="shared" si="54"/>
        <v>3.2608695652174058E-2</v>
      </c>
      <c r="J214" s="152">
        <f t="shared" si="54"/>
        <v>5.4347826086956541E-2</v>
      </c>
      <c r="K214" s="134">
        <f t="shared" si="50"/>
        <v>3.6619718309859106E-2</v>
      </c>
      <c r="L214" s="134">
        <f t="shared" si="51"/>
        <v>3.6312849162011274E-2</v>
      </c>
      <c r="M214" s="134">
        <f t="shared" si="52"/>
        <v>3.6011080332410073E-2</v>
      </c>
      <c r="N214" s="135">
        <f t="shared" si="53"/>
        <v>4.1208791208791506E-2</v>
      </c>
    </row>
    <row r="215" spans="2:22" hidden="1" outlineLevel="1" x14ac:dyDescent="0.2">
      <c r="B215" s="416" t="str">
        <f t="shared" si="44"/>
        <v>1970 - 1971</v>
      </c>
      <c r="C215" s="124">
        <v>9.6999999999999993</v>
      </c>
      <c r="D215" s="125">
        <v>9.9</v>
      </c>
      <c r="E215" s="125">
        <v>10.1</v>
      </c>
      <c r="F215" s="126">
        <v>10.3</v>
      </c>
      <c r="G215" s="127">
        <f t="shared" si="54"/>
        <v>4.3010752688171783E-2</v>
      </c>
      <c r="H215" s="132">
        <f t="shared" si="54"/>
        <v>5.3191489361702038E-2</v>
      </c>
      <c r="I215" s="132">
        <f t="shared" si="54"/>
        <v>6.315789473684208E-2</v>
      </c>
      <c r="J215" s="152">
        <f t="shared" si="54"/>
        <v>6.1855670103093008E-2</v>
      </c>
      <c r="K215" s="134">
        <f t="shared" si="50"/>
        <v>4.0760869565217295E-2</v>
      </c>
      <c r="L215" s="134">
        <f t="shared" si="51"/>
        <v>4.582210242587581E-2</v>
      </c>
      <c r="M215" s="134">
        <f t="shared" si="52"/>
        <v>5.3475935828876997E-2</v>
      </c>
      <c r="N215" s="135">
        <f t="shared" si="53"/>
        <v>5.540897097625308E-2</v>
      </c>
    </row>
    <row r="216" spans="2:22" hidden="1" outlineLevel="1" x14ac:dyDescent="0.2">
      <c r="B216" s="416" t="str">
        <f t="shared" si="44"/>
        <v>1971 - 1972</v>
      </c>
      <c r="C216" s="124">
        <v>10.6</v>
      </c>
      <c r="D216" s="125">
        <v>10.8</v>
      </c>
      <c r="E216" s="125">
        <v>10.9</v>
      </c>
      <c r="F216" s="126">
        <v>11.1</v>
      </c>
      <c r="G216" s="127">
        <f t="shared" si="54"/>
        <v>9.278350515463929E-2</v>
      </c>
      <c r="H216" s="132">
        <f t="shared" si="54"/>
        <v>9.090909090909105E-2</v>
      </c>
      <c r="I216" s="132">
        <f t="shared" si="54"/>
        <v>7.9207920792079278E-2</v>
      </c>
      <c r="J216" s="152">
        <f t="shared" si="54"/>
        <v>7.7669902912621325E-2</v>
      </c>
      <c r="K216" s="134">
        <f t="shared" si="50"/>
        <v>6.7885117493472702E-2</v>
      </c>
      <c r="L216" s="134">
        <f t="shared" si="51"/>
        <v>7.7319587628865927E-2</v>
      </c>
      <c r="M216" s="134">
        <f t="shared" si="52"/>
        <v>8.1218274111674926E-2</v>
      </c>
      <c r="N216" s="135">
        <f t="shared" si="53"/>
        <v>8.4999999999999964E-2</v>
      </c>
    </row>
    <row r="217" spans="2:22" hidden="1" outlineLevel="1" x14ac:dyDescent="0.2">
      <c r="B217" s="416" t="str">
        <f t="shared" si="44"/>
        <v>1972 - 1973</v>
      </c>
      <c r="C217" s="124">
        <v>11.2</v>
      </c>
      <c r="D217" s="125">
        <v>11.3</v>
      </c>
      <c r="E217" s="125">
        <v>11.6</v>
      </c>
      <c r="F217" s="126">
        <v>11.9</v>
      </c>
      <c r="G217" s="127">
        <f t="shared" si="54"/>
        <v>5.6603773584905648E-2</v>
      </c>
      <c r="H217" s="132">
        <f t="shared" si="54"/>
        <v>4.629629629629628E-2</v>
      </c>
      <c r="I217" s="132">
        <f t="shared" si="54"/>
        <v>6.4220183486238369E-2</v>
      </c>
      <c r="J217" s="152">
        <f t="shared" si="54"/>
        <v>7.2072072072072224E-2</v>
      </c>
      <c r="K217" s="134">
        <f t="shared" si="50"/>
        <v>7.5794621026894937E-2</v>
      </c>
      <c r="L217" s="134">
        <f t="shared" si="51"/>
        <v>6.4593301435406758E-2</v>
      </c>
      <c r="M217" s="134">
        <f t="shared" si="52"/>
        <v>6.1032863849765473E-2</v>
      </c>
      <c r="N217" s="135">
        <f t="shared" si="53"/>
        <v>5.9907834101382562E-2</v>
      </c>
      <c r="O217" s="153"/>
    </row>
    <row r="218" spans="2:22" hidden="1" outlineLevel="1" x14ac:dyDescent="0.2">
      <c r="B218" s="416" t="str">
        <f t="shared" si="44"/>
        <v>1973 - 1974</v>
      </c>
      <c r="C218" s="124">
        <v>12.3</v>
      </c>
      <c r="D218" s="125">
        <v>12.8</v>
      </c>
      <c r="E218" s="125">
        <v>13.1</v>
      </c>
      <c r="F218" s="126">
        <v>13.6</v>
      </c>
      <c r="G218" s="127">
        <f t="shared" si="54"/>
        <v>9.8214285714285809E-2</v>
      </c>
      <c r="H218" s="132">
        <f t="shared" si="54"/>
        <v>0.13274336283185839</v>
      </c>
      <c r="I218" s="132">
        <f t="shared" si="54"/>
        <v>0.1293103448275863</v>
      </c>
      <c r="J218" s="152">
        <f t="shared" si="54"/>
        <v>0.14285714285714279</v>
      </c>
      <c r="K218" s="134">
        <f t="shared" si="50"/>
        <v>7.0454545454545325E-2</v>
      </c>
      <c r="L218" s="134">
        <f t="shared" si="51"/>
        <v>9.2134831460674249E-2</v>
      </c>
      <c r="M218" s="134">
        <f t="shared" si="52"/>
        <v>0.1084070796460177</v>
      </c>
      <c r="N218" s="135">
        <f t="shared" si="53"/>
        <v>0.12608695652173929</v>
      </c>
    </row>
    <row r="219" spans="2:22" hidden="1" outlineLevel="1" x14ac:dyDescent="0.2">
      <c r="B219" s="416" t="str">
        <f t="shared" si="44"/>
        <v>1974 - 1975</v>
      </c>
      <c r="C219" s="124">
        <v>14.4</v>
      </c>
      <c r="D219" s="125">
        <v>14.9</v>
      </c>
      <c r="E219" s="125">
        <v>15.3</v>
      </c>
      <c r="F219" s="126">
        <v>15.9</v>
      </c>
      <c r="G219" s="127">
        <f t="shared" si="54"/>
        <v>0.1707317073170731</v>
      </c>
      <c r="H219" s="132">
        <f t="shared" si="54"/>
        <v>0.1640625</v>
      </c>
      <c r="I219" s="132">
        <f t="shared" si="54"/>
        <v>0.16793893129770998</v>
      </c>
      <c r="J219" s="152">
        <f t="shared" si="54"/>
        <v>0.16911764705882359</v>
      </c>
      <c r="K219" s="134">
        <f t="shared" si="50"/>
        <v>0.14437367303609361</v>
      </c>
      <c r="L219" s="134">
        <f t="shared" si="51"/>
        <v>0.15226337448559657</v>
      </c>
      <c r="M219" s="134">
        <f t="shared" si="52"/>
        <v>0.16167664670658688</v>
      </c>
      <c r="N219" s="135">
        <f t="shared" si="53"/>
        <v>0.16795366795366795</v>
      </c>
    </row>
    <row r="220" spans="2:22" hidden="1" outlineLevel="1" x14ac:dyDescent="0.2">
      <c r="B220" s="416" t="str">
        <f t="shared" si="44"/>
        <v>1975 - 1976</v>
      </c>
      <c r="C220" s="124">
        <v>16.100000000000001</v>
      </c>
      <c r="D220" s="125">
        <v>16.899999999999999</v>
      </c>
      <c r="E220" s="125">
        <v>17.399999999999999</v>
      </c>
      <c r="F220" s="126">
        <v>17.8</v>
      </c>
      <c r="G220" s="127">
        <f t="shared" si="54"/>
        <v>0.11805555555555558</v>
      </c>
      <c r="H220" s="132">
        <f t="shared" si="54"/>
        <v>0.13422818791946289</v>
      </c>
      <c r="I220" s="132">
        <f t="shared" si="54"/>
        <v>0.13725490196078427</v>
      </c>
      <c r="J220" s="152">
        <f t="shared" si="54"/>
        <v>0.11949685534591192</v>
      </c>
      <c r="K220" s="134">
        <f t="shared" si="50"/>
        <v>0.15398886827458269</v>
      </c>
      <c r="L220" s="134">
        <f t="shared" si="51"/>
        <v>0.14642857142857157</v>
      </c>
      <c r="M220" s="134">
        <f t="shared" si="52"/>
        <v>0.13917525773195871</v>
      </c>
      <c r="N220" s="135">
        <f t="shared" si="53"/>
        <v>0.12727272727272743</v>
      </c>
    </row>
    <row r="221" spans="2:22" hidden="1" outlineLevel="1" x14ac:dyDescent="0.2">
      <c r="B221" s="416" t="str">
        <f t="shared" si="44"/>
        <v>1976 - 1977</v>
      </c>
      <c r="C221" s="124">
        <v>18.100000000000001</v>
      </c>
      <c r="D221" s="125">
        <v>19.100000000000001</v>
      </c>
      <c r="E221" s="125">
        <v>19.5</v>
      </c>
      <c r="F221" s="126">
        <v>19.899999999999999</v>
      </c>
      <c r="G221" s="127">
        <f t="shared" si="54"/>
        <v>0.12422360248447206</v>
      </c>
      <c r="H221" s="132">
        <f t="shared" si="54"/>
        <v>0.13017751479289963</v>
      </c>
      <c r="I221" s="132">
        <f t="shared" si="54"/>
        <v>0.12068965517241392</v>
      </c>
      <c r="J221" s="152">
        <f t="shared" si="54"/>
        <v>0.1179775280898876</v>
      </c>
      <c r="K221" s="134">
        <f t="shared" si="50"/>
        <v>0.12861736334405127</v>
      </c>
      <c r="L221" s="134">
        <f t="shared" si="51"/>
        <v>0.12772585669781944</v>
      </c>
      <c r="M221" s="134">
        <f t="shared" si="52"/>
        <v>0.12368024132730016</v>
      </c>
      <c r="N221" s="135">
        <f t="shared" si="53"/>
        <v>0.12316715542521983</v>
      </c>
    </row>
    <row r="222" spans="2:22" hidden="1" outlineLevel="1" x14ac:dyDescent="0.2">
      <c r="B222" s="416" t="str">
        <f t="shared" si="44"/>
        <v>1977 - 1978</v>
      </c>
      <c r="C222" s="124">
        <v>20.3</v>
      </c>
      <c r="D222" s="125">
        <v>20.7</v>
      </c>
      <c r="E222" s="125">
        <v>21</v>
      </c>
      <c r="F222" s="126">
        <v>21.4</v>
      </c>
      <c r="G222" s="127">
        <f t="shared" si="54"/>
        <v>0.12154696132596676</v>
      </c>
      <c r="H222" s="132">
        <f t="shared" si="54"/>
        <v>8.3769633507853269E-2</v>
      </c>
      <c r="I222" s="132">
        <f t="shared" si="54"/>
        <v>7.6923076923076872E-2</v>
      </c>
      <c r="J222" s="152">
        <f t="shared" si="54"/>
        <v>7.5376884422110546E-2</v>
      </c>
      <c r="K222" s="134">
        <f t="shared" si="50"/>
        <v>0.12250712250712259</v>
      </c>
      <c r="L222" s="134">
        <f t="shared" si="51"/>
        <v>0.11049723756906071</v>
      </c>
      <c r="M222" s="134">
        <f t="shared" si="52"/>
        <v>9.9328859060402674E-2</v>
      </c>
      <c r="N222" s="135">
        <f t="shared" si="53"/>
        <v>8.8772845953002832E-2</v>
      </c>
    </row>
    <row r="223" spans="2:22" hidden="1" outlineLevel="1" x14ac:dyDescent="0.2">
      <c r="B223" s="416" t="str">
        <f t="shared" si="44"/>
        <v>1978 - 1979</v>
      </c>
      <c r="C223" s="124">
        <v>21.9</v>
      </c>
      <c r="D223" s="125">
        <v>22.4</v>
      </c>
      <c r="E223" s="125">
        <v>22.8</v>
      </c>
      <c r="F223" s="126">
        <v>23.5</v>
      </c>
      <c r="G223" s="127">
        <f t="shared" si="54"/>
        <v>7.8817733990147687E-2</v>
      </c>
      <c r="H223" s="132">
        <f t="shared" si="54"/>
        <v>8.212560386473422E-2</v>
      </c>
      <c r="I223" s="132">
        <f t="shared" si="54"/>
        <v>8.5714285714285854E-2</v>
      </c>
      <c r="J223" s="152">
        <f t="shared" si="54"/>
        <v>9.8130841121495394E-2</v>
      </c>
      <c r="K223" s="134">
        <f t="shared" si="50"/>
        <v>7.8680203045685237E-2</v>
      </c>
      <c r="L223" s="134">
        <f t="shared" si="51"/>
        <v>7.8358208955223718E-2</v>
      </c>
      <c r="M223" s="134">
        <f t="shared" si="52"/>
        <v>8.0586080586080522E-2</v>
      </c>
      <c r="N223" s="135">
        <f t="shared" si="53"/>
        <v>8.6330935251798468E-2</v>
      </c>
    </row>
    <row r="224" spans="2:22" hidden="1" outlineLevel="1" x14ac:dyDescent="0.2">
      <c r="B224" s="416" t="str">
        <f t="shared" si="44"/>
        <v>1979 - 1980</v>
      </c>
      <c r="C224" s="124">
        <v>24.1</v>
      </c>
      <c r="D224" s="125">
        <v>24.7</v>
      </c>
      <c r="E224" s="125">
        <v>25.4</v>
      </c>
      <c r="F224" s="126">
        <v>26.1</v>
      </c>
      <c r="G224" s="127">
        <f t="shared" si="54"/>
        <v>0.10045662100456632</v>
      </c>
      <c r="H224" s="132">
        <f t="shared" si="54"/>
        <v>0.1026785714285714</v>
      </c>
      <c r="I224" s="132">
        <f t="shared" si="54"/>
        <v>0.11403508771929816</v>
      </c>
      <c r="J224" s="152">
        <f t="shared" si="54"/>
        <v>0.11063829787234059</v>
      </c>
      <c r="K224" s="134">
        <f t="shared" si="50"/>
        <v>9.176470588235297E-2</v>
      </c>
      <c r="L224" s="134">
        <f t="shared" si="51"/>
        <v>9.6885813148789079E-2</v>
      </c>
      <c r="M224" s="134">
        <f t="shared" si="52"/>
        <v>0.10395480225988685</v>
      </c>
      <c r="N224" s="135">
        <f t="shared" si="53"/>
        <v>0.10706401766004414</v>
      </c>
    </row>
    <row r="225" spans="2:14" hidden="1" outlineLevel="1" x14ac:dyDescent="0.2">
      <c r="B225" s="416" t="str">
        <f t="shared" si="44"/>
        <v>1980 - 1981</v>
      </c>
      <c r="C225" s="124">
        <v>26.6</v>
      </c>
      <c r="D225" s="125">
        <v>27.1</v>
      </c>
      <c r="E225" s="125">
        <v>27.9</v>
      </c>
      <c r="F225" s="126">
        <v>28.4</v>
      </c>
      <c r="G225" s="127">
        <f t="shared" si="54"/>
        <v>0.10373443983402497</v>
      </c>
      <c r="H225" s="132">
        <f t="shared" si="54"/>
        <v>9.7165991902834037E-2</v>
      </c>
      <c r="I225" s="132">
        <f t="shared" si="54"/>
        <v>9.8425196850393748E-2</v>
      </c>
      <c r="J225" s="152">
        <f t="shared" si="54"/>
        <v>8.812260536398453E-2</v>
      </c>
      <c r="K225" s="134">
        <f t="shared" si="50"/>
        <v>0.1077586206896548</v>
      </c>
      <c r="L225" s="134">
        <f t="shared" si="51"/>
        <v>0.10620399579390138</v>
      </c>
      <c r="M225" s="134">
        <f t="shared" si="52"/>
        <v>0.10235414534288645</v>
      </c>
      <c r="N225" s="135">
        <f t="shared" si="53"/>
        <v>9.6709870388833608E-2</v>
      </c>
    </row>
    <row r="226" spans="2:14" hidden="1" outlineLevel="1" x14ac:dyDescent="0.2">
      <c r="B226" s="416" t="str">
        <f t="shared" si="44"/>
        <v>1981 - 1982</v>
      </c>
      <c r="C226" s="124">
        <v>28.9</v>
      </c>
      <c r="D226" s="125">
        <v>30.1</v>
      </c>
      <c r="E226" s="125">
        <v>30.7</v>
      </c>
      <c r="F226" s="126">
        <v>31.6</v>
      </c>
      <c r="G226" s="127">
        <f t="shared" si="54"/>
        <v>8.6466165413533691E-2</v>
      </c>
      <c r="H226" s="132">
        <f t="shared" si="54"/>
        <v>0.11070110701107017</v>
      </c>
      <c r="I226" s="132">
        <f t="shared" si="54"/>
        <v>0.10035842293906816</v>
      </c>
      <c r="J226" s="152">
        <f t="shared" si="54"/>
        <v>0.11267605633802824</v>
      </c>
      <c r="K226" s="134">
        <f t="shared" si="50"/>
        <v>9.2412451361868042E-2</v>
      </c>
      <c r="L226" s="134">
        <f t="shared" si="51"/>
        <v>9.6007604562737603E-2</v>
      </c>
      <c r="M226" s="134">
        <f t="shared" si="52"/>
        <v>9.6564531104921247E-2</v>
      </c>
      <c r="N226" s="135">
        <f t="shared" si="53"/>
        <v>0.10272727272727278</v>
      </c>
    </row>
    <row r="227" spans="2:14" hidden="1" outlineLevel="1" x14ac:dyDescent="0.2">
      <c r="B227" s="416" t="str">
        <f t="shared" si="44"/>
        <v>1982 - 1983</v>
      </c>
      <c r="C227" s="124">
        <v>32.700000000000003</v>
      </c>
      <c r="D227" s="125">
        <v>33.700000000000003</v>
      </c>
      <c r="E227" s="125">
        <v>34.4</v>
      </c>
      <c r="F227" s="126">
        <v>35.1</v>
      </c>
      <c r="G227" s="127">
        <f t="shared" si="54"/>
        <v>0.13148788927335664</v>
      </c>
      <c r="H227" s="132">
        <f t="shared" si="54"/>
        <v>0.1196013289036546</v>
      </c>
      <c r="I227" s="132">
        <f t="shared" si="54"/>
        <v>0.12052117263843654</v>
      </c>
      <c r="J227" s="152">
        <f t="shared" si="54"/>
        <v>0.110759493670886</v>
      </c>
      <c r="K227" s="134">
        <f t="shared" si="50"/>
        <v>0.1139804096170971</v>
      </c>
      <c r="L227" s="134">
        <f t="shared" si="51"/>
        <v>0.11621856027753674</v>
      </c>
      <c r="M227" s="134">
        <f t="shared" si="52"/>
        <v>0.12108382726502964</v>
      </c>
      <c r="N227" s="135">
        <f t="shared" si="53"/>
        <v>0.12036273701566369</v>
      </c>
    </row>
    <row r="228" spans="2:14" hidden="1" outlineLevel="1" x14ac:dyDescent="0.2">
      <c r="B228" s="416" t="str">
        <f t="shared" si="44"/>
        <v>1983 - 1984</v>
      </c>
      <c r="C228" s="124">
        <v>35.5</v>
      </c>
      <c r="D228" s="125">
        <v>36.200000000000003</v>
      </c>
      <c r="E228" s="125">
        <v>36.1</v>
      </c>
      <c r="F228" s="126">
        <v>36.1</v>
      </c>
      <c r="G228" s="127">
        <f t="shared" si="54"/>
        <v>8.5626911314984566E-2</v>
      </c>
      <c r="H228" s="132">
        <f t="shared" si="54"/>
        <v>7.4183976261127604E-2</v>
      </c>
      <c r="I228" s="132">
        <f t="shared" si="54"/>
        <v>4.9418604651162878E-2</v>
      </c>
      <c r="J228" s="152">
        <f t="shared" si="54"/>
        <v>2.8490028490028463E-2</v>
      </c>
      <c r="K228" s="134">
        <f t="shared" si="50"/>
        <v>0.10871302957633877</v>
      </c>
      <c r="L228" s="134">
        <f t="shared" si="51"/>
        <v>9.7125097125097426E-2</v>
      </c>
      <c r="M228" s="134">
        <f t="shared" si="52"/>
        <v>7.9305135951661665E-2</v>
      </c>
      <c r="N228" s="135">
        <f t="shared" si="53"/>
        <v>5.8866813833701181E-2</v>
      </c>
    </row>
    <row r="229" spans="2:14" hidden="1" outlineLevel="1" x14ac:dyDescent="0.2">
      <c r="B229" s="416" t="str">
        <f t="shared" si="44"/>
        <v>1984 - 1985</v>
      </c>
      <c r="C229" s="124">
        <v>36.5</v>
      </c>
      <c r="D229" s="125">
        <v>37.1</v>
      </c>
      <c r="E229" s="125">
        <v>37.6</v>
      </c>
      <c r="F229" s="126">
        <v>38.4</v>
      </c>
      <c r="G229" s="127">
        <f t="shared" si="54"/>
        <v>2.8169014084507005E-2</v>
      </c>
      <c r="H229" s="132">
        <f t="shared" si="54"/>
        <v>2.4861878453038555E-2</v>
      </c>
      <c r="I229" s="132">
        <f t="shared" si="54"/>
        <v>4.1551246537396169E-2</v>
      </c>
      <c r="J229" s="152">
        <f t="shared" si="54"/>
        <v>6.3711911357340556E-2</v>
      </c>
      <c r="K229" s="134">
        <f t="shared" si="50"/>
        <v>4.4700793078586987E-2</v>
      </c>
      <c r="L229" s="134">
        <f t="shared" si="51"/>
        <v>3.25779036827194E-2</v>
      </c>
      <c r="M229" s="134">
        <f t="shared" si="52"/>
        <v>3.0790762771168545E-2</v>
      </c>
      <c r="N229" s="135">
        <f t="shared" si="53"/>
        <v>3.9610840861709518E-2</v>
      </c>
    </row>
    <row r="230" spans="2:14" hidden="1" outlineLevel="1" x14ac:dyDescent="0.2">
      <c r="B230" s="416" t="str">
        <f t="shared" si="44"/>
        <v>1985 - 1986</v>
      </c>
      <c r="C230" s="124">
        <v>39.299999999999997</v>
      </c>
      <c r="D230" s="125">
        <v>40.200000000000003</v>
      </c>
      <c r="E230" s="125">
        <v>41.1</v>
      </c>
      <c r="F230" s="126">
        <v>41.8</v>
      </c>
      <c r="G230" s="127">
        <f t="shared" si="54"/>
        <v>7.6712328767123195E-2</v>
      </c>
      <c r="H230" s="132">
        <f t="shared" si="54"/>
        <v>8.3557951482479798E-2</v>
      </c>
      <c r="I230" s="132">
        <f t="shared" si="54"/>
        <v>9.3085106382978733E-2</v>
      </c>
      <c r="J230" s="152">
        <f t="shared" si="54"/>
        <v>8.8541666666666741E-2</v>
      </c>
      <c r="K230" s="134">
        <f t="shared" si="50"/>
        <v>5.1759834368529933E-2</v>
      </c>
      <c r="L230" s="134">
        <f t="shared" si="51"/>
        <v>6.6529492455418504E-2</v>
      </c>
      <c r="M230" s="134">
        <f t="shared" si="52"/>
        <v>7.9429735234215926E-2</v>
      </c>
      <c r="N230" s="135">
        <f t="shared" si="53"/>
        <v>8.5561497326203106E-2</v>
      </c>
    </row>
    <row r="231" spans="2:14" hidden="1" outlineLevel="1" x14ac:dyDescent="0.2">
      <c r="B231" s="416" t="str">
        <f t="shared" si="44"/>
        <v>1986 - 1987</v>
      </c>
      <c r="C231" s="124">
        <v>42.8</v>
      </c>
      <c r="D231" s="125">
        <v>44.1</v>
      </c>
      <c r="E231" s="125">
        <v>45</v>
      </c>
      <c r="F231" s="126">
        <v>45.7</v>
      </c>
      <c r="G231" s="127">
        <f t="shared" si="54"/>
        <v>8.9058524173027953E-2</v>
      </c>
      <c r="H231" s="132">
        <f t="shared" si="54"/>
        <v>9.7014925373134275E-2</v>
      </c>
      <c r="I231" s="132">
        <f t="shared" si="54"/>
        <v>9.4890510948905105E-2</v>
      </c>
      <c r="J231" s="152">
        <f t="shared" si="54"/>
        <v>9.3301435406698774E-2</v>
      </c>
      <c r="K231" s="134">
        <f t="shared" si="50"/>
        <v>8.8582677165354617E-2</v>
      </c>
      <c r="L231" s="134">
        <f t="shared" si="51"/>
        <v>9.1961414790996621E-2</v>
      </c>
      <c r="M231" s="134">
        <f t="shared" si="52"/>
        <v>9.2452830188679114E-2</v>
      </c>
      <c r="N231" s="135">
        <f t="shared" si="53"/>
        <v>9.3596059113300711E-2</v>
      </c>
    </row>
    <row r="232" spans="2:14" hidden="1" outlineLevel="1" x14ac:dyDescent="0.2">
      <c r="B232" s="416" t="str">
        <f t="shared" si="44"/>
        <v>1987 - 1988</v>
      </c>
      <c r="C232" s="124">
        <v>46.5</v>
      </c>
      <c r="D232" s="125">
        <v>47.2</v>
      </c>
      <c r="E232" s="125">
        <v>48.3</v>
      </c>
      <c r="F232" s="126">
        <v>49</v>
      </c>
      <c r="G232" s="127">
        <f t="shared" si="54"/>
        <v>8.6448598130841159E-2</v>
      </c>
      <c r="H232" s="132">
        <f t="shared" si="54"/>
        <v>7.029478458049887E-2</v>
      </c>
      <c r="I232" s="132">
        <f t="shared" si="54"/>
        <v>7.333333333333325E-2</v>
      </c>
      <c r="J232" s="152">
        <f t="shared" si="54"/>
        <v>7.2210065645514243E-2</v>
      </c>
      <c r="K232" s="134">
        <f t="shared" si="50"/>
        <v>9.2827004219409259E-2</v>
      </c>
      <c r="L232" s="134">
        <f t="shared" si="51"/>
        <v>8.598351001177873E-2</v>
      </c>
      <c r="M232" s="134">
        <f t="shared" si="52"/>
        <v>8.0598733448474347E-2</v>
      </c>
      <c r="N232" s="135">
        <f t="shared" si="53"/>
        <v>7.545045045045029E-2</v>
      </c>
    </row>
    <row r="233" spans="2:14" hidden="1" outlineLevel="1" x14ac:dyDescent="0.2">
      <c r="B233" s="416" t="str">
        <f t="shared" si="44"/>
        <v>1988 - 1989</v>
      </c>
      <c r="C233" s="124">
        <v>50.3</v>
      </c>
      <c r="D233" s="125">
        <v>51.6</v>
      </c>
      <c r="E233" s="125">
        <v>51.7</v>
      </c>
      <c r="F233" s="126">
        <v>52.9</v>
      </c>
      <c r="G233" s="127">
        <f t="shared" si="54"/>
        <v>8.172043010752672E-2</v>
      </c>
      <c r="H233" s="132">
        <f t="shared" si="54"/>
        <v>9.3220338983050821E-2</v>
      </c>
      <c r="I233" s="132">
        <f t="shared" si="54"/>
        <v>7.0393374741200887E-2</v>
      </c>
      <c r="J233" s="152">
        <f t="shared" si="54"/>
        <v>7.9591836734693944E-2</v>
      </c>
      <c r="K233" s="134">
        <f t="shared" si="50"/>
        <v>7.4462217319360091E-2</v>
      </c>
      <c r="L233" s="134">
        <f t="shared" si="51"/>
        <v>8.0260303687635481E-2</v>
      </c>
      <c r="M233" s="134">
        <f t="shared" si="52"/>
        <v>7.9381992541289526E-2</v>
      </c>
      <c r="N233" s="135">
        <f t="shared" si="53"/>
        <v>8.1151832460733209E-2</v>
      </c>
    </row>
    <row r="234" spans="2:14" hidden="1" outlineLevel="1" x14ac:dyDescent="0.2">
      <c r="B234" s="416" t="str">
        <f t="shared" si="44"/>
        <v>1989 - 1990</v>
      </c>
      <c r="C234" s="124">
        <v>54.4</v>
      </c>
      <c r="D234" s="125">
        <v>55.4</v>
      </c>
      <c r="E234" s="125">
        <v>56.3</v>
      </c>
      <c r="F234" s="126">
        <v>57.2</v>
      </c>
      <c r="G234" s="127">
        <f t="shared" si="54"/>
        <v>8.1510934393638212E-2</v>
      </c>
      <c r="H234" s="132">
        <f t="shared" si="54"/>
        <v>7.3643410852713087E-2</v>
      </c>
      <c r="I234" s="132">
        <f t="shared" si="54"/>
        <v>8.8974854932301728E-2</v>
      </c>
      <c r="J234" s="152">
        <f t="shared" si="54"/>
        <v>8.1285444234404647E-2</v>
      </c>
      <c r="K234" s="134">
        <f t="shared" si="50"/>
        <v>8.110882956878851E-2</v>
      </c>
      <c r="L234" s="134">
        <f t="shared" si="51"/>
        <v>7.6305220883533975E-2</v>
      </c>
      <c r="M234" s="134">
        <f t="shared" si="52"/>
        <v>8.0947680157946511E-2</v>
      </c>
      <c r="N234" s="135">
        <f t="shared" si="53"/>
        <v>8.1355932203389658E-2</v>
      </c>
    </row>
    <row r="235" spans="2:14" hidden="1" outlineLevel="1" x14ac:dyDescent="0.2">
      <c r="B235" s="416" t="str">
        <f t="shared" si="44"/>
        <v>1990 - 1991</v>
      </c>
      <c r="C235" s="124">
        <v>57.6</v>
      </c>
      <c r="D235" s="125">
        <v>58.9</v>
      </c>
      <c r="E235" s="125">
        <v>59</v>
      </c>
      <c r="F235" s="126">
        <v>58.9</v>
      </c>
      <c r="G235" s="127">
        <f t="shared" si="54"/>
        <v>5.8823529411764719E-2</v>
      </c>
      <c r="H235" s="132">
        <f t="shared" si="54"/>
        <v>6.3176895306859215E-2</v>
      </c>
      <c r="I235" s="132">
        <f t="shared" si="54"/>
        <v>4.7957371225577416E-2</v>
      </c>
      <c r="J235" s="152">
        <f t="shared" si="54"/>
        <v>2.9720279720279574E-2</v>
      </c>
      <c r="K235" s="134">
        <f t="shared" si="50"/>
        <v>7.5498575498575304E-2</v>
      </c>
      <c r="L235" s="134">
        <f t="shared" si="51"/>
        <v>7.2761194029850929E-2</v>
      </c>
      <c r="M235" s="134">
        <f t="shared" si="52"/>
        <v>6.2557077625570834E-2</v>
      </c>
      <c r="N235" s="135">
        <f t="shared" si="53"/>
        <v>4.9708911777877285E-2</v>
      </c>
    </row>
    <row r="236" spans="2:14" hidden="1" outlineLevel="1" x14ac:dyDescent="0.2">
      <c r="B236" s="416" t="str">
        <f t="shared" si="44"/>
        <v>1991 - 1992</v>
      </c>
      <c r="C236" s="124">
        <v>59.2</v>
      </c>
      <c r="D236" s="125">
        <v>59.8</v>
      </c>
      <c r="E236" s="125">
        <v>59.8</v>
      </c>
      <c r="F236" s="126">
        <v>59.5</v>
      </c>
      <c r="G236" s="127">
        <f t="shared" si="54"/>
        <v>2.7777777777777901E-2</v>
      </c>
      <c r="H236" s="132">
        <f t="shared" si="54"/>
        <v>1.5280135823429575E-2</v>
      </c>
      <c r="I236" s="132">
        <f t="shared" si="54"/>
        <v>1.3559322033898313E-2</v>
      </c>
      <c r="J236" s="152">
        <f t="shared" si="54"/>
        <v>1.0186757215619791E-2</v>
      </c>
      <c r="K236" s="134">
        <f t="shared" si="50"/>
        <v>4.1942604856512355E-2</v>
      </c>
      <c r="L236" s="134">
        <f t="shared" si="51"/>
        <v>3.0000000000000027E-2</v>
      </c>
      <c r="M236" s="134">
        <f t="shared" si="52"/>
        <v>2.1486892995272955E-2</v>
      </c>
      <c r="N236" s="135">
        <f t="shared" si="53"/>
        <v>1.6638225255972694E-2</v>
      </c>
    </row>
    <row r="237" spans="2:14" hidden="1" outlineLevel="1" x14ac:dyDescent="0.2">
      <c r="B237" s="416" t="str">
        <f t="shared" si="44"/>
        <v>1992 - 1993</v>
      </c>
      <c r="C237" s="124">
        <v>59.7</v>
      </c>
      <c r="D237" s="125">
        <v>60</v>
      </c>
      <c r="E237" s="125">
        <v>60.4</v>
      </c>
      <c r="F237" s="126">
        <v>60.5</v>
      </c>
      <c r="G237" s="127">
        <f t="shared" si="54"/>
        <v>8.445945945946054E-3</v>
      </c>
      <c r="H237" s="132">
        <f t="shared" si="54"/>
        <v>3.3444816053511683E-3</v>
      </c>
      <c r="I237" s="132">
        <f t="shared" si="54"/>
        <v>1.0033444816053505E-2</v>
      </c>
      <c r="J237" s="152">
        <f t="shared" si="54"/>
        <v>1.6806722689075571E-2</v>
      </c>
      <c r="K237" s="134">
        <f t="shared" si="50"/>
        <v>1.1864406779661163E-2</v>
      </c>
      <c r="L237" s="134">
        <f t="shared" si="51"/>
        <v>8.8644997889404387E-3</v>
      </c>
      <c r="M237" s="134">
        <f t="shared" si="52"/>
        <v>7.9932688262513985E-3</v>
      </c>
      <c r="N237" s="135">
        <f t="shared" si="53"/>
        <v>9.6516995383968407E-3</v>
      </c>
    </row>
    <row r="238" spans="2:14" hidden="1" outlineLevel="1" x14ac:dyDescent="0.2">
      <c r="B238" s="416" t="str">
        <f t="shared" si="44"/>
        <v>1993 - 1994</v>
      </c>
      <c r="C238" s="124">
        <v>60.7</v>
      </c>
      <c r="D238" s="125">
        <v>60.8</v>
      </c>
      <c r="E238" s="125">
        <v>60.9</v>
      </c>
      <c r="F238" s="126">
        <v>61.4</v>
      </c>
      <c r="G238" s="127">
        <f t="shared" si="54"/>
        <v>1.675041876046901E-2</v>
      </c>
      <c r="H238" s="132">
        <f t="shared" si="54"/>
        <v>1.3333333333333197E-2</v>
      </c>
      <c r="I238" s="132">
        <f t="shared" si="54"/>
        <v>8.2781456953642252E-3</v>
      </c>
      <c r="J238" s="152">
        <f t="shared" si="54"/>
        <v>1.4876033057851235E-2</v>
      </c>
      <c r="K238" s="134">
        <f t="shared" si="50"/>
        <v>1.1725293132328396E-2</v>
      </c>
      <c r="L238" s="134">
        <f t="shared" si="51"/>
        <v>1.4225941422594257E-2</v>
      </c>
      <c r="M238" s="134">
        <f t="shared" si="52"/>
        <v>1.3772954924874847E-2</v>
      </c>
      <c r="N238" s="135">
        <f t="shared" si="53"/>
        <v>1.3300083125519668E-2</v>
      </c>
    </row>
    <row r="239" spans="2:14" hidden="1" outlineLevel="1" x14ac:dyDescent="0.2">
      <c r="B239" s="416" t="str">
        <f t="shared" si="44"/>
        <v>1994 - 1995</v>
      </c>
      <c r="C239" s="124">
        <v>62</v>
      </c>
      <c r="D239" s="125">
        <v>62.4</v>
      </c>
      <c r="E239" s="125">
        <v>63.5</v>
      </c>
      <c r="F239" s="126">
        <v>64.400000000000006</v>
      </c>
      <c r="G239" s="127">
        <f t="shared" si="54"/>
        <v>2.1416803953871355E-2</v>
      </c>
      <c r="H239" s="132">
        <f t="shared" si="54"/>
        <v>2.6315789473684292E-2</v>
      </c>
      <c r="I239" s="132">
        <f t="shared" si="54"/>
        <v>4.269293924466333E-2</v>
      </c>
      <c r="J239" s="152">
        <f t="shared" si="54"/>
        <v>4.8859934853420217E-2</v>
      </c>
      <c r="K239" s="134">
        <f t="shared" si="50"/>
        <v>1.4486754966887228E-2</v>
      </c>
      <c r="L239" s="134">
        <f t="shared" si="51"/>
        <v>1.7739273927392718E-2</v>
      </c>
      <c r="M239" s="134">
        <f t="shared" si="52"/>
        <v>2.6348291477974461E-2</v>
      </c>
      <c r="N239" s="135">
        <f t="shared" si="53"/>
        <v>3.4864643150122943E-2</v>
      </c>
    </row>
    <row r="240" spans="2:14" hidden="1" outlineLevel="1" x14ac:dyDescent="0.2">
      <c r="B240" s="416" t="str">
        <f t="shared" si="44"/>
        <v>1995 - 1996</v>
      </c>
      <c r="C240" s="124">
        <v>65.5</v>
      </c>
      <c r="D240" s="125">
        <v>66.099999999999994</v>
      </c>
      <c r="E240" s="125">
        <v>66.5</v>
      </c>
      <c r="F240" s="126">
        <v>67</v>
      </c>
      <c r="G240" s="127">
        <f t="shared" si="54"/>
        <v>5.6451612903225756E-2</v>
      </c>
      <c r="H240" s="132">
        <f t="shared" si="54"/>
        <v>5.9294871794871806E-2</v>
      </c>
      <c r="I240" s="132">
        <f t="shared" si="54"/>
        <v>4.7244094488188892E-2</v>
      </c>
      <c r="J240" s="152">
        <f t="shared" si="54"/>
        <v>4.0372670807453215E-2</v>
      </c>
      <c r="K240" s="134">
        <f t="shared" si="50"/>
        <v>4.3655650754794051E-2</v>
      </c>
      <c r="L240" s="134">
        <f t="shared" si="51"/>
        <v>5.1884880421564583E-2</v>
      </c>
      <c r="M240" s="134">
        <f t="shared" si="52"/>
        <v>5.2948255114320109E-2</v>
      </c>
      <c r="N240" s="135">
        <f t="shared" si="53"/>
        <v>5.0733254062623967E-2</v>
      </c>
    </row>
    <row r="241" spans="2:16" hidden="1" outlineLevel="1" x14ac:dyDescent="0.2">
      <c r="B241" s="416" t="str">
        <f t="shared" si="44"/>
        <v>1996 - 1997</v>
      </c>
      <c r="C241" s="124">
        <v>67.099999999999994</v>
      </c>
      <c r="D241" s="125">
        <v>67.2</v>
      </c>
      <c r="E241" s="125">
        <v>67.3</v>
      </c>
      <c r="F241" s="126">
        <v>67.099999999999994</v>
      </c>
      <c r="G241" s="127">
        <f t="shared" si="54"/>
        <v>2.4427480916030531E-2</v>
      </c>
      <c r="H241" s="132">
        <f t="shared" si="54"/>
        <v>1.6641452344932084E-2</v>
      </c>
      <c r="I241" s="132">
        <f t="shared" si="54"/>
        <v>1.2030075187969835E-2</v>
      </c>
      <c r="J241" s="152">
        <f t="shared" si="54"/>
        <v>1.4925373134326847E-3</v>
      </c>
      <c r="K241" s="134">
        <f t="shared" si="50"/>
        <v>4.2611415168100075E-2</v>
      </c>
      <c r="L241" s="134">
        <f t="shared" si="51"/>
        <v>3.1984585741811289E-2</v>
      </c>
      <c r="M241" s="134">
        <f t="shared" si="52"/>
        <v>2.323809523809528E-2</v>
      </c>
      <c r="N241" s="135">
        <f t="shared" si="53"/>
        <v>1.35797812146361E-2</v>
      </c>
    </row>
    <row r="242" spans="2:16" hidden="1" outlineLevel="1" x14ac:dyDescent="0.2">
      <c r="B242" s="416" t="str">
        <f t="shared" si="44"/>
        <v>1997 - 1998</v>
      </c>
      <c r="C242" s="124">
        <v>66.900000000000006</v>
      </c>
      <c r="D242" s="125">
        <v>67.099999999999994</v>
      </c>
      <c r="E242" s="125">
        <v>67.400000000000006</v>
      </c>
      <c r="F242" s="126">
        <v>67.8</v>
      </c>
      <c r="G242" s="127">
        <f t="shared" si="54"/>
        <v>-2.9806259314454353E-3</v>
      </c>
      <c r="H242" s="132">
        <f t="shared" si="54"/>
        <v>-1.4880952380953438E-3</v>
      </c>
      <c r="I242" s="132">
        <f t="shared" si="54"/>
        <v>1.4858841010403356E-3</v>
      </c>
      <c r="J242" s="152">
        <f t="shared" si="54"/>
        <v>1.0432190760059745E-2</v>
      </c>
      <c r="K242" s="134">
        <f t="shared" si="50"/>
        <v>6.7491563554555878E-3</v>
      </c>
      <c r="L242" s="134">
        <f t="shared" si="51"/>
        <v>2.2404779686331366E-3</v>
      </c>
      <c r="M242" s="134">
        <f t="shared" si="52"/>
        <v>-3.7230081906192147E-4</v>
      </c>
      <c r="N242" s="135">
        <f t="shared" si="53"/>
        <v>1.8608113137326132E-3</v>
      </c>
    </row>
    <row r="243" spans="2:16" hidden="1" outlineLevel="1" x14ac:dyDescent="0.2">
      <c r="B243" s="416" t="str">
        <f t="shared" si="44"/>
        <v>1998 - 1999</v>
      </c>
      <c r="C243" s="124">
        <v>68</v>
      </c>
      <c r="D243" s="125">
        <v>68.400000000000006</v>
      </c>
      <c r="E243" s="125">
        <v>68.400000000000006</v>
      </c>
      <c r="F243" s="126">
        <v>68.7</v>
      </c>
      <c r="G243" s="127">
        <f t="shared" si="54"/>
        <v>1.6442451420029869E-2</v>
      </c>
      <c r="H243" s="132">
        <f t="shared" si="54"/>
        <v>1.9374068554396606E-2</v>
      </c>
      <c r="I243" s="132">
        <f t="shared" si="54"/>
        <v>1.4836795252225476E-2</v>
      </c>
      <c r="J243" s="152">
        <f t="shared" si="54"/>
        <v>1.3274336283185972E-2</v>
      </c>
      <c r="K243" s="134">
        <f t="shared" si="50"/>
        <v>6.7039106145252436E-3</v>
      </c>
      <c r="L243" s="134">
        <f t="shared" si="51"/>
        <v>1.1922503725782629E-2</v>
      </c>
      <c r="M243" s="134">
        <f t="shared" si="52"/>
        <v>1.527001862197408E-2</v>
      </c>
      <c r="N243" s="135">
        <f t="shared" si="53"/>
        <v>1.5973254086181221E-2</v>
      </c>
    </row>
    <row r="244" spans="2:16" hidden="1" outlineLevel="1" x14ac:dyDescent="0.2">
      <c r="B244" s="416" t="str">
        <f t="shared" si="44"/>
        <v>1999 - 2000</v>
      </c>
      <c r="C244" s="124">
        <v>69.3</v>
      </c>
      <c r="D244" s="125">
        <v>69.7</v>
      </c>
      <c r="E244" s="125">
        <v>70.3</v>
      </c>
      <c r="F244" s="126">
        <v>70.900000000000006</v>
      </c>
      <c r="G244" s="127">
        <f t="shared" si="54"/>
        <v>1.9117647058823461E-2</v>
      </c>
      <c r="H244" s="132">
        <f t="shared" si="54"/>
        <v>1.9005847953216248E-2</v>
      </c>
      <c r="I244" s="132">
        <f t="shared" si="54"/>
        <v>2.7777777777777679E-2</v>
      </c>
      <c r="J244" s="152">
        <f t="shared" si="54"/>
        <v>3.2023289665211063E-2</v>
      </c>
      <c r="K244" s="134">
        <f t="shared" si="50"/>
        <v>1.6648168701442811E-2</v>
      </c>
      <c r="L244" s="134">
        <f t="shared" si="51"/>
        <v>1.6568483063328365E-2</v>
      </c>
      <c r="M244" s="134">
        <f t="shared" si="52"/>
        <v>1.9809244314013208E-2</v>
      </c>
      <c r="N244" s="135">
        <f t="shared" si="53"/>
        <v>2.4497257769652725E-2</v>
      </c>
    </row>
    <row r="245" spans="2:16" collapsed="1" x14ac:dyDescent="0.2">
      <c r="B245" s="416" t="str">
        <f t="shared" si="44"/>
        <v>2000 - 2001</v>
      </c>
      <c r="C245" s="124">
        <v>73.5</v>
      </c>
      <c r="D245" s="125">
        <v>73.8</v>
      </c>
      <c r="E245" s="125">
        <v>74.8</v>
      </c>
      <c r="F245" s="126">
        <v>75.400000000000006</v>
      </c>
      <c r="G245" s="127">
        <f t="shared" si="54"/>
        <v>6.0606060606060552E-2</v>
      </c>
      <c r="H245" s="132">
        <f t="shared" si="54"/>
        <v>5.8823529411764719E-2</v>
      </c>
      <c r="I245" s="132">
        <f t="shared" si="54"/>
        <v>6.4011379800853474E-2</v>
      </c>
      <c r="J245" s="152">
        <f t="shared" si="54"/>
        <v>6.3469675599435726E-2</v>
      </c>
      <c r="K245" s="134">
        <f t="shared" si="50"/>
        <v>3.4934497816593746E-2</v>
      </c>
      <c r="L245" s="134">
        <f t="shared" si="51"/>
        <v>4.4911264034769971E-2</v>
      </c>
      <c r="M245" s="134">
        <f t="shared" si="52"/>
        <v>5.3956834532374209E-2</v>
      </c>
      <c r="N245" s="135">
        <f t="shared" si="53"/>
        <v>6.1741613133475814E-2</v>
      </c>
    </row>
    <row r="246" spans="2:16" x14ac:dyDescent="0.2">
      <c r="B246" s="416" t="str">
        <f t="shared" si="44"/>
        <v>2001 - 2002</v>
      </c>
      <c r="C246" s="124">
        <v>75.599999999999994</v>
      </c>
      <c r="D246" s="125">
        <v>76.3</v>
      </c>
      <c r="E246" s="125">
        <v>77</v>
      </c>
      <c r="F246" s="126">
        <v>77.5</v>
      </c>
      <c r="G246" s="127">
        <f t="shared" si="54"/>
        <v>2.857142857142847E-2</v>
      </c>
      <c r="H246" s="132">
        <f t="shared" si="54"/>
        <v>3.3875338753387441E-2</v>
      </c>
      <c r="I246" s="132">
        <f t="shared" si="54"/>
        <v>2.941176470588247E-2</v>
      </c>
      <c r="J246" s="152">
        <f t="shared" si="54"/>
        <v>2.7851458885941538E-2</v>
      </c>
      <c r="K246" s="134">
        <f t="shared" si="50"/>
        <v>5.3445850914205506E-2</v>
      </c>
      <c r="L246" s="134">
        <f t="shared" si="51"/>
        <v>4.7140381282495536E-2</v>
      </c>
      <c r="M246" s="134">
        <f t="shared" si="52"/>
        <v>3.8566552901023732E-2</v>
      </c>
      <c r="N246" s="135">
        <f t="shared" si="53"/>
        <v>2.9915966386554471E-2</v>
      </c>
    </row>
    <row r="247" spans="2:16" x14ac:dyDescent="0.2">
      <c r="B247" s="416" t="str">
        <f t="shared" si="44"/>
        <v>2002 - 2003</v>
      </c>
      <c r="C247" s="124">
        <v>77.900000000000006</v>
      </c>
      <c r="D247" s="125">
        <v>78.400000000000006</v>
      </c>
      <c r="E247" s="125">
        <v>79.400000000000006</v>
      </c>
      <c r="F247" s="126">
        <v>79.400000000000006</v>
      </c>
      <c r="G247" s="127">
        <f t="shared" si="54"/>
        <v>3.0423280423280685E-2</v>
      </c>
      <c r="H247" s="132">
        <f t="shared" si="54"/>
        <v>2.7522935779816571E-2</v>
      </c>
      <c r="I247" s="132">
        <f t="shared" si="54"/>
        <v>3.1168831168831179E-2</v>
      </c>
      <c r="J247" s="152">
        <f t="shared" si="54"/>
        <v>2.4516129032258194E-2</v>
      </c>
      <c r="K247" s="134">
        <f t="shared" si="50"/>
        <v>3.0373831775700966E-2</v>
      </c>
      <c r="L247" s="134">
        <f t="shared" si="51"/>
        <v>2.8798411122145096E-2</v>
      </c>
      <c r="M247" s="134">
        <f t="shared" si="52"/>
        <v>2.9247453171213023E-2</v>
      </c>
      <c r="N247" s="135">
        <f t="shared" si="53"/>
        <v>2.8394255874673702E-2</v>
      </c>
    </row>
    <row r="248" spans="2:16" x14ac:dyDescent="0.2">
      <c r="B248" s="416" t="str">
        <f t="shared" si="44"/>
        <v>2003 - 2004</v>
      </c>
      <c r="C248" s="124">
        <v>79.5</v>
      </c>
      <c r="D248" s="125">
        <v>80.2</v>
      </c>
      <c r="E248" s="125">
        <v>80.900000000000006</v>
      </c>
      <c r="F248" s="126">
        <v>81.2</v>
      </c>
      <c r="G248" s="127">
        <f t="shared" si="54"/>
        <v>2.0539152759948553E-2</v>
      </c>
      <c r="H248" s="132">
        <f t="shared" si="54"/>
        <v>2.2959183673469274E-2</v>
      </c>
      <c r="I248" s="132">
        <f t="shared" si="54"/>
        <v>1.8891687657430767E-2</v>
      </c>
      <c r="J248" s="152">
        <f t="shared" si="54"/>
        <v>2.267002518891692E-2</v>
      </c>
      <c r="K248" s="134">
        <f t="shared" si="50"/>
        <v>2.5915127955944195E-2</v>
      </c>
      <c r="L248" s="134">
        <f t="shared" si="51"/>
        <v>2.4774774774774633E-2</v>
      </c>
      <c r="M248" s="134">
        <f t="shared" si="52"/>
        <v>2.1711366538952559E-2</v>
      </c>
      <c r="N248" s="135">
        <f t="shared" si="53"/>
        <v>2.1263091082196039E-2</v>
      </c>
    </row>
    <row r="249" spans="2:16" x14ac:dyDescent="0.2">
      <c r="B249" s="416" t="str">
        <f t="shared" si="44"/>
        <v>2004 - 2005</v>
      </c>
      <c r="C249" s="124">
        <v>81.599999999999994</v>
      </c>
      <c r="D249" s="125">
        <v>82.3</v>
      </c>
      <c r="E249" s="125">
        <v>82.7</v>
      </c>
      <c r="F249" s="126">
        <v>83.2</v>
      </c>
      <c r="G249" s="127">
        <f t="shared" si="54"/>
        <v>2.6415094339622636E-2</v>
      </c>
      <c r="H249" s="132">
        <f t="shared" si="54"/>
        <v>2.6184538653366562E-2</v>
      </c>
      <c r="I249" s="132">
        <f t="shared" si="54"/>
        <v>2.2249690976514191E-2</v>
      </c>
      <c r="J249" s="152">
        <f t="shared" si="54"/>
        <v>2.4630541871921263E-2</v>
      </c>
      <c r="K249" s="134">
        <f t="shared" si="50"/>
        <v>2.2734449005367585E-2</v>
      </c>
      <c r="L249" s="134">
        <f t="shared" si="51"/>
        <v>2.3547880690737877E-2</v>
      </c>
      <c r="M249" s="134">
        <f t="shared" si="52"/>
        <v>2.4374999999999813E-2</v>
      </c>
      <c r="N249" s="135">
        <f t="shared" si="53"/>
        <v>2.4860161591050201E-2</v>
      </c>
    </row>
    <row r="250" spans="2:16" x14ac:dyDescent="0.2">
      <c r="B250" s="416" t="str">
        <f t="shared" si="44"/>
        <v>2005 - 2006</v>
      </c>
      <c r="C250" s="124">
        <v>84</v>
      </c>
      <c r="D250" s="125">
        <v>84.3</v>
      </c>
      <c r="E250" s="125">
        <v>85</v>
      </c>
      <c r="F250" s="126">
        <v>86.4</v>
      </c>
      <c r="G250" s="127">
        <f t="shared" si="54"/>
        <v>2.941176470588247E-2</v>
      </c>
      <c r="H250" s="132">
        <f t="shared" si="54"/>
        <v>2.4301336573511634E-2</v>
      </c>
      <c r="I250" s="132">
        <f t="shared" si="54"/>
        <v>2.7811366384522307E-2</v>
      </c>
      <c r="J250" s="152">
        <f t="shared" si="54"/>
        <v>3.8461538461538547E-2</v>
      </c>
      <c r="K250" s="134">
        <f t="shared" ref="K250:K257" si="55">(SUM(D249:F249)+C250)/(SUM(D248:F248)+C249)-1</f>
        <v>2.5625192960790466E-2</v>
      </c>
      <c r="L250" s="134">
        <f t="shared" ref="L250:L264" si="56">(SUM(C250:D250)+F249+E249)/(SUM(C249:D249)+F248+E248)-1</f>
        <v>2.5153374233128689E-2</v>
      </c>
      <c r="M250" s="134">
        <f t="shared" si="52"/>
        <v>2.654057352043937E-2</v>
      </c>
      <c r="N250" s="135">
        <f t="shared" si="53"/>
        <v>3.0018192844148306E-2</v>
      </c>
    </row>
    <row r="251" spans="2:16" x14ac:dyDescent="0.2">
      <c r="B251" s="416" t="str">
        <f t="shared" si="44"/>
        <v>2006 - 2007</v>
      </c>
      <c r="C251" s="124">
        <v>87.2</v>
      </c>
      <c r="D251" s="125">
        <v>87</v>
      </c>
      <c r="E251" s="125">
        <v>86.9</v>
      </c>
      <c r="F251" s="126">
        <v>87.9</v>
      </c>
      <c r="G251" s="127">
        <f t="shared" si="54"/>
        <v>3.8095238095238182E-2</v>
      </c>
      <c r="H251" s="132">
        <f t="shared" si="54"/>
        <v>3.2028469750889688E-2</v>
      </c>
      <c r="I251" s="132">
        <f t="shared" si="54"/>
        <v>2.2352941176470686E-2</v>
      </c>
      <c r="J251" s="152">
        <f t="shared" si="54"/>
        <v>1.736111111111116E-2</v>
      </c>
      <c r="K251" s="134">
        <f t="shared" si="55"/>
        <v>3.2209512341962787E-2</v>
      </c>
      <c r="L251" s="134">
        <f t="shared" si="56"/>
        <v>3.4111310592459754E-2</v>
      </c>
      <c r="M251" s="134">
        <f t="shared" si="52"/>
        <v>3.2689450222882721E-2</v>
      </c>
      <c r="N251" s="135">
        <f t="shared" si="53"/>
        <v>2.7377097438916476E-2</v>
      </c>
    </row>
    <row r="252" spans="2:16" x14ac:dyDescent="0.2">
      <c r="B252" s="416" t="str">
        <f t="shared" si="44"/>
        <v>2007 - 2008</v>
      </c>
      <c r="C252" s="124">
        <v>88.3</v>
      </c>
      <c r="D252" s="125">
        <v>89.1</v>
      </c>
      <c r="E252" s="125">
        <v>90.3</v>
      </c>
      <c r="F252" s="126">
        <v>91.7</v>
      </c>
      <c r="G252" s="127">
        <f t="shared" si="54"/>
        <v>1.261467889908241E-2</v>
      </c>
      <c r="H252" s="132">
        <f t="shared" si="54"/>
        <v>2.4137931034482696E-2</v>
      </c>
      <c r="I252" s="132">
        <f t="shared" si="54"/>
        <v>3.9125431530494748E-2</v>
      </c>
      <c r="J252" s="152">
        <f t="shared" si="54"/>
        <v>4.3230944254835091E-2</v>
      </c>
      <c r="K252" s="134">
        <f t="shared" si="55"/>
        <v>2.0997375328083878E-2</v>
      </c>
      <c r="L252" s="134">
        <f t="shared" si="56"/>
        <v>1.9097222222221877E-2</v>
      </c>
      <c r="M252" s="134">
        <f t="shared" si="52"/>
        <v>2.3309352517985715E-2</v>
      </c>
      <c r="N252" s="135">
        <f t="shared" si="53"/>
        <v>2.9799426934097317E-2</v>
      </c>
    </row>
    <row r="253" spans="2:16" x14ac:dyDescent="0.2">
      <c r="B253" s="416" t="str">
        <f t="shared" si="44"/>
        <v>2008 - 2009</v>
      </c>
      <c r="C253" s="124">
        <v>92.7</v>
      </c>
      <c r="D253" s="125">
        <v>92.4</v>
      </c>
      <c r="E253" s="125">
        <v>92.5</v>
      </c>
      <c r="F253" s="126">
        <v>92.9</v>
      </c>
      <c r="G253" s="127">
        <f t="shared" si="54"/>
        <v>4.9830124575311441E-2</v>
      </c>
      <c r="H253" s="132">
        <f t="shared" si="54"/>
        <v>3.7037037037037202E-2</v>
      </c>
      <c r="I253" s="132">
        <f t="shared" si="54"/>
        <v>2.4363233665559259E-2</v>
      </c>
      <c r="J253" s="152">
        <f t="shared" si="54"/>
        <v>1.3086150490730697E-2</v>
      </c>
      <c r="K253" s="134">
        <f t="shared" si="55"/>
        <v>3.9131676663810122E-2</v>
      </c>
      <c r="L253" s="134">
        <f t="shared" si="56"/>
        <v>4.2305508233958289E-2</v>
      </c>
      <c r="M253" s="134">
        <f t="shared" si="52"/>
        <v>3.8526434195725434E-2</v>
      </c>
      <c r="N253" s="135">
        <f t="shared" si="53"/>
        <v>3.0884808013355691E-2</v>
      </c>
    </row>
    <row r="254" spans="2:16" x14ac:dyDescent="0.2">
      <c r="B254" s="416" t="str">
        <f t="shared" si="44"/>
        <v>2009 - 2010</v>
      </c>
      <c r="C254" s="124">
        <v>93.9</v>
      </c>
      <c r="D254" s="125">
        <v>94.4</v>
      </c>
      <c r="E254" s="125">
        <v>95.2</v>
      </c>
      <c r="F254" s="126">
        <v>95.6</v>
      </c>
      <c r="G254" s="127">
        <f t="shared" si="54"/>
        <v>1.2944983818770295E-2</v>
      </c>
      <c r="H254" s="132">
        <f t="shared" si="54"/>
        <v>2.1645021645021689E-2</v>
      </c>
      <c r="I254" s="132">
        <f t="shared" si="54"/>
        <v>2.9189189189189113E-2</v>
      </c>
      <c r="J254" s="152">
        <f t="shared" si="54"/>
        <v>2.906350914962319E-2</v>
      </c>
      <c r="K254" s="134">
        <f t="shared" si="55"/>
        <v>2.1715228147333843E-2</v>
      </c>
      <c r="L254" s="134">
        <f t="shared" si="56"/>
        <v>1.7978752383546848E-2</v>
      </c>
      <c r="M254" s="134">
        <f t="shared" si="52"/>
        <v>1.92255618738153E-2</v>
      </c>
      <c r="N254" s="135">
        <f t="shared" si="53"/>
        <v>2.3211875843454743E-2</v>
      </c>
    </row>
    <row r="255" spans="2:16" x14ac:dyDescent="0.2">
      <c r="B255" s="416" t="str">
        <f t="shared" si="44"/>
        <v>2010 - 2011</v>
      </c>
      <c r="C255" s="124">
        <v>96.3</v>
      </c>
      <c r="D255" s="125">
        <v>96.7</v>
      </c>
      <c r="E255" s="125">
        <v>98.2</v>
      </c>
      <c r="F255" s="126">
        <v>99.2</v>
      </c>
      <c r="G255" s="127">
        <f t="shared" si="54"/>
        <v>2.5559105431309792E-2</v>
      </c>
      <c r="H255" s="132">
        <f t="shared" si="54"/>
        <v>2.4364406779660897E-2</v>
      </c>
      <c r="I255" s="132">
        <f t="shared" si="54"/>
        <v>3.1512605042016695E-2</v>
      </c>
      <c r="J255" s="152">
        <f t="shared" si="54"/>
        <v>3.7656903765690419E-2</v>
      </c>
      <c r="K255" s="134">
        <f t="shared" si="55"/>
        <v>2.6365348399246757E-2</v>
      </c>
      <c r="L255" s="134">
        <f t="shared" si="56"/>
        <v>2.7027027027026973E-2</v>
      </c>
      <c r="M255" s="134">
        <f t="shared" si="52"/>
        <v>2.763018065887346E-2</v>
      </c>
      <c r="N255" s="135">
        <f t="shared" si="53"/>
        <v>2.9807438670535369E-2</v>
      </c>
      <c r="P255" s="352" t="s">
        <v>439</v>
      </c>
    </row>
    <row r="256" spans="2:16" x14ac:dyDescent="0.2">
      <c r="B256" s="416" t="str">
        <f t="shared" si="44"/>
        <v>2011 - 2012</v>
      </c>
      <c r="C256" s="124">
        <v>99.9</v>
      </c>
      <c r="D256" s="125">
        <v>99.8</v>
      </c>
      <c r="E256" s="125">
        <v>99.9</v>
      </c>
      <c r="F256" s="126">
        <v>100.5</v>
      </c>
      <c r="G256" s="127">
        <f t="shared" si="54"/>
        <v>3.7383177570093462E-2</v>
      </c>
      <c r="H256" s="132">
        <f t="shared" si="54"/>
        <v>3.2057911065149991E-2</v>
      </c>
      <c r="I256" s="132">
        <f t="shared" si="54"/>
        <v>1.731160896130346E-2</v>
      </c>
      <c r="J256" s="152">
        <f t="shared" si="54"/>
        <v>1.3104838709677491E-2</v>
      </c>
      <c r="K256" s="134">
        <f t="shared" si="55"/>
        <v>3.2765399737876733E-2</v>
      </c>
      <c r="L256" s="134">
        <f t="shared" si="56"/>
        <v>3.4653465346534462E-2</v>
      </c>
      <c r="M256" s="134">
        <f t="shared" si="52"/>
        <v>3.1023784901758056E-2</v>
      </c>
      <c r="N256" s="135">
        <f t="shared" si="53"/>
        <v>2.4846311475410054E-2</v>
      </c>
    </row>
    <row r="257" spans="2:16" x14ac:dyDescent="0.2">
      <c r="B257" s="416" t="str">
        <f t="shared" si="44"/>
        <v>2012 - 2013</v>
      </c>
      <c r="C257" s="124">
        <v>102.2</v>
      </c>
      <c r="D257" s="125">
        <v>102.3</v>
      </c>
      <c r="E257" s="125">
        <v>102.7</v>
      </c>
      <c r="F257" s="126">
        <v>103.1</v>
      </c>
      <c r="G257" s="127">
        <f t="shared" si="54"/>
        <v>2.3023023023023059E-2</v>
      </c>
      <c r="H257" s="132">
        <f t="shared" si="54"/>
        <v>2.5050100200400882E-2</v>
      </c>
      <c r="I257" s="132">
        <f>E257/E256-1</f>
        <v>2.8028028028028062E-2</v>
      </c>
      <c r="J257" s="152">
        <f t="shared" si="54"/>
        <v>2.5870646766169125E-2</v>
      </c>
      <c r="K257" s="134">
        <f t="shared" si="55"/>
        <v>2.1319796954314629E-2</v>
      </c>
      <c r="L257" s="134">
        <f t="shared" si="56"/>
        <v>1.9642407454041777E-2</v>
      </c>
      <c r="M257" s="134">
        <f t="shared" si="52"/>
        <v>2.2316950852557582E-2</v>
      </c>
      <c r="N257" s="135">
        <f t="shared" si="53"/>
        <v>2.5493626593351415E-2</v>
      </c>
      <c r="P257" s="352" t="s">
        <v>435</v>
      </c>
    </row>
    <row r="258" spans="2:16" x14ac:dyDescent="0.2">
      <c r="B258" s="416" t="str">
        <f t="shared" ref="B258:B264" si="57">LEFT(B257,4)+1&amp;" - "&amp;RIGHT(B257,4)+1</f>
        <v>2013 - 2014</v>
      </c>
      <c r="C258" s="124">
        <v>104.3</v>
      </c>
      <c r="D258" s="125">
        <v>105</v>
      </c>
      <c r="E258" s="125">
        <v>105.6</v>
      </c>
      <c r="F258" s="126">
        <v>106</v>
      </c>
      <c r="G258" s="127">
        <f t="shared" si="54"/>
        <v>2.0547945205479312E-2</v>
      </c>
      <c r="H258" s="132">
        <f t="shared" si="54"/>
        <v>2.6392961876832821E-2</v>
      </c>
      <c r="I258" s="132">
        <f>E258/E257-1</f>
        <v>2.8237585199610393E-2</v>
      </c>
      <c r="J258" s="152">
        <f t="shared" si="54"/>
        <v>2.812803103782735E-2</v>
      </c>
      <c r="K258" s="134">
        <f t="shared" ref="K258:K259" si="58">(SUM(D257:F257)+C258)/(SUM(D256:F256)+C257)-1</f>
        <v>2.4850894632206799E-2</v>
      </c>
      <c r="L258" s="134">
        <f t="shared" si="56"/>
        <v>2.5191405285255541E-2</v>
      </c>
      <c r="M258" s="134">
        <f t="shared" si="52"/>
        <v>2.5263674270296743E-2</v>
      </c>
      <c r="N258" s="135">
        <f t="shared" si="53"/>
        <v>2.5834755057275283E-2</v>
      </c>
      <c r="P258" s="352" t="s">
        <v>436</v>
      </c>
    </row>
    <row r="259" spans="2:16" x14ac:dyDescent="0.2">
      <c r="B259" s="416" t="str">
        <f t="shared" si="57"/>
        <v>2014 - 2015</v>
      </c>
      <c r="C259" s="124">
        <v>106.6</v>
      </c>
      <c r="D259" s="125">
        <v>106.8</v>
      </c>
      <c r="E259" s="125">
        <v>107.3</v>
      </c>
      <c r="F259" s="126">
        <v>108.3</v>
      </c>
      <c r="G259" s="127">
        <f t="shared" si="54"/>
        <v>2.2051773729625967E-2</v>
      </c>
      <c r="H259" s="132">
        <f t="shared" si="54"/>
        <v>1.7142857142857126E-2</v>
      </c>
      <c r="I259" s="132">
        <f>E259/E258-1</f>
        <v>1.6098484848484862E-2</v>
      </c>
      <c r="J259" s="132">
        <f t="shared" si="54"/>
        <v>2.1698113207547109E-2</v>
      </c>
      <c r="K259" s="134">
        <f t="shared" si="58"/>
        <v>2.6188166828322146E-2</v>
      </c>
      <c r="L259" s="134">
        <f t="shared" si="56"/>
        <v>2.3849674777162155E-2</v>
      </c>
      <c r="M259" s="134">
        <f t="shared" ref="M259" si="59">(SUM(C259:E259)+F258)/(SUM(C258:E258)+F257)-1</f>
        <v>2.0813397129186617E-2</v>
      </c>
      <c r="N259" s="135">
        <f t="shared" ref="N259" si="60">SUM(C259:F259)/SUM(C258:F258) -1</f>
        <v>1.92444761225945E-2</v>
      </c>
    </row>
    <row r="260" spans="2:16" x14ac:dyDescent="0.2">
      <c r="B260" s="416" t="str">
        <f t="shared" si="57"/>
        <v>2015 - 2016</v>
      </c>
      <c r="C260" s="124">
        <v>108.6</v>
      </c>
      <c r="D260" s="125">
        <v>108.9</v>
      </c>
      <c r="E260" s="125">
        <v>108.7</v>
      </c>
      <c r="F260" s="125">
        <v>109.3</v>
      </c>
      <c r="G260" s="132">
        <f t="shared" si="54"/>
        <v>1.8761726078799335E-2</v>
      </c>
      <c r="H260" s="132">
        <f t="shared" si="54"/>
        <v>1.9662921348314599E-2</v>
      </c>
      <c r="I260" s="132">
        <f t="shared" si="54"/>
        <v>1.3047530288909703E-2</v>
      </c>
      <c r="J260" s="132">
        <f t="shared" si="54"/>
        <v>9.2336103416434945E-3</v>
      </c>
      <c r="K260" s="134">
        <f t="shared" ref="K260:K264" si="61">(SUM(D259:F259)+C260)/(SUM(D258:F258)+C259)-1</f>
        <v>1.8431001890359067E-2</v>
      </c>
      <c r="L260" s="134">
        <f t="shared" si="56"/>
        <v>1.9058823529411795E-2</v>
      </c>
      <c r="M260" s="134">
        <f t="shared" ref="M260:M264" si="62">(SUM(C260:E260)+F259)/(SUM(C259:E259)+F258)-1</f>
        <v>1.827982188891486E-2</v>
      </c>
      <c r="N260" s="135">
        <f t="shared" ref="N260:N264" si="63">SUM(C260:F260)/SUM(C259:F259) -1</f>
        <v>1.5151515151515138E-2</v>
      </c>
    </row>
    <row r="261" spans="2:16" x14ac:dyDescent="0.2">
      <c r="B261" s="416" t="str">
        <f t="shared" si="57"/>
        <v>2016 - 2017</v>
      </c>
      <c r="C261" s="124">
        <v>110.4</v>
      </c>
      <c r="D261" s="125">
        <v>110.9</v>
      </c>
      <c r="E261" s="125">
        <v>111.3</v>
      </c>
      <c r="F261" s="125">
        <v>111.7</v>
      </c>
      <c r="G261" s="132">
        <f t="shared" si="54"/>
        <v>1.6574585635359185E-2</v>
      </c>
      <c r="H261" s="132">
        <f t="shared" si="54"/>
        <v>1.8365472910927494E-2</v>
      </c>
      <c r="I261" s="132">
        <f t="shared" si="54"/>
        <v>2.3919043238270321E-2</v>
      </c>
      <c r="J261" s="132">
        <f t="shared" si="54"/>
        <v>2.1957913998170264E-2</v>
      </c>
      <c r="K261" s="134">
        <f t="shared" si="61"/>
        <v>1.4617169373549954E-2</v>
      </c>
      <c r="L261" s="134">
        <f t="shared" si="56"/>
        <v>1.4315400600323214E-2</v>
      </c>
      <c r="M261" s="134">
        <f t="shared" si="62"/>
        <v>1.7031070195627329E-2</v>
      </c>
      <c r="N261" s="135">
        <f t="shared" si="63"/>
        <v>2.020665901262908E-2</v>
      </c>
    </row>
    <row r="262" spans="2:16" x14ac:dyDescent="0.2">
      <c r="B262" s="416" t="str">
        <f t="shared" si="57"/>
        <v>2017 - 2018</v>
      </c>
      <c r="C262" s="124">
        <v>112.5</v>
      </c>
      <c r="D262" s="125">
        <v>113.3</v>
      </c>
      <c r="E262" s="125">
        <v>113.6</v>
      </c>
      <c r="F262" s="125">
        <v>114</v>
      </c>
      <c r="G262" s="132">
        <f t="shared" si="54"/>
        <v>1.9021739130434812E-2</v>
      </c>
      <c r="H262" s="132">
        <f t="shared" si="54"/>
        <v>2.1641118124436254E-2</v>
      </c>
      <c r="I262" s="132">
        <f t="shared" si="54"/>
        <v>2.0664869721473522E-2</v>
      </c>
      <c r="J262" s="132">
        <f t="shared" si="54"/>
        <v>2.0590868397493356E-2</v>
      </c>
      <c r="K262" s="134">
        <f t="shared" si="61"/>
        <v>2.0809512920191953E-2</v>
      </c>
      <c r="L262" s="134">
        <f t="shared" si="56"/>
        <v>2.162531299795134E-2</v>
      </c>
      <c r="M262" s="134">
        <f t="shared" si="62"/>
        <v>2.0819189861959631E-2</v>
      </c>
      <c r="N262" s="135">
        <f t="shared" si="63"/>
        <v>2.048165653837497E-2</v>
      </c>
    </row>
    <row r="263" spans="2:16" x14ac:dyDescent="0.2">
      <c r="B263" s="416" t="str">
        <f t="shared" si="57"/>
        <v>2018 - 2019</v>
      </c>
      <c r="C263" s="124">
        <v>114.7</v>
      </c>
      <c r="D263" s="125">
        <v>115.2</v>
      </c>
      <c r="E263" s="125"/>
      <c r="F263" s="125"/>
      <c r="G263" s="132">
        <f t="shared" si="54"/>
        <v>1.9555555555555548E-2</v>
      </c>
      <c r="H263" s="132">
        <f t="shared" si="54"/>
        <v>1.6769638128861564E-2</v>
      </c>
      <c r="I263" s="132">
        <f t="shared" si="54"/>
        <v>-1</v>
      </c>
      <c r="J263" s="132">
        <f t="shared" si="54"/>
        <v>-1</v>
      </c>
      <c r="K263" s="134">
        <f t="shared" si="61"/>
        <v>2.0609318996415826E-2</v>
      </c>
      <c r="L263" s="134">
        <f t="shared" si="56"/>
        <v>1.9385026737967825E-2</v>
      </c>
      <c r="M263" s="134">
        <f t="shared" si="62"/>
        <v>-0.23764132121480819</v>
      </c>
      <c r="N263" s="135">
        <f t="shared" si="63"/>
        <v>-0.49294221438023811</v>
      </c>
    </row>
    <row r="264" spans="2:16" ht="12.75" thickBot="1" x14ac:dyDescent="0.25">
      <c r="B264" s="416" t="str">
        <f t="shared" si="57"/>
        <v>2019 - 2020</v>
      </c>
      <c r="C264" s="124"/>
      <c r="D264" s="125"/>
      <c r="E264" s="125"/>
      <c r="F264" s="125"/>
      <c r="G264" s="132">
        <f t="shared" si="54"/>
        <v>-1</v>
      </c>
      <c r="H264" s="132">
        <f t="shared" si="54"/>
        <v>-1</v>
      </c>
      <c r="I264" s="132" t="e">
        <f t="shared" si="54"/>
        <v>#DIV/0!</v>
      </c>
      <c r="J264" s="132" t="e">
        <f t="shared" si="54"/>
        <v>#DIV/0!</v>
      </c>
      <c r="K264" s="134">
        <f t="shared" si="61"/>
        <v>-0.74714661984196662</v>
      </c>
      <c r="L264" s="134">
        <f t="shared" si="56"/>
        <v>-1</v>
      </c>
      <c r="M264" s="134">
        <f t="shared" si="62"/>
        <v>-1</v>
      </c>
      <c r="N264" s="135">
        <f t="shared" si="63"/>
        <v>-1</v>
      </c>
    </row>
    <row r="265" spans="2:16" ht="13.5" thickTop="1" x14ac:dyDescent="0.2">
      <c r="B265" s="427" t="s">
        <v>437</v>
      </c>
      <c r="C265" s="136"/>
      <c r="D265" s="136"/>
      <c r="E265" s="136"/>
      <c r="F265" s="136"/>
      <c r="G265" s="136"/>
      <c r="H265" s="136"/>
      <c r="I265" s="137"/>
      <c r="J265" s="136"/>
      <c r="K265" s="418"/>
      <c r="L265" s="136"/>
      <c r="M265" s="136"/>
      <c r="N265" s="136"/>
    </row>
    <row r="266" spans="2:16" ht="12.75" x14ac:dyDescent="0.2">
      <c r="B266" s="425"/>
      <c r="C266" s="13"/>
      <c r="D266" s="28"/>
      <c r="E266" s="428"/>
      <c r="F266" s="428"/>
      <c r="G266" s="28"/>
      <c r="J266" s="2"/>
      <c r="K266" s="2"/>
      <c r="L266" s="2"/>
      <c r="M266" s="429"/>
    </row>
    <row r="267" spans="2:16" x14ac:dyDescent="0.2">
      <c r="B267" s="154" t="s">
        <v>440</v>
      </c>
      <c r="C267" s="155"/>
      <c r="D267" s="155"/>
      <c r="E267" s="155"/>
      <c r="F267" s="155"/>
      <c r="G267" s="155"/>
      <c r="H267" s="155"/>
      <c r="J267" s="2"/>
      <c r="K267" s="2"/>
      <c r="L267" s="2"/>
      <c r="N267" s="153"/>
    </row>
    <row r="268" spans="2:16" x14ac:dyDescent="0.2">
      <c r="B268" s="154"/>
      <c r="C268" s="155"/>
      <c r="D268" s="155"/>
      <c r="E268" s="155"/>
      <c r="F268" s="155"/>
      <c r="G268" s="155"/>
      <c r="H268" s="155"/>
      <c r="J268" s="2"/>
      <c r="K268" s="2"/>
      <c r="L268" s="2"/>
      <c r="N268" s="153"/>
    </row>
    <row r="269" spans="2:16" x14ac:dyDescent="0.2">
      <c r="B269" s="154" t="s">
        <v>441</v>
      </c>
      <c r="C269" s="155"/>
      <c r="D269" s="155"/>
      <c r="E269" s="155"/>
      <c r="F269" s="155"/>
      <c r="G269" s="155"/>
      <c r="H269" s="155"/>
      <c r="J269" s="2"/>
      <c r="K269" s="2"/>
      <c r="L269" s="2"/>
    </row>
    <row r="270" spans="2:16" x14ac:dyDescent="0.2">
      <c r="B270" s="155" t="s">
        <v>442</v>
      </c>
      <c r="C270" s="155"/>
      <c r="D270" s="155"/>
      <c r="E270" s="155"/>
      <c r="F270" s="155"/>
      <c r="G270" s="155"/>
      <c r="H270" s="155"/>
      <c r="J270" s="2"/>
      <c r="K270" s="2"/>
      <c r="L270" s="2"/>
    </row>
    <row r="271" spans="2:16" x14ac:dyDescent="0.2">
      <c r="B271" s="155" t="s">
        <v>443</v>
      </c>
      <c r="C271" s="155"/>
      <c r="D271" s="155"/>
      <c r="E271" s="155"/>
      <c r="F271" s="155"/>
      <c r="G271" s="155"/>
      <c r="H271" s="155"/>
      <c r="J271" s="2"/>
      <c r="K271" s="2"/>
      <c r="L271" s="2"/>
    </row>
    <row r="272" spans="2:16" x14ac:dyDescent="0.2">
      <c r="B272" s="155" t="s">
        <v>444</v>
      </c>
      <c r="C272" s="155"/>
      <c r="D272" s="155"/>
      <c r="E272" s="155"/>
      <c r="F272" s="155"/>
      <c r="G272" s="155"/>
      <c r="H272" s="155"/>
      <c r="J272" s="2"/>
      <c r="K272" s="2"/>
      <c r="L272" s="2"/>
    </row>
    <row r="273" spans="2:12" x14ac:dyDescent="0.2">
      <c r="B273" s="156"/>
      <c r="C273" s="157"/>
      <c r="D273" s="158"/>
      <c r="J273" s="2"/>
      <c r="K273" s="2"/>
      <c r="L273" s="2"/>
    </row>
    <row r="274" spans="2:12" x14ac:dyDescent="0.2">
      <c r="B274" s="154" t="s">
        <v>445</v>
      </c>
      <c r="C274" s="154"/>
      <c r="D274" s="154"/>
      <c r="E274" s="155"/>
      <c r="F274" s="155"/>
      <c r="J274" s="2"/>
      <c r="K274" s="2"/>
      <c r="L274" s="2"/>
    </row>
    <row r="275" spans="2:12" x14ac:dyDescent="0.2">
      <c r="B275" s="352" t="s">
        <v>446</v>
      </c>
      <c r="C275" s="10"/>
      <c r="D275" s="10"/>
    </row>
    <row r="276" spans="2:12" x14ac:dyDescent="0.2">
      <c r="B276" s="10" t="s">
        <v>447</v>
      </c>
      <c r="C276" s="10" t="s">
        <v>448</v>
      </c>
      <c r="D276" s="10"/>
    </row>
    <row r="277" spans="2:12" x14ac:dyDescent="0.2">
      <c r="B277" s="10"/>
    </row>
    <row r="278" spans="2:12" x14ac:dyDescent="0.2">
      <c r="B278" s="10"/>
      <c r="C278" s="10"/>
      <c r="D278" s="10"/>
    </row>
    <row r="279" spans="2:12" x14ac:dyDescent="0.2">
      <c r="B279" s="13"/>
      <c r="C279" s="13"/>
      <c r="D279" s="13"/>
    </row>
    <row r="280" spans="2:12" x14ac:dyDescent="0.2">
      <c r="B280" s="13"/>
      <c r="C280" s="13"/>
      <c r="D280" s="1061"/>
    </row>
    <row r="281" spans="2:12" ht="12.75" x14ac:dyDescent="0.2">
      <c r="B281" s="28"/>
      <c r="C281" s="425"/>
      <c r="D281" s="28"/>
      <c r="F281" s="153"/>
    </row>
    <row r="282" spans="2:12" ht="12.75" x14ac:dyDescent="0.2">
      <c r="C282" s="430"/>
      <c r="F282" s="153"/>
      <c r="J282" s="352" t="s">
        <v>439</v>
      </c>
    </row>
    <row r="283" spans="2:12" ht="12.75" x14ac:dyDescent="0.2">
      <c r="C283" s="430"/>
      <c r="F283" s="153"/>
    </row>
    <row r="284" spans="2:12" ht="12.75" x14ac:dyDescent="0.2">
      <c r="C284" s="430"/>
      <c r="F284" s="153"/>
    </row>
    <row r="285" spans="2:12" ht="12.75" x14ac:dyDescent="0.2">
      <c r="C285" s="430"/>
    </row>
    <row r="286" spans="2:12" ht="12.75" x14ac:dyDescent="0.2">
      <c r="C286" s="430"/>
    </row>
    <row r="287" spans="2:12" ht="12.75" x14ac:dyDescent="0.2">
      <c r="C287" s="430"/>
    </row>
    <row r="288" spans="2:12" ht="12.75" x14ac:dyDescent="0.2">
      <c r="C288" s="430"/>
    </row>
    <row r="289" spans="3:3" ht="12.75" x14ac:dyDescent="0.2">
      <c r="C289" s="430"/>
    </row>
  </sheetData>
  <conditionalFormatting sqref="K129:N129 K127:K128">
    <cfRule type="expression" dxfId="7" priority="10">
      <formula>C127=0</formula>
    </cfRule>
  </conditionalFormatting>
  <conditionalFormatting sqref="I127:I129">
    <cfRule type="expression" dxfId="6" priority="9">
      <formula>E127=0</formula>
    </cfRule>
  </conditionalFormatting>
  <conditionalFormatting sqref="K260:N264">
    <cfRule type="expression" dxfId="5" priority="8">
      <formula>C260=0</formula>
    </cfRule>
  </conditionalFormatting>
  <conditionalFormatting sqref="G260:J264">
    <cfRule type="expression" dxfId="4" priority="7">
      <formula>C260=0</formula>
    </cfRule>
  </conditionalFormatting>
  <conditionalFormatting sqref="J127:J129">
    <cfRule type="expression" dxfId="3" priority="4">
      <formula>F127=0</formula>
    </cfRule>
  </conditionalFormatting>
  <conditionalFormatting sqref="K130:N132">
    <cfRule type="expression" dxfId="2" priority="3">
      <formula>C130=0</formula>
    </cfRule>
  </conditionalFormatting>
  <conditionalFormatting sqref="G130:J130 G131:I132">
    <cfRule type="expression" dxfId="1" priority="2">
      <formula>C130=0</formula>
    </cfRule>
  </conditionalFormatting>
  <conditionalFormatting sqref="J131:J132">
    <cfRule type="expression" dxfId="0" priority="1">
      <formula>F131=0</formula>
    </cfRule>
  </conditionalFormatting>
  <pageMargins left="0.7" right="0.7" top="0.75" bottom="0.75" header="0.3" footer="0.3"/>
  <pageSetup paperSize="9" scale="93"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pageSetUpPr autoPageBreaks="0"/>
  </sheetPr>
  <dimension ref="A1:V42"/>
  <sheetViews>
    <sheetView showGridLines="0" zoomScale="75" zoomScaleNormal="75" workbookViewId="0">
      <selection sqref="A1:A1048576"/>
    </sheetView>
  </sheetViews>
  <sheetFormatPr defaultColWidth="9" defaultRowHeight="12" x14ac:dyDescent="0.2"/>
  <cols>
    <col min="1" max="1" width="14.42578125" style="9" customWidth="1"/>
    <col min="2" max="2" width="39.42578125" style="9" customWidth="1"/>
    <col min="3" max="3" width="34.85546875" style="352" customWidth="1"/>
    <col min="4" max="4" width="17.140625" style="352" customWidth="1"/>
    <col min="5" max="5" width="7.28515625" style="352" customWidth="1"/>
    <col min="6" max="8" width="8.7109375" style="352"/>
    <col min="9" max="9" width="11.85546875" style="352" bestFit="1" customWidth="1"/>
    <col min="10" max="10" width="13.140625" style="352" bestFit="1" customWidth="1"/>
    <col min="11" max="11" width="12.42578125" style="352" bestFit="1" customWidth="1"/>
    <col min="12" max="12" width="13.7109375" style="352" bestFit="1" customWidth="1"/>
    <col min="13" max="16" width="14.140625" style="352" bestFit="1" customWidth="1"/>
    <col min="17" max="17" width="13.42578125" style="28" customWidth="1"/>
    <col min="18" max="20" width="13" style="32" bestFit="1" customWidth="1"/>
    <col min="21" max="21" width="12.42578125" style="32" customWidth="1"/>
    <col min="22" max="22" width="14.140625" style="32" customWidth="1"/>
    <col min="23" max="16384" width="9" style="32"/>
  </cols>
  <sheetData>
    <row r="1" spans="1:21" ht="18.600000000000001" customHeight="1" x14ac:dyDescent="0.2">
      <c r="A1" s="1160"/>
      <c r="B1" s="1160"/>
      <c r="C1" s="1161"/>
      <c r="D1" s="1161"/>
      <c r="E1" s="1161"/>
      <c r="F1" s="1161"/>
      <c r="G1" s="1161"/>
      <c r="H1" s="1161"/>
      <c r="I1" s="1161"/>
      <c r="J1" s="1161"/>
      <c r="K1" s="1161"/>
      <c r="L1" s="1161"/>
      <c r="M1" s="1161"/>
      <c r="N1" s="1161"/>
      <c r="O1" s="1161"/>
      <c r="P1" s="1161"/>
    </row>
    <row r="2" spans="1:21" ht="18.600000000000001" customHeight="1" x14ac:dyDescent="0.2">
      <c r="A2" s="1160"/>
      <c r="B2" s="1160"/>
      <c r="C2" s="1161"/>
      <c r="D2" s="1161"/>
      <c r="E2" s="1161"/>
      <c r="F2" s="1161"/>
      <c r="G2" s="1161"/>
      <c r="H2" s="1161"/>
      <c r="I2" s="1161"/>
      <c r="J2" s="1161"/>
      <c r="K2" s="1161"/>
      <c r="L2" s="1161"/>
      <c r="M2" s="1161"/>
      <c r="N2" s="1161"/>
      <c r="O2" s="1161"/>
      <c r="P2" s="1161"/>
    </row>
    <row r="3" spans="1:21" ht="18.600000000000001" customHeight="1" x14ac:dyDescent="0.2">
      <c r="A3" s="1160"/>
      <c r="B3" s="1160"/>
      <c r="C3" s="1161"/>
      <c r="D3" s="1161"/>
      <c r="E3" s="1161"/>
      <c r="F3" s="1161"/>
      <c r="G3" s="1161"/>
      <c r="H3" s="1161"/>
      <c r="I3" s="1161"/>
      <c r="J3" s="1161"/>
      <c r="K3" s="1161"/>
      <c r="L3" s="1161"/>
      <c r="M3" s="1161"/>
      <c r="N3" s="1161"/>
      <c r="O3" s="1161"/>
      <c r="P3" s="1161"/>
    </row>
    <row r="4" spans="1:21" ht="18.600000000000001" customHeight="1" x14ac:dyDescent="0.2">
      <c r="A4" s="1160"/>
      <c r="B4" s="1160"/>
      <c r="C4" s="1161"/>
      <c r="D4" s="1161"/>
      <c r="E4" s="1160"/>
      <c r="F4" s="1160"/>
      <c r="G4" s="1161"/>
      <c r="H4" s="1161"/>
      <c r="I4" s="1161"/>
      <c r="J4" s="1161"/>
      <c r="K4" s="1161"/>
      <c r="L4" s="1161"/>
      <c r="M4" s="1161"/>
      <c r="N4" s="1161"/>
      <c r="O4" s="1161"/>
      <c r="P4" s="1161"/>
    </row>
    <row r="5" spans="1:21" ht="18.600000000000001" customHeight="1" x14ac:dyDescent="0.2">
      <c r="A5" s="1160"/>
      <c r="B5" s="1160"/>
      <c r="C5" s="1161"/>
      <c r="D5" s="1161"/>
      <c r="E5" s="1160"/>
      <c r="F5" s="1160"/>
      <c r="G5" s="1160"/>
      <c r="H5" s="1160"/>
      <c r="I5" s="1160"/>
      <c r="J5" s="1160"/>
      <c r="K5" s="1160"/>
      <c r="L5" s="1160"/>
      <c r="M5" s="1160"/>
      <c r="N5" s="1160"/>
      <c r="O5" s="1160"/>
      <c r="P5" s="1160"/>
      <c r="Q5" s="32"/>
    </row>
    <row r="6" spans="1:21" ht="18.600000000000001" customHeight="1" x14ac:dyDescent="0.2">
      <c r="A6" s="1160"/>
      <c r="B6" s="1160"/>
      <c r="C6" s="1161" t="s">
        <v>11</v>
      </c>
      <c r="D6" s="1161"/>
      <c r="E6" s="1160"/>
      <c r="F6" s="1160"/>
      <c r="G6" s="1161"/>
      <c r="H6" s="1161"/>
      <c r="I6" s="1161"/>
      <c r="J6" s="1161"/>
      <c r="K6" s="1161"/>
      <c r="L6" s="1161"/>
      <c r="M6" s="1161"/>
      <c r="N6" s="1161"/>
      <c r="O6" s="1161"/>
      <c r="P6" s="1161"/>
    </row>
    <row r="7" spans="1:21" ht="18.600000000000001" customHeight="1" x14ac:dyDescent="0.2">
      <c r="A7" s="1160"/>
      <c r="B7" s="1160"/>
      <c r="C7" s="1161"/>
      <c r="D7" s="1161"/>
      <c r="E7" s="1160"/>
      <c r="F7" s="1160"/>
      <c r="G7" s="1161"/>
      <c r="H7" s="1161"/>
      <c r="I7" s="1161"/>
      <c r="J7" s="1161"/>
      <c r="K7" s="1161"/>
      <c r="L7" s="1161"/>
      <c r="M7" s="1161"/>
      <c r="N7" s="1161"/>
      <c r="O7" s="1161"/>
      <c r="P7" s="1161"/>
    </row>
    <row r="8" spans="1:21" ht="18.600000000000001" customHeight="1" x14ac:dyDescent="0.2">
      <c r="A8" s="1160"/>
      <c r="B8" s="1160"/>
      <c r="C8" s="1161"/>
      <c r="D8" s="1161"/>
      <c r="E8" s="1161"/>
      <c r="F8" s="1162"/>
      <c r="G8" s="1161"/>
      <c r="H8" s="1161"/>
      <c r="I8" s="1161"/>
      <c r="J8" s="1161"/>
      <c r="K8" s="1161"/>
      <c r="L8" s="1161"/>
      <c r="M8" s="1161"/>
      <c r="N8" s="1161"/>
      <c r="O8" s="1161"/>
      <c r="P8" s="1161"/>
    </row>
    <row r="9" spans="1:21" ht="18.600000000000001" customHeight="1" x14ac:dyDescent="0.2">
      <c r="A9" s="1160"/>
      <c r="B9" s="1160"/>
      <c r="C9" s="1161"/>
      <c r="D9" s="1161"/>
      <c r="E9" s="1161"/>
      <c r="F9" s="1162" t="s">
        <v>12</v>
      </c>
      <c r="G9" s="1161" t="s">
        <v>13</v>
      </c>
      <c r="H9" s="1161" t="s">
        <v>14</v>
      </c>
      <c r="I9" s="1161" t="s">
        <v>15</v>
      </c>
      <c r="J9" s="1161" t="s">
        <v>16</v>
      </c>
      <c r="K9" s="1161" t="s">
        <v>17</v>
      </c>
      <c r="L9" s="1161" t="s">
        <v>9</v>
      </c>
      <c r="M9" s="1161" t="s">
        <v>18</v>
      </c>
      <c r="N9" s="1163" t="s">
        <v>19</v>
      </c>
      <c r="O9" s="1163" t="s">
        <v>20</v>
      </c>
      <c r="P9" s="1164" t="s">
        <v>6</v>
      </c>
      <c r="R9" s="28"/>
      <c r="S9" s="28"/>
      <c r="T9" s="28"/>
      <c r="U9" s="28"/>
    </row>
    <row r="10" spans="1:21" ht="18.600000000000001" customHeight="1" x14ac:dyDescent="0.2">
      <c r="A10" s="1160"/>
      <c r="B10" s="1160"/>
      <c r="C10" s="1165" t="s">
        <v>895</v>
      </c>
      <c r="D10" s="1165" t="s">
        <v>21</v>
      </c>
      <c r="E10" s="1166" t="s">
        <v>22</v>
      </c>
      <c r="F10" s="1167"/>
      <c r="G10" s="1165"/>
      <c r="H10" s="1165"/>
      <c r="I10" s="1165"/>
      <c r="J10" s="1165"/>
      <c r="K10" s="1165"/>
      <c r="L10" s="1168">
        <v>844825</v>
      </c>
      <c r="M10" s="1168">
        <v>815752</v>
      </c>
      <c r="N10" s="1168">
        <v>829062</v>
      </c>
      <c r="O10" s="1168">
        <v>896011</v>
      </c>
      <c r="P10" s="1168">
        <v>976599</v>
      </c>
      <c r="Q10" s="359"/>
    </row>
    <row r="11" spans="1:21" s="72" customFormat="1" ht="18.600000000000001" customHeight="1" x14ac:dyDescent="0.3">
      <c r="A11" s="1160"/>
      <c r="B11" s="1169"/>
      <c r="C11" s="1161"/>
      <c r="D11" s="1161" t="s">
        <v>23</v>
      </c>
      <c r="E11" s="1170" t="s">
        <v>22</v>
      </c>
      <c r="F11" s="1162"/>
      <c r="G11" s="1161"/>
      <c r="H11" s="1161"/>
      <c r="I11" s="1161"/>
      <c r="J11" s="1161"/>
      <c r="K11" s="1161"/>
      <c r="L11" s="1171">
        <v>3968507</v>
      </c>
      <c r="M11" s="1171">
        <v>4158432</v>
      </c>
      <c r="N11" s="1171">
        <v>4142832</v>
      </c>
      <c r="O11" s="1171">
        <v>4341586</v>
      </c>
      <c r="P11" s="1171">
        <v>4532585</v>
      </c>
      <c r="Q11" s="28"/>
      <c r="R11" s="32"/>
      <c r="S11" s="32"/>
    </row>
    <row r="12" spans="1:21" ht="18.600000000000001" customHeight="1" x14ac:dyDescent="0.2">
      <c r="A12" s="1160"/>
      <c r="B12" s="1160"/>
      <c r="C12" s="1161"/>
      <c r="D12" s="1161" t="s">
        <v>24</v>
      </c>
      <c r="E12" s="1170" t="s">
        <v>22</v>
      </c>
      <c r="F12" s="1162"/>
      <c r="G12" s="1161"/>
      <c r="H12" s="1161"/>
      <c r="I12" s="1161"/>
      <c r="J12" s="1161"/>
      <c r="K12" s="1161"/>
      <c r="L12" s="1171">
        <v>1759360</v>
      </c>
      <c r="M12" s="1171">
        <v>1862574</v>
      </c>
      <c r="N12" s="1171">
        <v>1778359</v>
      </c>
      <c r="O12" s="1171">
        <v>1966230</v>
      </c>
      <c r="P12" s="1171">
        <v>2034195</v>
      </c>
    </row>
    <row r="13" spans="1:21" x14ac:dyDescent="0.2">
      <c r="A13" s="1160"/>
      <c r="B13" s="1160"/>
      <c r="C13" s="1161"/>
      <c r="D13" s="1161" t="s">
        <v>25</v>
      </c>
      <c r="E13" s="1161" t="s">
        <v>0</v>
      </c>
      <c r="F13" s="1162"/>
      <c r="G13" s="1161"/>
      <c r="H13" s="1161"/>
      <c r="I13" s="1161"/>
      <c r="J13" s="1161"/>
      <c r="K13" s="1161"/>
      <c r="L13" s="1172">
        <f>L10/L11</f>
        <v>0.21288232577137953</v>
      </c>
      <c r="M13" s="1172">
        <f>M10/M11</f>
        <v>0.19616817107986856</v>
      </c>
      <c r="N13" s="1172">
        <f>N10/N11</f>
        <v>0.20011962831222699</v>
      </c>
      <c r="O13" s="1172">
        <f>O10/O11</f>
        <v>0.20637872887926209</v>
      </c>
      <c r="P13" s="1172">
        <f>P10/P11</f>
        <v>0.21546181704259268</v>
      </c>
    </row>
    <row r="14" spans="1:21" x14ac:dyDescent="0.2">
      <c r="A14" s="1160"/>
      <c r="B14" s="1160"/>
      <c r="C14" s="1165" t="s">
        <v>896</v>
      </c>
      <c r="D14" s="1165" t="s">
        <v>21</v>
      </c>
      <c r="E14" s="1166" t="s">
        <v>22</v>
      </c>
      <c r="F14" s="1167"/>
      <c r="G14" s="1165"/>
      <c r="H14" s="1165"/>
      <c r="I14" s="1168">
        <v>256275</v>
      </c>
      <c r="J14" s="1168">
        <v>336831</v>
      </c>
      <c r="K14" s="1168">
        <v>342378</v>
      </c>
      <c r="L14" s="1168">
        <v>359315</v>
      </c>
      <c r="M14" s="1168">
        <v>353692</v>
      </c>
      <c r="N14" s="1168">
        <v>382555</v>
      </c>
      <c r="O14" s="1168">
        <v>409224</v>
      </c>
      <c r="P14" s="1168">
        <v>439349</v>
      </c>
      <c r="Q14" s="359"/>
    </row>
    <row r="15" spans="1:21" x14ac:dyDescent="0.2">
      <c r="A15" s="1160"/>
      <c r="B15" s="1160"/>
      <c r="C15" s="1160"/>
      <c r="D15" s="1160" t="s">
        <v>23</v>
      </c>
      <c r="E15" s="1173" t="s">
        <v>22</v>
      </c>
      <c r="F15" s="1162"/>
      <c r="G15" s="1160"/>
      <c r="H15" s="1160"/>
      <c r="I15" s="1174">
        <v>646067</v>
      </c>
      <c r="J15" s="1174">
        <v>1202463</v>
      </c>
      <c r="K15" s="1174">
        <v>1181469</v>
      </c>
      <c r="L15" s="1174">
        <v>1210864</v>
      </c>
      <c r="M15" s="1174">
        <v>1202263</v>
      </c>
      <c r="N15" s="1174">
        <v>1277831</v>
      </c>
      <c r="O15" s="1174">
        <v>1189431</v>
      </c>
      <c r="P15" s="1174">
        <v>1289061</v>
      </c>
    </row>
    <row r="16" spans="1:21" x14ac:dyDescent="0.2">
      <c r="A16" s="1160"/>
      <c r="B16" s="1160"/>
      <c r="C16" s="1161"/>
      <c r="D16" s="1161" t="s">
        <v>24</v>
      </c>
      <c r="E16" s="1170" t="s">
        <v>22</v>
      </c>
      <c r="F16" s="1162"/>
      <c r="G16" s="1161"/>
      <c r="H16" s="1161"/>
      <c r="I16" s="1171">
        <v>353841</v>
      </c>
      <c r="J16" s="1171">
        <v>823706</v>
      </c>
      <c r="K16" s="1171">
        <v>797090</v>
      </c>
      <c r="L16" s="1171">
        <v>819346</v>
      </c>
      <c r="M16" s="1171">
        <v>798441</v>
      </c>
      <c r="N16" s="1171">
        <v>796576</v>
      </c>
      <c r="O16" s="1171">
        <v>799919</v>
      </c>
      <c r="P16" s="1171">
        <v>809724</v>
      </c>
    </row>
    <row r="17" spans="1:22" ht="12.75" x14ac:dyDescent="0.2">
      <c r="A17" s="1160"/>
      <c r="B17" s="1160"/>
      <c r="C17" s="1161"/>
      <c r="D17" s="1161" t="s">
        <v>25</v>
      </c>
      <c r="E17" s="1161" t="s">
        <v>0</v>
      </c>
      <c r="F17" s="1162"/>
      <c r="G17" s="1161"/>
      <c r="H17" s="1161"/>
      <c r="I17" s="1172">
        <f t="shared" ref="I17:P17" si="0">I14/I15</f>
        <v>0.39666938568290905</v>
      </c>
      <c r="J17" s="1172">
        <f t="shared" si="0"/>
        <v>0.28011755871074617</v>
      </c>
      <c r="K17" s="1172">
        <f t="shared" si="0"/>
        <v>0.28979008336232265</v>
      </c>
      <c r="L17" s="1172">
        <f t="shared" si="0"/>
        <v>0.2967426564833045</v>
      </c>
      <c r="M17" s="1172">
        <f t="shared" si="0"/>
        <v>0.29418854277308709</v>
      </c>
      <c r="N17" s="1172">
        <f t="shared" si="0"/>
        <v>0.29937839980404296</v>
      </c>
      <c r="O17" s="1172">
        <f t="shared" si="0"/>
        <v>0.34405022233319965</v>
      </c>
      <c r="P17" s="1172">
        <f t="shared" si="0"/>
        <v>0.34082871175219792</v>
      </c>
      <c r="Q17" s="440"/>
    </row>
    <row r="18" spans="1:22" x14ac:dyDescent="0.2">
      <c r="A18" s="1160"/>
      <c r="B18" s="1160"/>
      <c r="C18" s="1165" t="s">
        <v>10</v>
      </c>
      <c r="D18" s="1165" t="s">
        <v>21</v>
      </c>
      <c r="E18" s="1166" t="s">
        <v>22</v>
      </c>
      <c r="F18" s="1167"/>
      <c r="G18" s="1165"/>
      <c r="H18" s="1165"/>
      <c r="I18" s="1165"/>
      <c r="J18" s="1168">
        <v>40926</v>
      </c>
      <c r="K18" s="1168">
        <v>41411</v>
      </c>
      <c r="L18" s="1168">
        <v>47243</v>
      </c>
      <c r="M18" s="1168">
        <v>45041</v>
      </c>
      <c r="N18" s="1168">
        <v>48383</v>
      </c>
      <c r="O18" s="1168">
        <v>49963</v>
      </c>
      <c r="P18" s="1168">
        <v>53048</v>
      </c>
      <c r="Q18" s="359"/>
    </row>
    <row r="19" spans="1:22" x14ac:dyDescent="0.2">
      <c r="A19" s="1160"/>
      <c r="B19" s="1160"/>
      <c r="C19" s="1160"/>
      <c r="D19" s="1160" t="s">
        <v>23</v>
      </c>
      <c r="E19" s="1173" t="s">
        <v>22</v>
      </c>
      <c r="F19" s="1162"/>
      <c r="G19" s="1160"/>
      <c r="H19" s="1160"/>
      <c r="I19" s="1160"/>
      <c r="J19" s="1174">
        <v>152854</v>
      </c>
      <c r="K19" s="1174">
        <v>153429</v>
      </c>
      <c r="L19" s="1174">
        <v>150130</v>
      </c>
      <c r="M19" s="1174">
        <v>152883</v>
      </c>
      <c r="N19" s="1174">
        <v>145685</v>
      </c>
      <c r="O19" s="1174">
        <v>130439</v>
      </c>
      <c r="P19" s="1174">
        <v>152547</v>
      </c>
    </row>
    <row r="20" spans="1:22" x14ac:dyDescent="0.2">
      <c r="A20" s="1160"/>
      <c r="B20" s="1160"/>
      <c r="C20" s="1161"/>
      <c r="D20" s="1160" t="s">
        <v>24</v>
      </c>
      <c r="E20" s="1173" t="s">
        <v>22</v>
      </c>
      <c r="F20" s="1162"/>
      <c r="G20" s="1160"/>
      <c r="H20" s="1160"/>
      <c r="I20" s="1160"/>
      <c r="J20" s="1174">
        <v>93591</v>
      </c>
      <c r="K20" s="1174">
        <v>75991</v>
      </c>
      <c r="L20" s="1174">
        <v>86630</v>
      </c>
      <c r="M20" s="1174">
        <v>91553</v>
      </c>
      <c r="N20" s="1174">
        <v>80783</v>
      </c>
      <c r="O20" s="1174">
        <v>67817</v>
      </c>
      <c r="P20" s="1174">
        <v>82980</v>
      </c>
    </row>
    <row r="21" spans="1:22" ht="12.75" x14ac:dyDescent="0.2">
      <c r="A21" s="1160"/>
      <c r="B21" s="1160"/>
      <c r="C21" s="1161"/>
      <c r="D21" s="1175" t="s">
        <v>25</v>
      </c>
      <c r="E21" s="1175" t="s">
        <v>0</v>
      </c>
      <c r="F21" s="1176"/>
      <c r="G21" s="1175"/>
      <c r="H21" s="1175"/>
      <c r="I21" s="1175"/>
      <c r="J21" s="1177">
        <f t="shared" ref="J21:P21" si="1">J18/J19</f>
        <v>0.26774569196749842</v>
      </c>
      <c r="K21" s="1177">
        <f t="shared" si="1"/>
        <v>0.26990334291431217</v>
      </c>
      <c r="L21" s="1177">
        <f t="shared" si="1"/>
        <v>0.31468061013788051</v>
      </c>
      <c r="M21" s="1177">
        <f t="shared" si="1"/>
        <v>0.29461091161214786</v>
      </c>
      <c r="N21" s="1177">
        <f t="shared" si="1"/>
        <v>0.33210694306208599</v>
      </c>
      <c r="O21" s="1177">
        <f t="shared" si="1"/>
        <v>0.38303728179455532</v>
      </c>
      <c r="P21" s="1177">
        <f t="shared" si="1"/>
        <v>0.34774856273804139</v>
      </c>
      <c r="Q21" s="440"/>
    </row>
    <row r="22" spans="1:22" x14ac:dyDescent="0.2">
      <c r="A22" s="1160"/>
      <c r="B22" s="1160"/>
      <c r="C22" s="1165" t="s">
        <v>897</v>
      </c>
      <c r="D22" s="1160" t="s">
        <v>21</v>
      </c>
      <c r="E22" s="1173" t="s">
        <v>22</v>
      </c>
      <c r="F22" s="1162"/>
      <c r="G22" s="1160"/>
      <c r="H22" s="1160"/>
      <c r="I22" s="1160"/>
      <c r="J22" s="1160"/>
      <c r="K22" s="1160"/>
      <c r="L22" s="1174">
        <v>4469</v>
      </c>
      <c r="M22" s="1174">
        <v>7620</v>
      </c>
      <c r="N22" s="1174">
        <v>12130</v>
      </c>
      <c r="O22" s="1174">
        <v>11336</v>
      </c>
      <c r="P22" s="1174">
        <v>11486</v>
      </c>
      <c r="Q22" s="359"/>
    </row>
    <row r="23" spans="1:22" x14ac:dyDescent="0.2">
      <c r="A23" s="1160"/>
      <c r="B23" s="1160"/>
      <c r="C23" s="1160"/>
      <c r="D23" s="1160" t="s">
        <v>23</v>
      </c>
      <c r="E23" s="1173" t="s">
        <v>22</v>
      </c>
      <c r="F23" s="1162"/>
      <c r="G23" s="1160"/>
      <c r="H23" s="1160"/>
      <c r="I23" s="1160"/>
      <c r="J23" s="1160"/>
      <c r="K23" s="1160"/>
      <c r="L23" s="1174">
        <v>21690</v>
      </c>
      <c r="M23" s="1174">
        <v>23803</v>
      </c>
      <c r="N23" s="1174">
        <v>42905</v>
      </c>
      <c r="O23" s="1174">
        <v>44554</v>
      </c>
      <c r="P23" s="1174">
        <v>49528</v>
      </c>
    </row>
    <row r="24" spans="1:22" x14ac:dyDescent="0.2">
      <c r="A24" s="1160"/>
      <c r="B24" s="1160"/>
      <c r="C24" s="1161"/>
      <c r="D24" s="1161" t="s">
        <v>24</v>
      </c>
      <c r="E24" s="1170" t="s">
        <v>22</v>
      </c>
      <c r="F24" s="1162"/>
      <c r="G24" s="1161"/>
      <c r="H24" s="1161"/>
      <c r="I24" s="1161"/>
      <c r="J24" s="1161"/>
      <c r="K24" s="1161"/>
      <c r="L24" s="1171">
        <v>17221</v>
      </c>
      <c r="M24" s="1171">
        <v>16183</v>
      </c>
      <c r="N24" s="1171">
        <v>30775</v>
      </c>
      <c r="O24" s="1171">
        <v>33218</v>
      </c>
      <c r="P24" s="1171">
        <v>38042</v>
      </c>
    </row>
    <row r="25" spans="1:22" x14ac:dyDescent="0.2">
      <c r="A25" s="1160"/>
      <c r="B25" s="1160"/>
      <c r="C25" s="1161"/>
      <c r="D25" s="1161" t="s">
        <v>25</v>
      </c>
      <c r="E25" s="1161" t="s">
        <v>0</v>
      </c>
      <c r="F25" s="1162"/>
      <c r="G25" s="1161"/>
      <c r="H25" s="1161"/>
      <c r="I25" s="1161"/>
      <c r="J25" s="1161"/>
      <c r="K25" s="1161"/>
      <c r="L25" s="1172">
        <f>L22/L23</f>
        <v>0.20603964960811433</v>
      </c>
      <c r="M25" s="1172">
        <f>M22/M23</f>
        <v>0.32012771499390835</v>
      </c>
      <c r="N25" s="1172">
        <f>N22/N23</f>
        <v>0.28271763197762501</v>
      </c>
      <c r="O25" s="1172">
        <f>O22/O23</f>
        <v>0.25443282309108051</v>
      </c>
      <c r="P25" s="1172">
        <f>P22/P23</f>
        <v>0.23190922306574058</v>
      </c>
      <c r="V25" s="441"/>
    </row>
    <row r="26" spans="1:22" x14ac:dyDescent="0.2">
      <c r="A26" s="1160"/>
      <c r="B26" s="1160"/>
      <c r="C26" s="1165" t="s">
        <v>5</v>
      </c>
      <c r="D26" s="1165" t="s">
        <v>21</v>
      </c>
      <c r="E26" s="1166" t="s">
        <v>22</v>
      </c>
      <c r="F26" s="1167"/>
      <c r="G26" s="1165"/>
      <c r="H26" s="1165"/>
      <c r="I26" s="1168">
        <f t="shared" ref="I26:P28" si="2">I10+I14+I18+I22</f>
        <v>256275</v>
      </c>
      <c r="J26" s="1168">
        <f t="shared" si="2"/>
        <v>377757</v>
      </c>
      <c r="K26" s="1168">
        <f t="shared" si="2"/>
        <v>383789</v>
      </c>
      <c r="L26" s="1168">
        <f t="shared" si="2"/>
        <v>1255852</v>
      </c>
      <c r="M26" s="1168">
        <f t="shared" si="2"/>
        <v>1222105</v>
      </c>
      <c r="N26" s="1168">
        <f t="shared" si="2"/>
        <v>1272130</v>
      </c>
      <c r="O26" s="1168">
        <f t="shared" si="2"/>
        <v>1366534</v>
      </c>
      <c r="P26" s="1168">
        <f t="shared" si="2"/>
        <v>1480482</v>
      </c>
      <c r="Q26" s="361"/>
      <c r="R26" s="361"/>
      <c r="S26" s="361"/>
      <c r="T26" s="361"/>
      <c r="U26" s="361"/>
      <c r="V26" s="360"/>
    </row>
    <row r="27" spans="1:22" x14ac:dyDescent="0.2">
      <c r="A27" s="1160"/>
      <c r="B27" s="1160"/>
      <c r="C27" s="1161"/>
      <c r="D27" s="1161" t="s">
        <v>23</v>
      </c>
      <c r="E27" s="1170" t="s">
        <v>22</v>
      </c>
      <c r="F27" s="1162"/>
      <c r="G27" s="1161"/>
      <c r="H27" s="1161"/>
      <c r="I27" s="1171">
        <f t="shared" si="2"/>
        <v>646067</v>
      </c>
      <c r="J27" s="1171">
        <f t="shared" si="2"/>
        <v>1355317</v>
      </c>
      <c r="K27" s="1171">
        <f t="shared" si="2"/>
        <v>1334898</v>
      </c>
      <c r="L27" s="1171">
        <f t="shared" si="2"/>
        <v>5351191</v>
      </c>
      <c r="M27" s="1171">
        <f t="shared" si="2"/>
        <v>5537381</v>
      </c>
      <c r="N27" s="1171">
        <f t="shared" si="2"/>
        <v>5609253</v>
      </c>
      <c r="O27" s="1171">
        <f t="shared" si="2"/>
        <v>5706010</v>
      </c>
      <c r="P27" s="1171">
        <f t="shared" si="2"/>
        <v>6023721</v>
      </c>
      <c r="Q27" s="364"/>
      <c r="R27" s="364"/>
      <c r="S27" s="364"/>
      <c r="T27" s="364"/>
      <c r="U27" s="364"/>
      <c r="V27" s="364"/>
    </row>
    <row r="28" spans="1:22" x14ac:dyDescent="0.2">
      <c r="A28" s="1160"/>
      <c r="B28" s="1160"/>
      <c r="C28" s="1161"/>
      <c r="D28" s="1161" t="s">
        <v>24</v>
      </c>
      <c r="E28" s="1170" t="s">
        <v>22</v>
      </c>
      <c r="F28" s="1162"/>
      <c r="G28" s="1161"/>
      <c r="H28" s="1161"/>
      <c r="I28" s="1171">
        <f t="shared" si="2"/>
        <v>353841</v>
      </c>
      <c r="J28" s="1171">
        <f t="shared" si="2"/>
        <v>917297</v>
      </c>
      <c r="K28" s="1171">
        <f t="shared" si="2"/>
        <v>873081</v>
      </c>
      <c r="L28" s="1171">
        <f t="shared" si="2"/>
        <v>2682557</v>
      </c>
      <c r="M28" s="1171">
        <f t="shared" si="2"/>
        <v>2768751</v>
      </c>
      <c r="N28" s="1171">
        <f t="shared" si="2"/>
        <v>2686493</v>
      </c>
      <c r="O28" s="1171">
        <f t="shared" si="2"/>
        <v>2867184</v>
      </c>
      <c r="P28" s="1171">
        <f t="shared" si="2"/>
        <v>2964941</v>
      </c>
      <c r="V28" s="441"/>
    </row>
    <row r="29" spans="1:22" x14ac:dyDescent="0.2">
      <c r="A29" s="1160"/>
      <c r="B29" s="1160"/>
      <c r="C29" s="1161"/>
      <c r="D29" s="1161" t="s">
        <v>25</v>
      </c>
      <c r="E29" s="1161" t="s">
        <v>0</v>
      </c>
      <c r="F29" s="1162"/>
      <c r="G29" s="1161"/>
      <c r="H29" s="1161"/>
      <c r="I29" s="1172">
        <f t="shared" ref="I29:P29" si="3">I26/I27</f>
        <v>0.39666938568290905</v>
      </c>
      <c r="J29" s="1172">
        <f t="shared" si="3"/>
        <v>0.27872224726761341</v>
      </c>
      <c r="K29" s="1172">
        <f t="shared" si="3"/>
        <v>0.28750436362928106</v>
      </c>
      <c r="L29" s="1172">
        <f t="shared" si="3"/>
        <v>0.2346864464378117</v>
      </c>
      <c r="M29" s="1172">
        <f t="shared" si="3"/>
        <v>0.22070090535579906</v>
      </c>
      <c r="N29" s="1172">
        <f t="shared" si="3"/>
        <v>0.22679133923893252</v>
      </c>
      <c r="O29" s="1172">
        <f t="shared" si="3"/>
        <v>0.23949029181512124</v>
      </c>
      <c r="P29" s="1172">
        <f t="shared" si="3"/>
        <v>0.24577532724374188</v>
      </c>
      <c r="Q29" s="365"/>
      <c r="R29" s="365"/>
      <c r="S29" s="365"/>
      <c r="T29" s="365"/>
      <c r="U29" s="365"/>
      <c r="V29" s="359"/>
    </row>
    <row r="30" spans="1:22" x14ac:dyDescent="0.2">
      <c r="A30" s="1160"/>
      <c r="B30" s="1160"/>
      <c r="C30" s="1161"/>
      <c r="D30" s="1161"/>
      <c r="E30" s="1161"/>
      <c r="F30" s="1161"/>
      <c r="G30" s="1161"/>
      <c r="H30" s="1161"/>
      <c r="I30" s="1161"/>
      <c r="J30" s="1161"/>
      <c r="K30" s="1161"/>
      <c r="L30" s="1161"/>
      <c r="M30" s="1161"/>
      <c r="N30" s="1161"/>
      <c r="O30" s="1161"/>
      <c r="P30" s="1161"/>
      <c r="V30" s="441"/>
    </row>
    <row r="31" spans="1:22" x14ac:dyDescent="0.2">
      <c r="A31" s="1160"/>
      <c r="B31" s="1160"/>
      <c r="C31" s="1161" t="s">
        <v>26</v>
      </c>
      <c r="D31" s="1161"/>
      <c r="E31" s="1161"/>
      <c r="F31" s="1161"/>
      <c r="G31" s="1161"/>
      <c r="H31" s="1161"/>
      <c r="I31" s="1161"/>
      <c r="J31" s="1161"/>
      <c r="K31" s="1161"/>
      <c r="L31" s="1161"/>
      <c r="M31" s="1161"/>
      <c r="N31" s="1161"/>
      <c r="O31" s="1161"/>
      <c r="P31" s="1161"/>
      <c r="V31" s="441"/>
    </row>
    <row r="32" spans="1:22" x14ac:dyDescent="0.2">
      <c r="A32" s="1160"/>
      <c r="B32" s="1160"/>
      <c r="C32" s="1161"/>
      <c r="D32" s="1161"/>
      <c r="E32" s="1161"/>
      <c r="F32" s="1161"/>
      <c r="G32" s="1161"/>
      <c r="H32" s="1161" t="s">
        <v>621</v>
      </c>
      <c r="I32" s="1161"/>
      <c r="J32" s="1161"/>
      <c r="K32" s="1161"/>
      <c r="L32" s="1172"/>
      <c r="M32" s="1172">
        <f t="shared" ref="M32:O32" si="4">M27/L27-1</f>
        <v>3.4794123401687527E-2</v>
      </c>
      <c r="N32" s="1172">
        <f t="shared" si="4"/>
        <v>1.297942113789885E-2</v>
      </c>
      <c r="O32" s="1172">
        <f t="shared" si="4"/>
        <v>1.7249533939724282E-2</v>
      </c>
      <c r="P32" s="1172">
        <f>P27/O27-1</f>
        <v>5.5680063652184364E-2</v>
      </c>
      <c r="Q32" s="442"/>
      <c r="R32" s="442"/>
      <c r="S32" s="442"/>
      <c r="T32" s="442"/>
      <c r="U32" s="442"/>
      <c r="V32" s="442"/>
    </row>
    <row r="33" spans="1:22" x14ac:dyDescent="0.2">
      <c r="A33" s="1160"/>
      <c r="B33" s="1160"/>
      <c r="C33" s="1161" t="s">
        <v>27</v>
      </c>
      <c r="D33" s="1161"/>
      <c r="E33" s="1161"/>
      <c r="F33" s="1161"/>
      <c r="G33" s="1161"/>
      <c r="H33" s="1161"/>
      <c r="I33" s="1161"/>
      <c r="J33" s="1161"/>
      <c r="K33" s="1161"/>
      <c r="L33" s="1161"/>
      <c r="M33" s="1161"/>
      <c r="N33" s="1161"/>
      <c r="O33" s="1161"/>
      <c r="P33" s="1161"/>
    </row>
    <row r="34" spans="1:22" x14ac:dyDescent="0.2">
      <c r="A34" s="1160"/>
      <c r="B34" s="1160"/>
      <c r="C34" s="1161" t="s">
        <v>28</v>
      </c>
      <c r="D34" s="1161"/>
      <c r="E34" s="1161"/>
      <c r="F34" s="1161"/>
      <c r="G34" s="1161"/>
      <c r="H34" s="1161"/>
      <c r="I34" s="1161"/>
      <c r="J34" s="1161"/>
      <c r="K34" s="1161"/>
      <c r="L34" s="1161"/>
      <c r="M34" s="1161"/>
      <c r="N34" s="1161"/>
      <c r="O34" s="1161"/>
      <c r="P34" s="1178"/>
    </row>
    <row r="35" spans="1:22" x14ac:dyDescent="0.2">
      <c r="A35" s="1160"/>
      <c r="B35" s="1160"/>
      <c r="C35" s="1161" t="s">
        <v>29</v>
      </c>
      <c r="D35" s="1161"/>
      <c r="E35" s="1161"/>
      <c r="F35" s="1161"/>
      <c r="G35" s="1161"/>
      <c r="H35" s="1161"/>
      <c r="I35" s="1161"/>
      <c r="J35" s="1161"/>
      <c r="K35" s="1161"/>
      <c r="L35" s="1161"/>
      <c r="M35" s="1161"/>
      <c r="N35" s="1161"/>
      <c r="O35" s="1161"/>
      <c r="P35" s="1161"/>
    </row>
    <row r="36" spans="1:22" x14ac:dyDescent="0.2">
      <c r="A36" s="1160"/>
      <c r="B36" s="1160"/>
      <c r="C36" s="1161" t="s">
        <v>30</v>
      </c>
      <c r="D36" s="1161"/>
      <c r="E36" s="1161"/>
      <c r="F36" s="1161"/>
      <c r="G36" s="1161"/>
      <c r="H36" s="1161"/>
      <c r="I36" s="1161"/>
      <c r="J36" s="1161"/>
      <c r="K36" s="1161"/>
      <c r="L36" s="1161"/>
      <c r="M36" s="1161"/>
      <c r="N36" s="1161"/>
      <c r="O36" s="1161"/>
      <c r="P36" s="1179"/>
      <c r="Q36" s="443"/>
      <c r="R36" s="444"/>
      <c r="S36" s="444"/>
      <c r="T36" s="444"/>
      <c r="U36" s="444"/>
      <c r="V36" s="444"/>
    </row>
    <row r="37" spans="1:22" x14ac:dyDescent="0.2">
      <c r="A37" s="1160"/>
      <c r="B37" s="1160"/>
      <c r="C37" s="1161" t="s">
        <v>31</v>
      </c>
      <c r="D37" s="1161"/>
      <c r="E37" s="1161"/>
      <c r="F37" s="1161"/>
      <c r="G37" s="1161"/>
      <c r="H37" s="1161"/>
      <c r="I37" s="1161"/>
      <c r="J37" s="1161"/>
      <c r="K37" s="1161"/>
      <c r="L37" s="1161"/>
      <c r="M37" s="1161"/>
      <c r="N37" s="1161"/>
      <c r="O37" s="1161"/>
      <c r="P37" s="1180"/>
      <c r="Q37" s="443"/>
      <c r="R37" s="443"/>
      <c r="S37" s="443"/>
      <c r="T37" s="443"/>
      <c r="U37" s="443"/>
      <c r="V37" s="443"/>
    </row>
    <row r="38" spans="1:22" x14ac:dyDescent="0.2">
      <c r="A38" s="1160"/>
      <c r="B38" s="1160"/>
      <c r="C38" s="1161"/>
      <c r="D38" s="1161"/>
      <c r="E38" s="1161"/>
      <c r="F38" s="1161"/>
      <c r="G38" s="1161"/>
      <c r="H38" s="1161"/>
      <c r="I38" s="1161"/>
      <c r="J38" s="1161"/>
      <c r="K38" s="1161"/>
      <c r="L38" s="1161"/>
      <c r="M38" s="1161"/>
      <c r="N38" s="1161"/>
      <c r="O38" s="1161"/>
      <c r="P38" s="1161"/>
    </row>
    <row r="39" spans="1:22" x14ac:dyDescent="0.2">
      <c r="A39" s="1160"/>
      <c r="B39" s="1160"/>
      <c r="C39" s="1161"/>
      <c r="D39" s="1161"/>
      <c r="E39" s="1161"/>
      <c r="F39" s="1161"/>
      <c r="G39" s="1161"/>
      <c r="H39" s="1161"/>
      <c r="I39" s="1161"/>
      <c r="J39" s="1161"/>
      <c r="K39" s="1161"/>
      <c r="L39" s="1161"/>
      <c r="M39" s="1161"/>
      <c r="N39" s="1161"/>
      <c r="O39" s="1161"/>
      <c r="P39" s="1161"/>
    </row>
    <row r="40" spans="1:22" x14ac:dyDescent="0.2">
      <c r="A40" s="1160"/>
      <c r="B40" s="1160"/>
      <c r="C40" s="1161"/>
      <c r="D40" s="1161"/>
      <c r="E40" s="1161"/>
      <c r="F40" s="1161"/>
      <c r="G40" s="1161"/>
      <c r="H40" s="1161"/>
      <c r="I40" s="1161"/>
      <c r="J40" s="1161"/>
      <c r="K40" s="1161"/>
      <c r="L40" s="1161"/>
      <c r="M40" s="1161"/>
      <c r="N40" s="1161"/>
      <c r="O40" s="1161"/>
      <c r="P40" s="1161"/>
    </row>
    <row r="41" spans="1:22" x14ac:dyDescent="0.2">
      <c r="A41" s="1160"/>
      <c r="B41" s="1160"/>
      <c r="C41" s="1161"/>
      <c r="D41" s="1161"/>
      <c r="E41" s="1161"/>
      <c r="F41" s="1161"/>
      <c r="G41" s="1161"/>
      <c r="H41" s="1161"/>
      <c r="I41" s="1161"/>
      <c r="J41" s="1161"/>
      <c r="K41" s="1161"/>
      <c r="L41" s="1161"/>
      <c r="M41" s="1161"/>
      <c r="N41" s="1161"/>
      <c r="O41" s="1161"/>
      <c r="P41" s="1161"/>
    </row>
    <row r="42" spans="1:22" x14ac:dyDescent="0.2">
      <c r="K42" s="445"/>
      <c r="L42" s="445"/>
      <c r="M42" s="446"/>
      <c r="N42" s="446"/>
      <c r="O42" s="446"/>
      <c r="P42" s="446"/>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autoPageBreaks="0"/>
  </sheetPr>
  <dimension ref="A1:R165"/>
  <sheetViews>
    <sheetView showGridLines="0" zoomScale="75" zoomScaleNormal="75" workbookViewId="0">
      <selection activeCell="D8" sqref="D8"/>
    </sheetView>
  </sheetViews>
  <sheetFormatPr defaultColWidth="10.28515625" defaultRowHeight="14.25" x14ac:dyDescent="0.2"/>
  <cols>
    <col min="1" max="1" width="14.42578125" style="1161" customWidth="1"/>
    <col min="2" max="2" width="39.42578125" style="1161" customWidth="1"/>
    <col min="3" max="6" width="14.140625" style="1161" customWidth="1"/>
    <col min="7" max="7" width="12.85546875" style="1161" customWidth="1"/>
    <col min="8" max="8" width="15.5703125" style="1160" customWidth="1"/>
    <col min="9" max="10" width="10.28515625" style="1160" customWidth="1"/>
    <col min="11" max="16384" width="10.28515625" style="433"/>
  </cols>
  <sheetData>
    <row r="1" spans="1:10" ht="18.600000000000001" customHeight="1" x14ac:dyDescent="0.2"/>
    <row r="2" spans="1:10" ht="18.600000000000001" customHeight="1" x14ac:dyDescent="0.2"/>
    <row r="3" spans="1:10" ht="18.600000000000001" customHeight="1" x14ac:dyDescent="0.2"/>
    <row r="4" spans="1:10" ht="18.600000000000001" customHeight="1" x14ac:dyDescent="0.2"/>
    <row r="5" spans="1:10" s="434" customFormat="1" ht="18.600000000000001" customHeight="1" x14ac:dyDescent="0.2">
      <c r="A5" s="1161" t="s">
        <v>263</v>
      </c>
      <c r="B5" s="1161"/>
      <c r="C5" s="1161"/>
      <c r="D5" s="1161"/>
      <c r="E5" s="1161"/>
      <c r="F5" s="1161"/>
      <c r="G5" s="1161"/>
      <c r="H5" s="1160"/>
      <c r="I5" s="1160"/>
      <c r="J5" s="1160"/>
    </row>
    <row r="6" spans="1:10" s="434" customFormat="1" ht="18.600000000000001" customHeight="1" x14ac:dyDescent="0.2">
      <c r="A6" s="1161"/>
      <c r="B6" s="1161"/>
      <c r="C6" s="1161"/>
      <c r="D6" s="1161"/>
      <c r="E6" s="1161"/>
      <c r="F6" s="1161"/>
      <c r="G6" s="1161"/>
      <c r="H6" s="1160"/>
      <c r="I6" s="1160"/>
      <c r="J6" s="1160"/>
    </row>
    <row r="7" spans="1:10" ht="18.600000000000001" customHeight="1" x14ac:dyDescent="0.2"/>
    <row r="8" spans="1:10" ht="18.600000000000001" customHeight="1" x14ac:dyDescent="0.2">
      <c r="A8" s="1161" t="s">
        <v>265</v>
      </c>
      <c r="C8" s="1171"/>
      <c r="D8" s="1171"/>
    </row>
    <row r="9" spans="1:10" ht="18.600000000000001" customHeight="1" x14ac:dyDescent="0.2">
      <c r="C9" s="1171"/>
      <c r="D9" s="1171"/>
    </row>
    <row r="10" spans="1:10" ht="18.600000000000001" customHeight="1" x14ac:dyDescent="0.2">
      <c r="A10" s="1160" t="s">
        <v>266</v>
      </c>
      <c r="C10" s="1171"/>
      <c r="D10" s="1171"/>
    </row>
    <row r="11" spans="1:10" s="435" customFormat="1" ht="18.600000000000001" customHeight="1" x14ac:dyDescent="0.3">
      <c r="A11" s="1161"/>
      <c r="B11" s="1161"/>
      <c r="C11" s="1171"/>
      <c r="D11" s="1171"/>
      <c r="E11" s="1161"/>
      <c r="F11" s="1161"/>
      <c r="G11" s="1161"/>
      <c r="H11" s="1160"/>
      <c r="I11" s="1160"/>
      <c r="J11" s="1160"/>
    </row>
    <row r="12" spans="1:10" ht="18.600000000000001" customHeight="1" x14ac:dyDescent="0.2">
      <c r="A12" s="1161" t="s">
        <v>267</v>
      </c>
      <c r="B12" s="1204">
        <v>2011</v>
      </c>
      <c r="C12" s="1204">
        <v>2016</v>
      </c>
      <c r="D12" s="1204">
        <v>2021</v>
      </c>
      <c r="E12" s="1204">
        <v>2026</v>
      </c>
      <c r="F12" s="1204">
        <v>2031</v>
      </c>
      <c r="G12" s="1204">
        <v>2036</v>
      </c>
      <c r="H12" s="1200"/>
    </row>
    <row r="13" spans="1:10" x14ac:dyDescent="0.2">
      <c r="A13" s="1161" t="s">
        <v>268</v>
      </c>
      <c r="B13" s="1205">
        <v>106600</v>
      </c>
      <c r="C13" s="1205">
        <v>121100</v>
      </c>
      <c r="D13" s="1205">
        <v>135800</v>
      </c>
      <c r="E13" s="1205">
        <v>153300</v>
      </c>
      <c r="F13" s="1205">
        <v>169300</v>
      </c>
      <c r="G13" s="1205">
        <v>186800</v>
      </c>
      <c r="H13" s="1201"/>
    </row>
    <row r="14" spans="1:10" x14ac:dyDescent="0.2">
      <c r="A14" s="1161" t="s">
        <v>269</v>
      </c>
      <c r="B14" s="1205">
        <v>34750</v>
      </c>
      <c r="C14" s="1205">
        <v>36950</v>
      </c>
      <c r="D14" s="1205">
        <v>37950</v>
      </c>
      <c r="E14" s="1205">
        <v>39150</v>
      </c>
      <c r="F14" s="1205">
        <v>40500</v>
      </c>
      <c r="G14" s="1205">
        <v>42350</v>
      </c>
      <c r="H14" s="1201"/>
    </row>
    <row r="15" spans="1:10" x14ac:dyDescent="0.2">
      <c r="A15" s="1161" t="s">
        <v>270</v>
      </c>
      <c r="B15" s="1205">
        <v>16500</v>
      </c>
      <c r="C15" s="1205">
        <v>19400</v>
      </c>
      <c r="D15" s="1205">
        <v>23650</v>
      </c>
      <c r="E15" s="1205">
        <v>26050</v>
      </c>
      <c r="F15" s="1205">
        <v>27800</v>
      </c>
      <c r="G15" s="1205">
        <v>29650</v>
      </c>
      <c r="H15" s="1201"/>
    </row>
    <row r="16" spans="1:10" x14ac:dyDescent="0.2">
      <c r="A16" s="1161" t="s">
        <v>271</v>
      </c>
      <c r="B16" s="1205">
        <v>12900</v>
      </c>
      <c r="C16" s="1205">
        <v>14750</v>
      </c>
      <c r="D16" s="1205">
        <v>17000</v>
      </c>
      <c r="E16" s="1205">
        <v>18650</v>
      </c>
      <c r="F16" s="1205">
        <v>20300</v>
      </c>
      <c r="G16" s="1205">
        <v>21950</v>
      </c>
      <c r="H16" s="1201"/>
    </row>
    <row r="17" spans="1:8" x14ac:dyDescent="0.2">
      <c r="A17" s="1161" t="s">
        <v>272</v>
      </c>
      <c r="B17" s="1205">
        <v>20050</v>
      </c>
      <c r="C17" s="1205">
        <v>28450</v>
      </c>
      <c r="D17" s="1205">
        <v>38850</v>
      </c>
      <c r="E17" s="1205">
        <v>52850</v>
      </c>
      <c r="F17" s="1205">
        <v>66700</v>
      </c>
      <c r="G17" s="1205">
        <v>81250</v>
      </c>
      <c r="H17" s="1201"/>
    </row>
    <row r="18" spans="1:8" x14ac:dyDescent="0.2">
      <c r="A18" s="1161" t="s">
        <v>273</v>
      </c>
      <c r="B18" s="1205">
        <v>53600</v>
      </c>
      <c r="C18" s="1205">
        <v>59500</v>
      </c>
      <c r="D18" s="1205">
        <v>65050</v>
      </c>
      <c r="E18" s="1205">
        <v>72450</v>
      </c>
      <c r="F18" s="1205">
        <v>78950</v>
      </c>
      <c r="G18" s="1205">
        <v>86200</v>
      </c>
      <c r="H18" s="1201"/>
    </row>
    <row r="19" spans="1:8" x14ac:dyDescent="0.2">
      <c r="A19" s="1161" t="s">
        <v>274</v>
      </c>
      <c r="B19" s="1205">
        <v>33600</v>
      </c>
      <c r="C19" s="1205">
        <v>38350</v>
      </c>
      <c r="D19" s="1205">
        <v>40200</v>
      </c>
      <c r="E19" s="1205">
        <v>44100</v>
      </c>
      <c r="F19" s="1205">
        <v>48450</v>
      </c>
      <c r="G19" s="1205">
        <v>52800</v>
      </c>
      <c r="H19" s="1201"/>
    </row>
    <row r="20" spans="1:8" x14ac:dyDescent="0.2">
      <c r="A20" s="1161" t="s">
        <v>275</v>
      </c>
      <c r="B20" s="1205">
        <v>121100</v>
      </c>
      <c r="C20" s="1205">
        <v>130750</v>
      </c>
      <c r="D20" s="1205">
        <v>142500</v>
      </c>
      <c r="E20" s="1205">
        <v>156050</v>
      </c>
      <c r="F20" s="1205">
        <v>170800</v>
      </c>
      <c r="G20" s="1205">
        <v>186000</v>
      </c>
      <c r="H20" s="1201"/>
    </row>
    <row r="21" spans="1:8" x14ac:dyDescent="0.2">
      <c r="A21" s="1161" t="s">
        <v>276</v>
      </c>
      <c r="B21" s="1205">
        <v>72150</v>
      </c>
      <c r="C21" s="1205">
        <v>82450</v>
      </c>
      <c r="D21" s="1205">
        <v>91000</v>
      </c>
      <c r="E21" s="1205">
        <v>98400</v>
      </c>
      <c r="F21" s="1205">
        <v>106900</v>
      </c>
      <c r="G21" s="1205">
        <v>116400</v>
      </c>
      <c r="H21" s="1201"/>
    </row>
    <row r="22" spans="1:8" x14ac:dyDescent="0.2">
      <c r="A22" s="1161" t="s">
        <v>277</v>
      </c>
      <c r="B22" s="1205">
        <v>65100</v>
      </c>
      <c r="C22" s="1205">
        <v>69700</v>
      </c>
      <c r="D22" s="1205">
        <v>72450</v>
      </c>
      <c r="E22" s="1205">
        <v>75300</v>
      </c>
      <c r="F22" s="1205">
        <v>77400</v>
      </c>
      <c r="G22" s="1205">
        <v>79900</v>
      </c>
      <c r="H22" s="1201"/>
    </row>
    <row r="23" spans="1:8" x14ac:dyDescent="0.2">
      <c r="A23" s="1161" t="s">
        <v>278</v>
      </c>
      <c r="B23" s="1205">
        <v>54150</v>
      </c>
      <c r="C23" s="1205">
        <v>58350</v>
      </c>
      <c r="D23" s="1205">
        <v>61950</v>
      </c>
      <c r="E23" s="1205">
        <v>65100</v>
      </c>
      <c r="F23" s="1205">
        <v>68400</v>
      </c>
      <c r="G23" s="1205">
        <v>71750</v>
      </c>
      <c r="H23" s="1201"/>
    </row>
    <row r="24" spans="1:8" x14ac:dyDescent="0.2">
      <c r="A24" s="1161" t="s">
        <v>279</v>
      </c>
      <c r="B24" s="1205">
        <v>24450</v>
      </c>
      <c r="C24" s="1205">
        <v>26400</v>
      </c>
      <c r="D24" s="1205">
        <v>28100</v>
      </c>
      <c r="E24" s="1205">
        <v>29900</v>
      </c>
      <c r="F24" s="1205">
        <v>31950</v>
      </c>
      <c r="G24" s="1205">
        <v>34400</v>
      </c>
      <c r="H24" s="1201"/>
    </row>
    <row r="25" spans="1:8" x14ac:dyDescent="0.2">
      <c r="A25" s="1161" t="s">
        <v>280</v>
      </c>
      <c r="B25" s="1205">
        <v>51750</v>
      </c>
      <c r="C25" s="1205">
        <v>55100</v>
      </c>
      <c r="D25" s="1205">
        <v>60050</v>
      </c>
      <c r="E25" s="1205">
        <v>62700</v>
      </c>
      <c r="F25" s="1205">
        <v>65850</v>
      </c>
      <c r="G25" s="1205">
        <v>68650</v>
      </c>
      <c r="H25" s="1201"/>
    </row>
    <row r="26" spans="1:8" x14ac:dyDescent="0.2">
      <c r="A26" s="1161" t="s">
        <v>281</v>
      </c>
      <c r="B26" s="1205">
        <v>5400</v>
      </c>
      <c r="C26" s="1205">
        <v>5750</v>
      </c>
      <c r="D26" s="1205">
        <v>5900</v>
      </c>
      <c r="E26" s="1205">
        <v>6050</v>
      </c>
      <c r="F26" s="1205">
        <v>6250</v>
      </c>
      <c r="G26" s="1205">
        <v>6500</v>
      </c>
      <c r="H26" s="1201"/>
    </row>
    <row r="27" spans="1:8" x14ac:dyDescent="0.2">
      <c r="A27" s="1161" t="s">
        <v>282</v>
      </c>
      <c r="B27" s="1205">
        <v>81850</v>
      </c>
      <c r="C27" s="1205">
        <v>86450</v>
      </c>
      <c r="D27" s="1205">
        <v>91550</v>
      </c>
      <c r="E27" s="1205">
        <v>95800</v>
      </c>
      <c r="F27" s="1205">
        <v>101100</v>
      </c>
      <c r="G27" s="1205">
        <v>106350</v>
      </c>
      <c r="H27" s="1201"/>
    </row>
    <row r="28" spans="1:8" x14ac:dyDescent="0.2">
      <c r="A28" s="1161" t="s">
        <v>283</v>
      </c>
      <c r="B28" s="1205">
        <v>41050</v>
      </c>
      <c r="C28" s="1205">
        <v>44200</v>
      </c>
      <c r="D28" s="1205">
        <v>46950</v>
      </c>
      <c r="E28" s="1205">
        <v>49800</v>
      </c>
      <c r="F28" s="1205">
        <v>53100</v>
      </c>
      <c r="G28" s="1205">
        <v>56350</v>
      </c>
      <c r="H28" s="1201"/>
    </row>
    <row r="29" spans="1:8" x14ac:dyDescent="0.2">
      <c r="A29" s="1161" t="s">
        <v>284</v>
      </c>
      <c r="B29" s="1205">
        <v>13900</v>
      </c>
      <c r="C29" s="1205">
        <v>15550</v>
      </c>
      <c r="D29" s="1205">
        <v>16900</v>
      </c>
      <c r="E29" s="1205">
        <v>18150</v>
      </c>
      <c r="F29" s="1205">
        <v>20050</v>
      </c>
      <c r="G29" s="1205">
        <v>21950</v>
      </c>
      <c r="H29" s="1201"/>
    </row>
    <row r="30" spans="1:8" x14ac:dyDescent="0.2">
      <c r="A30" s="1161" t="s">
        <v>285</v>
      </c>
      <c r="B30" s="1205">
        <v>62600</v>
      </c>
      <c r="C30" s="1205">
        <v>72500</v>
      </c>
      <c r="D30" s="1205">
        <v>82900</v>
      </c>
      <c r="E30" s="1205">
        <v>95000</v>
      </c>
      <c r="F30" s="1205">
        <v>104900</v>
      </c>
      <c r="G30" s="1205">
        <v>116150</v>
      </c>
      <c r="H30" s="1201"/>
    </row>
    <row r="31" spans="1:8" x14ac:dyDescent="0.2">
      <c r="A31" s="1161" t="s">
        <v>286</v>
      </c>
      <c r="B31" s="1205">
        <v>13750</v>
      </c>
      <c r="C31" s="1205">
        <v>14300</v>
      </c>
      <c r="D31" s="1205">
        <v>14600</v>
      </c>
      <c r="E31" s="1205">
        <v>14850</v>
      </c>
      <c r="F31" s="1205">
        <v>15200</v>
      </c>
      <c r="G31" s="1205">
        <v>15600</v>
      </c>
      <c r="H31" s="1201"/>
    </row>
    <row r="32" spans="1:8" x14ac:dyDescent="0.2">
      <c r="A32" s="1161" t="s">
        <v>287</v>
      </c>
      <c r="B32" s="1205">
        <v>37000</v>
      </c>
      <c r="C32" s="1205">
        <v>39950</v>
      </c>
      <c r="D32" s="1205">
        <v>42700</v>
      </c>
      <c r="E32" s="1205">
        <v>45400</v>
      </c>
      <c r="F32" s="1205">
        <v>48500</v>
      </c>
      <c r="G32" s="1205">
        <v>51400</v>
      </c>
      <c r="H32" s="1201"/>
    </row>
    <row r="33" spans="1:8" x14ac:dyDescent="0.2">
      <c r="A33" s="1161" t="s">
        <v>288</v>
      </c>
      <c r="B33" s="1205">
        <v>103800</v>
      </c>
      <c r="C33" s="1205">
        <v>108750</v>
      </c>
      <c r="D33" s="1205">
        <v>111650</v>
      </c>
      <c r="E33" s="1205">
        <v>115700</v>
      </c>
      <c r="F33" s="1205">
        <v>120800</v>
      </c>
      <c r="G33" s="1205">
        <v>126200</v>
      </c>
      <c r="H33" s="1201"/>
    </row>
    <row r="34" spans="1:8" x14ac:dyDescent="0.2">
      <c r="A34" s="1161" t="s">
        <v>289</v>
      </c>
      <c r="B34" s="1205">
        <v>78350</v>
      </c>
      <c r="C34" s="1205">
        <v>88950</v>
      </c>
      <c r="D34" s="1205">
        <v>111000</v>
      </c>
      <c r="E34" s="1205">
        <v>129600</v>
      </c>
      <c r="F34" s="1205">
        <v>146800</v>
      </c>
      <c r="G34" s="1205">
        <v>162100</v>
      </c>
      <c r="H34" s="1201"/>
    </row>
    <row r="35" spans="1:8" x14ac:dyDescent="0.2">
      <c r="A35" s="1161" t="s">
        <v>290</v>
      </c>
      <c r="B35" s="1205">
        <v>67150</v>
      </c>
      <c r="C35" s="1205">
        <v>76200</v>
      </c>
      <c r="D35" s="1205">
        <v>83350</v>
      </c>
      <c r="E35" s="1205">
        <v>90200</v>
      </c>
      <c r="F35" s="1205">
        <v>97100</v>
      </c>
      <c r="G35" s="1205">
        <v>104400</v>
      </c>
      <c r="H35" s="1201"/>
    </row>
    <row r="36" spans="1:8" x14ac:dyDescent="0.2">
      <c r="A36" s="1161" t="s">
        <v>291</v>
      </c>
      <c r="B36" s="1205">
        <v>59450</v>
      </c>
      <c r="C36" s="1205">
        <v>63000</v>
      </c>
      <c r="D36" s="1205">
        <v>64700</v>
      </c>
      <c r="E36" s="1205">
        <v>66850</v>
      </c>
      <c r="F36" s="1205">
        <v>72050</v>
      </c>
      <c r="G36" s="1205">
        <v>77600</v>
      </c>
      <c r="H36" s="1201"/>
    </row>
    <row r="37" spans="1:8" x14ac:dyDescent="0.2">
      <c r="A37" s="1161" t="s">
        <v>292</v>
      </c>
      <c r="B37" s="1205">
        <v>41550</v>
      </c>
      <c r="C37" s="1205">
        <v>46200</v>
      </c>
      <c r="D37" s="1205">
        <v>51000</v>
      </c>
      <c r="E37" s="1205">
        <v>54900</v>
      </c>
      <c r="F37" s="1205">
        <v>59500</v>
      </c>
      <c r="G37" s="1205">
        <v>64000</v>
      </c>
      <c r="H37" s="1201"/>
    </row>
    <row r="38" spans="1:8" x14ac:dyDescent="0.2">
      <c r="A38" s="1161" t="s">
        <v>293</v>
      </c>
      <c r="B38" s="1205">
        <v>44050</v>
      </c>
      <c r="C38" s="1205">
        <v>49000</v>
      </c>
      <c r="D38" s="1205">
        <v>55250</v>
      </c>
      <c r="E38" s="1205">
        <v>60900</v>
      </c>
      <c r="F38" s="1205">
        <v>66000</v>
      </c>
      <c r="G38" s="1205">
        <v>71000</v>
      </c>
      <c r="H38" s="1201"/>
    </row>
    <row r="39" spans="1:8" x14ac:dyDescent="0.2">
      <c r="A39" s="1161" t="s">
        <v>294</v>
      </c>
      <c r="B39" s="1205">
        <v>13600</v>
      </c>
      <c r="C39" s="1205">
        <v>15300</v>
      </c>
      <c r="D39" s="1205">
        <v>18750</v>
      </c>
      <c r="E39" s="1205">
        <v>20900</v>
      </c>
      <c r="F39" s="1205">
        <v>22600</v>
      </c>
      <c r="G39" s="1205">
        <v>24600</v>
      </c>
      <c r="H39" s="1201"/>
    </row>
    <row r="40" spans="1:8" x14ac:dyDescent="0.2">
      <c r="A40" s="1161" t="s">
        <v>295</v>
      </c>
      <c r="B40" s="1205">
        <v>85550</v>
      </c>
      <c r="C40" s="1205">
        <v>90100</v>
      </c>
      <c r="D40" s="1205">
        <v>93250</v>
      </c>
      <c r="E40" s="1205">
        <v>96850</v>
      </c>
      <c r="F40" s="1205">
        <v>101000</v>
      </c>
      <c r="G40" s="1205">
        <v>105050</v>
      </c>
      <c r="H40" s="1201"/>
    </row>
    <row r="41" spans="1:8" x14ac:dyDescent="0.2">
      <c r="A41" s="1161" t="s">
        <v>296</v>
      </c>
      <c r="B41" s="1205">
        <v>102250</v>
      </c>
      <c r="C41" s="1205">
        <v>119750</v>
      </c>
      <c r="D41" s="1205">
        <v>138450</v>
      </c>
      <c r="E41" s="1205">
        <v>151850</v>
      </c>
      <c r="F41" s="1205">
        <v>166600</v>
      </c>
      <c r="G41" s="1205">
        <v>179750</v>
      </c>
      <c r="H41" s="1201"/>
    </row>
    <row r="42" spans="1:8" x14ac:dyDescent="0.2">
      <c r="A42" s="1161" t="s">
        <v>297</v>
      </c>
      <c r="B42" s="1205">
        <v>49500</v>
      </c>
      <c r="C42" s="1205">
        <v>55250</v>
      </c>
      <c r="D42" s="1205">
        <v>60850</v>
      </c>
      <c r="E42" s="1205">
        <v>70050</v>
      </c>
      <c r="F42" s="1205">
        <v>79350</v>
      </c>
      <c r="G42" s="1205">
        <v>90500</v>
      </c>
      <c r="H42" s="1201"/>
    </row>
    <row r="43" spans="1:8" x14ac:dyDescent="0.2">
      <c r="A43" s="1161" t="s">
        <v>298</v>
      </c>
      <c r="B43" s="1205">
        <v>33150</v>
      </c>
      <c r="C43" s="1205">
        <v>34550</v>
      </c>
      <c r="D43" s="1205">
        <v>35250</v>
      </c>
      <c r="E43" s="1205">
        <v>35600</v>
      </c>
      <c r="F43" s="1205">
        <v>36300</v>
      </c>
      <c r="G43" s="1205">
        <v>37050</v>
      </c>
      <c r="H43" s="1201"/>
    </row>
    <row r="44" spans="1:8" x14ac:dyDescent="0.2">
      <c r="A44" s="1161" t="s">
        <v>299</v>
      </c>
      <c r="B44" s="1205">
        <v>29050</v>
      </c>
      <c r="C44" s="1205">
        <v>30950</v>
      </c>
      <c r="D44" s="1205">
        <v>32150</v>
      </c>
      <c r="E44" s="1205">
        <v>33550</v>
      </c>
      <c r="F44" s="1205">
        <v>35400</v>
      </c>
      <c r="G44" s="1205">
        <v>37400</v>
      </c>
      <c r="H44" s="1201"/>
    </row>
    <row r="45" spans="1:8" x14ac:dyDescent="0.2">
      <c r="A45" s="1161" t="s">
        <v>300</v>
      </c>
      <c r="B45" s="1205">
        <v>16100</v>
      </c>
      <c r="C45" s="1205">
        <v>18200</v>
      </c>
      <c r="D45" s="1205">
        <v>19250</v>
      </c>
      <c r="E45" s="1205">
        <v>21700</v>
      </c>
      <c r="F45" s="1205">
        <v>24500</v>
      </c>
      <c r="G45" s="1205">
        <v>27750</v>
      </c>
      <c r="H45" s="1201"/>
    </row>
    <row r="46" spans="1:8" x14ac:dyDescent="0.2">
      <c r="A46" s="1161" t="s">
        <v>301</v>
      </c>
      <c r="B46" s="1205">
        <v>28100</v>
      </c>
      <c r="C46" s="1205">
        <v>28650</v>
      </c>
      <c r="D46" s="1205">
        <v>28750</v>
      </c>
      <c r="E46" s="1205">
        <v>29050</v>
      </c>
      <c r="F46" s="1205">
        <v>29600</v>
      </c>
      <c r="G46" s="1205">
        <v>30100</v>
      </c>
      <c r="H46" s="1201"/>
    </row>
    <row r="47" spans="1:8" x14ac:dyDescent="0.2">
      <c r="B47" s="1205"/>
      <c r="C47" s="1205"/>
      <c r="D47" s="1205"/>
      <c r="E47" s="1205"/>
      <c r="F47" s="1205"/>
      <c r="G47" s="1205"/>
      <c r="H47" s="1201"/>
    </row>
    <row r="48" spans="1:8" x14ac:dyDescent="0.2">
      <c r="A48" s="1161" t="s">
        <v>302</v>
      </c>
      <c r="B48" s="1205">
        <v>1673900</v>
      </c>
      <c r="C48" s="1205">
        <v>1844800</v>
      </c>
      <c r="D48" s="1205">
        <v>2019700</v>
      </c>
      <c r="E48" s="1205">
        <v>2196750</v>
      </c>
      <c r="F48" s="1205">
        <v>2380000</v>
      </c>
      <c r="G48" s="1205">
        <v>2569900</v>
      </c>
      <c r="H48" s="1201"/>
    </row>
    <row r="49" spans="1:8" x14ac:dyDescent="0.2">
      <c r="B49" s="1205"/>
      <c r="C49" s="1205"/>
      <c r="D49" s="1205"/>
      <c r="E49" s="1205"/>
      <c r="F49" s="1205"/>
      <c r="G49" s="1205"/>
      <c r="H49" s="1201"/>
    </row>
    <row r="50" spans="1:8" x14ac:dyDescent="0.2">
      <c r="A50" s="1161" t="s">
        <v>303</v>
      </c>
      <c r="B50" s="1204">
        <v>2011</v>
      </c>
      <c r="C50" s="1204">
        <v>2016</v>
      </c>
      <c r="D50" s="1204">
        <v>2021</v>
      </c>
      <c r="E50" s="1204">
        <v>2026</v>
      </c>
      <c r="F50" s="1204">
        <v>2031</v>
      </c>
      <c r="G50" s="1204">
        <v>2036</v>
      </c>
      <c r="H50" s="1200"/>
    </row>
    <row r="51" spans="1:8" x14ac:dyDescent="0.2">
      <c r="A51" s="1161" t="s">
        <v>304</v>
      </c>
      <c r="B51" s="1205">
        <v>23150</v>
      </c>
      <c r="C51" s="1205">
        <v>24950</v>
      </c>
      <c r="D51" s="1205">
        <v>26500</v>
      </c>
      <c r="E51" s="1205">
        <v>27850</v>
      </c>
      <c r="F51" s="1205">
        <v>29000</v>
      </c>
      <c r="G51" s="1206">
        <v>29900</v>
      </c>
      <c r="H51" s="1201"/>
    </row>
    <row r="52" spans="1:8" x14ac:dyDescent="0.2">
      <c r="A52" s="1161" t="s">
        <v>305</v>
      </c>
      <c r="B52" s="1205">
        <v>13100</v>
      </c>
      <c r="C52" s="1205">
        <v>14150</v>
      </c>
      <c r="D52" s="1205">
        <v>15200</v>
      </c>
      <c r="E52" s="1205">
        <v>16100</v>
      </c>
      <c r="F52" s="1205">
        <v>17000</v>
      </c>
      <c r="G52" s="1206">
        <v>17850</v>
      </c>
      <c r="H52" s="1201"/>
    </row>
    <row r="53" spans="1:8" x14ac:dyDescent="0.2">
      <c r="A53" s="1161" t="s">
        <v>306</v>
      </c>
      <c r="B53" s="1205">
        <v>18650</v>
      </c>
      <c r="C53" s="1205">
        <v>19450</v>
      </c>
      <c r="D53" s="1205">
        <v>20200</v>
      </c>
      <c r="E53" s="1205">
        <v>20900</v>
      </c>
      <c r="F53" s="1205">
        <v>21500</v>
      </c>
      <c r="G53" s="1206">
        <v>22000</v>
      </c>
      <c r="H53" s="1201"/>
    </row>
    <row r="54" spans="1:8" x14ac:dyDescent="0.2">
      <c r="A54" s="1161" t="s">
        <v>307</v>
      </c>
      <c r="B54" s="1205">
        <v>1100</v>
      </c>
      <c r="C54" s="1205">
        <v>1100</v>
      </c>
      <c r="D54" s="1205">
        <v>1100</v>
      </c>
      <c r="E54" s="1205">
        <v>1050</v>
      </c>
      <c r="F54" s="1205">
        <v>1050</v>
      </c>
      <c r="G54" s="1206">
        <v>1050</v>
      </c>
      <c r="H54" s="1201"/>
    </row>
    <row r="55" spans="1:8" x14ac:dyDescent="0.2">
      <c r="A55" s="1161" t="s">
        <v>308</v>
      </c>
      <c r="B55" s="1205">
        <v>16850</v>
      </c>
      <c r="C55" s="1205">
        <v>18600</v>
      </c>
      <c r="D55" s="1205">
        <v>20300</v>
      </c>
      <c r="E55" s="1205">
        <v>21900</v>
      </c>
      <c r="F55" s="1205">
        <v>23400</v>
      </c>
      <c r="G55" s="1206">
        <v>24800</v>
      </c>
      <c r="H55" s="1201"/>
    </row>
    <row r="56" spans="1:8" x14ac:dyDescent="0.2">
      <c r="A56" s="1161" t="s">
        <v>309</v>
      </c>
      <c r="B56" s="1205">
        <v>17650</v>
      </c>
      <c r="C56" s="1205">
        <v>18500</v>
      </c>
      <c r="D56" s="1205">
        <v>19300</v>
      </c>
      <c r="E56" s="1205">
        <v>19900</v>
      </c>
      <c r="F56" s="1205">
        <v>20450</v>
      </c>
      <c r="G56" s="1206">
        <v>20850</v>
      </c>
      <c r="H56" s="1201"/>
    </row>
    <row r="57" spans="1:8" x14ac:dyDescent="0.2">
      <c r="A57" s="1161" t="s">
        <v>310</v>
      </c>
      <c r="B57" s="1205">
        <v>6150</v>
      </c>
      <c r="C57" s="1205">
        <v>6350</v>
      </c>
      <c r="D57" s="1205">
        <v>6450</v>
      </c>
      <c r="E57" s="1205">
        <v>6500</v>
      </c>
      <c r="F57" s="1205">
        <v>6550</v>
      </c>
      <c r="G57" s="1206">
        <v>6550</v>
      </c>
      <c r="H57" s="1201"/>
    </row>
    <row r="58" spans="1:8" x14ac:dyDescent="0.2">
      <c r="A58" s="1161" t="s">
        <v>311</v>
      </c>
      <c r="B58" s="1205">
        <v>4400</v>
      </c>
      <c r="C58" s="1205">
        <v>4550</v>
      </c>
      <c r="D58" s="1205">
        <v>4650</v>
      </c>
      <c r="E58" s="1205">
        <v>4650</v>
      </c>
      <c r="F58" s="1205">
        <v>4600</v>
      </c>
      <c r="G58" s="1206">
        <v>4550</v>
      </c>
      <c r="H58" s="1201"/>
    </row>
    <row r="59" spans="1:8" x14ac:dyDescent="0.2">
      <c r="A59" s="1161" t="s">
        <v>312</v>
      </c>
      <c r="B59" s="1205">
        <v>2950</v>
      </c>
      <c r="C59" s="1205">
        <v>2850</v>
      </c>
      <c r="D59" s="1205">
        <v>2800</v>
      </c>
      <c r="E59" s="1205">
        <v>2650</v>
      </c>
      <c r="F59" s="1205">
        <v>2550</v>
      </c>
      <c r="G59" s="1206">
        <v>2450</v>
      </c>
      <c r="H59" s="1201"/>
    </row>
    <row r="60" spans="1:8" x14ac:dyDescent="0.2">
      <c r="A60" s="1161" t="s">
        <v>313</v>
      </c>
      <c r="B60" s="1205">
        <v>3200</v>
      </c>
      <c r="C60" s="1205">
        <v>3300</v>
      </c>
      <c r="D60" s="1205">
        <v>3400</v>
      </c>
      <c r="E60" s="1205">
        <v>3500</v>
      </c>
      <c r="F60" s="1205">
        <v>3550</v>
      </c>
      <c r="G60" s="1206">
        <v>3600</v>
      </c>
      <c r="H60" s="1201"/>
    </row>
    <row r="61" spans="1:8" x14ac:dyDescent="0.2">
      <c r="A61" s="1161" t="s">
        <v>314</v>
      </c>
      <c r="B61" s="1205">
        <v>1450</v>
      </c>
      <c r="C61" s="1205">
        <v>1450</v>
      </c>
      <c r="D61" s="1205">
        <v>1500</v>
      </c>
      <c r="E61" s="1205">
        <v>1500</v>
      </c>
      <c r="F61" s="1205">
        <v>1500</v>
      </c>
      <c r="G61" s="1206">
        <v>1550</v>
      </c>
      <c r="H61" s="1201"/>
    </row>
    <row r="62" spans="1:8" x14ac:dyDescent="0.2">
      <c r="A62" s="1161" t="s">
        <v>315</v>
      </c>
      <c r="B62" s="1205">
        <v>1450</v>
      </c>
      <c r="C62" s="1205">
        <v>1450</v>
      </c>
      <c r="D62" s="1205">
        <v>1450</v>
      </c>
      <c r="E62" s="1205">
        <v>1500</v>
      </c>
      <c r="F62" s="1205">
        <v>1550</v>
      </c>
      <c r="G62" s="1206">
        <v>1600</v>
      </c>
      <c r="H62" s="1201"/>
    </row>
    <row r="63" spans="1:8" x14ac:dyDescent="0.2">
      <c r="A63" s="1161" t="s">
        <v>316</v>
      </c>
      <c r="B63" s="1205">
        <v>900</v>
      </c>
      <c r="C63" s="1205">
        <v>900</v>
      </c>
      <c r="D63" s="1205">
        <v>950</v>
      </c>
      <c r="E63" s="1205">
        <v>950</v>
      </c>
      <c r="F63" s="1205">
        <v>950</v>
      </c>
      <c r="G63" s="1206">
        <v>950</v>
      </c>
      <c r="H63" s="1201"/>
    </row>
    <row r="64" spans="1:8" x14ac:dyDescent="0.2">
      <c r="A64" s="1161" t="s">
        <v>317</v>
      </c>
      <c r="B64" s="1205">
        <v>10100</v>
      </c>
      <c r="C64" s="1205">
        <v>9950</v>
      </c>
      <c r="D64" s="1205">
        <v>9800</v>
      </c>
      <c r="E64" s="1205">
        <v>9550</v>
      </c>
      <c r="F64" s="1205">
        <v>9250</v>
      </c>
      <c r="G64" s="1206">
        <v>8900</v>
      </c>
      <c r="H64" s="1201"/>
    </row>
    <row r="65" spans="1:8" x14ac:dyDescent="0.2">
      <c r="A65" s="1161" t="s">
        <v>318</v>
      </c>
      <c r="B65" s="1205">
        <v>15200</v>
      </c>
      <c r="C65" s="1205">
        <v>16100</v>
      </c>
      <c r="D65" s="1205">
        <v>16950</v>
      </c>
      <c r="E65" s="1205">
        <v>17750</v>
      </c>
      <c r="F65" s="1205">
        <v>18500</v>
      </c>
      <c r="G65" s="1206">
        <v>19250</v>
      </c>
      <c r="H65" s="1201"/>
    </row>
    <row r="66" spans="1:8" x14ac:dyDescent="0.2">
      <c r="A66" s="1161" t="s">
        <v>319</v>
      </c>
      <c r="B66" s="1205">
        <v>5800</v>
      </c>
      <c r="C66" s="1205">
        <v>6200</v>
      </c>
      <c r="D66" s="1205">
        <v>6600</v>
      </c>
      <c r="E66" s="1205">
        <v>7050</v>
      </c>
      <c r="F66" s="1205">
        <v>7450</v>
      </c>
      <c r="G66" s="1206">
        <v>7850</v>
      </c>
      <c r="H66" s="1201"/>
    </row>
    <row r="67" spans="1:8" x14ac:dyDescent="0.2">
      <c r="A67" s="1161" t="s">
        <v>320</v>
      </c>
      <c r="B67" s="1205">
        <v>1450</v>
      </c>
      <c r="C67" s="1205">
        <v>1400</v>
      </c>
      <c r="D67" s="1205">
        <v>1400</v>
      </c>
      <c r="E67" s="1205">
        <v>1350</v>
      </c>
      <c r="F67" s="1205">
        <v>1300</v>
      </c>
      <c r="G67" s="1206">
        <v>1200</v>
      </c>
      <c r="H67" s="1201"/>
    </row>
    <row r="68" spans="1:8" x14ac:dyDescent="0.2">
      <c r="A68" s="1161" t="s">
        <v>321</v>
      </c>
      <c r="B68" s="1205">
        <v>147950</v>
      </c>
      <c r="C68" s="1205">
        <v>157650</v>
      </c>
      <c r="D68" s="1205">
        <v>167750</v>
      </c>
      <c r="E68" s="1205">
        <v>177600</v>
      </c>
      <c r="F68" s="1205">
        <v>186650</v>
      </c>
      <c r="G68" s="1206">
        <v>199150</v>
      </c>
      <c r="H68" s="1201"/>
    </row>
    <row r="69" spans="1:8" x14ac:dyDescent="0.2">
      <c r="A69" s="1161" t="s">
        <v>322</v>
      </c>
      <c r="B69" s="1205">
        <v>1200</v>
      </c>
      <c r="C69" s="1205">
        <v>1250</v>
      </c>
      <c r="D69" s="1205">
        <v>1300</v>
      </c>
      <c r="E69" s="1205">
        <v>1300</v>
      </c>
      <c r="F69" s="1205">
        <v>1350</v>
      </c>
      <c r="G69" s="1206">
        <v>1350</v>
      </c>
      <c r="H69" s="1201"/>
    </row>
    <row r="70" spans="1:8" x14ac:dyDescent="0.2">
      <c r="A70" s="1161" t="s">
        <v>323</v>
      </c>
      <c r="B70" s="1205">
        <v>22250</v>
      </c>
      <c r="C70" s="1205">
        <v>24000</v>
      </c>
      <c r="D70" s="1205">
        <v>25800</v>
      </c>
      <c r="E70" s="1205">
        <v>27500</v>
      </c>
      <c r="F70" s="1205">
        <v>29250</v>
      </c>
      <c r="G70" s="1206">
        <v>30350</v>
      </c>
      <c r="H70" s="1201"/>
    </row>
    <row r="71" spans="1:8" x14ac:dyDescent="0.2">
      <c r="A71" s="1161" t="s">
        <v>324</v>
      </c>
      <c r="B71" s="1205">
        <v>24700</v>
      </c>
      <c r="C71" s="1205">
        <v>25900</v>
      </c>
      <c r="D71" s="1205">
        <v>27100</v>
      </c>
      <c r="E71" s="1205">
        <v>28050</v>
      </c>
      <c r="F71" s="1205">
        <v>28850</v>
      </c>
      <c r="G71" s="1206">
        <v>29450</v>
      </c>
      <c r="H71" s="1201"/>
    </row>
    <row r="72" spans="1:8" x14ac:dyDescent="0.2">
      <c r="A72" s="1161" t="s">
        <v>325</v>
      </c>
      <c r="B72" s="1205">
        <v>2550</v>
      </c>
      <c r="C72" s="1205">
        <v>2500</v>
      </c>
      <c r="D72" s="1205">
        <v>2500</v>
      </c>
      <c r="E72" s="1205">
        <v>2450</v>
      </c>
      <c r="F72" s="1205">
        <v>2400</v>
      </c>
      <c r="G72" s="1206">
        <v>2300</v>
      </c>
      <c r="H72" s="1201"/>
    </row>
    <row r="73" spans="1:8" x14ac:dyDescent="0.2">
      <c r="A73" s="1161" t="s">
        <v>326</v>
      </c>
      <c r="B73" s="1205">
        <v>32050</v>
      </c>
      <c r="C73" s="1205">
        <v>34650</v>
      </c>
      <c r="D73" s="1205">
        <v>37100</v>
      </c>
      <c r="E73" s="1205">
        <v>39350</v>
      </c>
      <c r="F73" s="1205">
        <v>41550</v>
      </c>
      <c r="G73" s="1206">
        <v>43600</v>
      </c>
      <c r="H73" s="1201"/>
    </row>
    <row r="74" spans="1:8" x14ac:dyDescent="0.2">
      <c r="A74" s="1161" t="s">
        <v>327</v>
      </c>
      <c r="B74" s="1205">
        <v>1950</v>
      </c>
      <c r="C74" s="1205">
        <v>2000</v>
      </c>
      <c r="D74" s="1205">
        <v>2000</v>
      </c>
      <c r="E74" s="1205">
        <v>2050</v>
      </c>
      <c r="F74" s="1205">
        <v>2000</v>
      </c>
      <c r="G74" s="1206">
        <v>2000</v>
      </c>
      <c r="H74" s="1201"/>
    </row>
    <row r="75" spans="1:8" x14ac:dyDescent="0.2">
      <c r="A75" s="1161" t="s">
        <v>328</v>
      </c>
      <c r="B75" s="1205">
        <v>2100</v>
      </c>
      <c r="C75" s="1205">
        <v>2050</v>
      </c>
      <c r="D75" s="1205">
        <v>2050</v>
      </c>
      <c r="E75" s="1205">
        <v>2050</v>
      </c>
      <c r="F75" s="1205">
        <v>2050</v>
      </c>
      <c r="G75" s="1206">
        <v>2050</v>
      </c>
      <c r="H75" s="1201"/>
    </row>
    <row r="76" spans="1:8" x14ac:dyDescent="0.2">
      <c r="A76" s="1161" t="s">
        <v>329</v>
      </c>
      <c r="B76" s="1205">
        <v>6150</v>
      </c>
      <c r="C76" s="1205">
        <v>6200</v>
      </c>
      <c r="D76" s="1205">
        <v>6200</v>
      </c>
      <c r="E76" s="1205">
        <v>6100</v>
      </c>
      <c r="F76" s="1205">
        <v>5950</v>
      </c>
      <c r="G76" s="1206">
        <v>5800</v>
      </c>
      <c r="H76" s="1201"/>
    </row>
    <row r="77" spans="1:8" x14ac:dyDescent="0.2">
      <c r="A77" s="1161" t="s">
        <v>330</v>
      </c>
      <c r="B77" s="1205">
        <v>3950</v>
      </c>
      <c r="C77" s="1205">
        <v>4150</v>
      </c>
      <c r="D77" s="1205">
        <v>4300</v>
      </c>
      <c r="E77" s="1205">
        <v>4400</v>
      </c>
      <c r="F77" s="1205">
        <v>4500</v>
      </c>
      <c r="G77" s="1206">
        <v>4550</v>
      </c>
      <c r="H77" s="1201"/>
    </row>
    <row r="78" spans="1:8" x14ac:dyDescent="0.2">
      <c r="A78" s="1161" t="s">
        <v>331</v>
      </c>
      <c r="B78" s="1205">
        <v>4500</v>
      </c>
      <c r="C78" s="1205">
        <v>4450</v>
      </c>
      <c r="D78" s="1205">
        <v>4400</v>
      </c>
      <c r="E78" s="1205">
        <v>4300</v>
      </c>
      <c r="F78" s="1205">
        <v>4150</v>
      </c>
      <c r="G78" s="1206">
        <v>4050</v>
      </c>
      <c r="H78" s="1201"/>
    </row>
    <row r="79" spans="1:8" x14ac:dyDescent="0.2">
      <c r="A79" s="1161" t="s">
        <v>332</v>
      </c>
      <c r="B79" s="1205">
        <v>23700</v>
      </c>
      <c r="C79" s="1205">
        <v>25300</v>
      </c>
      <c r="D79" s="1205">
        <v>26550</v>
      </c>
      <c r="E79" s="1205">
        <v>27450</v>
      </c>
      <c r="F79" s="1205">
        <v>28100</v>
      </c>
      <c r="G79" s="1206">
        <v>28350</v>
      </c>
      <c r="H79" s="1201"/>
    </row>
    <row r="80" spans="1:8" x14ac:dyDescent="0.2">
      <c r="A80" s="1161" t="s">
        <v>333</v>
      </c>
      <c r="B80" s="1205">
        <v>6650</v>
      </c>
      <c r="C80" s="1205">
        <v>6900</v>
      </c>
      <c r="D80" s="1205">
        <v>7000</v>
      </c>
      <c r="E80" s="1205">
        <v>7100</v>
      </c>
      <c r="F80" s="1205">
        <v>7150</v>
      </c>
      <c r="G80" s="1206">
        <v>7100</v>
      </c>
      <c r="H80" s="1201"/>
    </row>
    <row r="81" spans="1:8" x14ac:dyDescent="0.2">
      <c r="A81" s="1161" t="s">
        <v>334</v>
      </c>
      <c r="B81" s="1205">
        <v>4450</v>
      </c>
      <c r="C81" s="1205">
        <v>4400</v>
      </c>
      <c r="D81" s="1205">
        <v>4400</v>
      </c>
      <c r="E81" s="1205">
        <v>4350</v>
      </c>
      <c r="F81" s="1205">
        <v>4250</v>
      </c>
      <c r="G81" s="1206">
        <v>4100</v>
      </c>
      <c r="H81" s="1201"/>
    </row>
    <row r="82" spans="1:8" x14ac:dyDescent="0.2">
      <c r="A82" s="1161" t="s">
        <v>335</v>
      </c>
      <c r="B82" s="1205">
        <v>2100</v>
      </c>
      <c r="C82" s="1205">
        <v>2100</v>
      </c>
      <c r="D82" s="1205">
        <v>2100</v>
      </c>
      <c r="E82" s="1205">
        <v>2050</v>
      </c>
      <c r="F82" s="1205">
        <v>2000</v>
      </c>
      <c r="G82" s="1206">
        <v>1900</v>
      </c>
      <c r="H82" s="1201"/>
    </row>
    <row r="83" spans="1:8" x14ac:dyDescent="0.2">
      <c r="A83" s="1161" t="s">
        <v>336</v>
      </c>
      <c r="B83" s="1205">
        <v>4550</v>
      </c>
      <c r="C83" s="1205">
        <v>4550</v>
      </c>
      <c r="D83" s="1205">
        <v>4500</v>
      </c>
      <c r="E83" s="1205">
        <v>4450</v>
      </c>
      <c r="F83" s="1205">
        <v>4350</v>
      </c>
      <c r="G83" s="1206">
        <v>4200</v>
      </c>
      <c r="H83" s="1201"/>
    </row>
    <row r="84" spans="1:8" x14ac:dyDescent="0.2">
      <c r="A84" s="1161" t="s">
        <v>337</v>
      </c>
      <c r="B84" s="1205">
        <v>13300</v>
      </c>
      <c r="C84" s="1205">
        <v>14200</v>
      </c>
      <c r="D84" s="1205">
        <v>15050</v>
      </c>
      <c r="E84" s="1205">
        <v>15900</v>
      </c>
      <c r="F84" s="1205">
        <v>16600</v>
      </c>
      <c r="G84" s="1206">
        <v>17250</v>
      </c>
      <c r="H84" s="1201"/>
    </row>
    <row r="85" spans="1:8" x14ac:dyDescent="0.2">
      <c r="A85" s="1161" t="s">
        <v>338</v>
      </c>
      <c r="B85" s="1205">
        <v>4650</v>
      </c>
      <c r="C85" s="1205">
        <v>4850</v>
      </c>
      <c r="D85" s="1205">
        <v>5000</v>
      </c>
      <c r="E85" s="1205">
        <v>5100</v>
      </c>
      <c r="F85" s="1205">
        <v>5100</v>
      </c>
      <c r="G85" s="1206">
        <v>5050</v>
      </c>
      <c r="H85" s="1201"/>
    </row>
    <row r="86" spans="1:8" x14ac:dyDescent="0.2">
      <c r="A86" s="1161" t="s">
        <v>339</v>
      </c>
      <c r="B86" s="1205">
        <v>10650</v>
      </c>
      <c r="C86" s="1205">
        <v>11050</v>
      </c>
      <c r="D86" s="1205">
        <v>11400</v>
      </c>
      <c r="E86" s="1205">
        <v>11650</v>
      </c>
      <c r="F86" s="1205">
        <v>11850</v>
      </c>
      <c r="G86" s="1206">
        <v>11900</v>
      </c>
      <c r="H86" s="1201"/>
    </row>
    <row r="87" spans="1:8" x14ac:dyDescent="0.2">
      <c r="A87" s="1161" t="s">
        <v>340</v>
      </c>
      <c r="B87" s="1205">
        <v>5600</v>
      </c>
      <c r="C87" s="1205">
        <v>5650</v>
      </c>
      <c r="D87" s="1205">
        <v>5600</v>
      </c>
      <c r="E87" s="1205">
        <v>5500</v>
      </c>
      <c r="F87" s="1205">
        <v>5350</v>
      </c>
      <c r="G87" s="1206">
        <v>5200</v>
      </c>
      <c r="H87" s="1201"/>
    </row>
    <row r="88" spans="1:8" x14ac:dyDescent="0.2">
      <c r="A88" s="1161" t="s">
        <v>341</v>
      </c>
      <c r="B88" s="1205">
        <v>5550</v>
      </c>
      <c r="C88" s="1205">
        <v>5750</v>
      </c>
      <c r="D88" s="1205">
        <v>5900</v>
      </c>
      <c r="E88" s="1205">
        <v>6000</v>
      </c>
      <c r="F88" s="1205">
        <v>6150</v>
      </c>
      <c r="G88" s="1206">
        <v>6250</v>
      </c>
      <c r="H88" s="1201"/>
    </row>
    <row r="89" spans="1:8" x14ac:dyDescent="0.2">
      <c r="A89" s="1161" t="s">
        <v>342</v>
      </c>
      <c r="B89" s="1205">
        <v>2850</v>
      </c>
      <c r="C89" s="1205">
        <v>2800</v>
      </c>
      <c r="D89" s="1205">
        <v>2750</v>
      </c>
      <c r="E89" s="1205">
        <v>2650</v>
      </c>
      <c r="F89" s="1205">
        <v>2500</v>
      </c>
      <c r="G89" s="1206">
        <v>2350</v>
      </c>
      <c r="H89" s="1201"/>
    </row>
    <row r="90" spans="1:8" x14ac:dyDescent="0.2">
      <c r="A90" s="1161" t="s">
        <v>343</v>
      </c>
      <c r="B90" s="1205">
        <v>1600</v>
      </c>
      <c r="C90" s="1205">
        <v>1550</v>
      </c>
      <c r="D90" s="1205">
        <v>1500</v>
      </c>
      <c r="E90" s="1205">
        <v>1400</v>
      </c>
      <c r="F90" s="1205">
        <v>1350</v>
      </c>
      <c r="G90" s="1206">
        <v>1300</v>
      </c>
      <c r="H90" s="1201"/>
    </row>
    <row r="91" spans="1:8" x14ac:dyDescent="0.2">
      <c r="A91" s="1161" t="s">
        <v>344</v>
      </c>
      <c r="B91" s="1205">
        <v>9200</v>
      </c>
      <c r="C91" s="1205">
        <v>9500</v>
      </c>
      <c r="D91" s="1205">
        <v>9750</v>
      </c>
      <c r="E91" s="1205">
        <v>9900</v>
      </c>
      <c r="F91" s="1205">
        <v>10000</v>
      </c>
      <c r="G91" s="1206">
        <v>9950</v>
      </c>
      <c r="H91" s="1201"/>
    </row>
    <row r="92" spans="1:8" x14ac:dyDescent="0.2">
      <c r="A92" s="1161" t="s">
        <v>345</v>
      </c>
      <c r="B92" s="1205">
        <v>7600</v>
      </c>
      <c r="C92" s="1205">
        <v>8050</v>
      </c>
      <c r="D92" s="1205">
        <v>8450</v>
      </c>
      <c r="E92" s="1205">
        <v>8750</v>
      </c>
      <c r="F92" s="1205">
        <v>9100</v>
      </c>
      <c r="G92" s="1206">
        <v>9400</v>
      </c>
      <c r="H92" s="1201"/>
    </row>
    <row r="93" spans="1:8" x14ac:dyDescent="0.2">
      <c r="A93" s="1161" t="s">
        <v>346</v>
      </c>
      <c r="B93" s="1205">
        <v>2500</v>
      </c>
      <c r="C93" s="1205">
        <v>2650</v>
      </c>
      <c r="D93" s="1205">
        <v>2700</v>
      </c>
      <c r="E93" s="1205">
        <v>2750</v>
      </c>
      <c r="F93" s="1205">
        <v>2750</v>
      </c>
      <c r="G93" s="1206">
        <v>2750</v>
      </c>
      <c r="H93" s="1201"/>
    </row>
    <row r="94" spans="1:8" x14ac:dyDescent="0.2">
      <c r="A94" s="1161" t="s">
        <v>347</v>
      </c>
      <c r="B94" s="1205">
        <v>13900</v>
      </c>
      <c r="C94" s="1205">
        <v>14450</v>
      </c>
      <c r="D94" s="1205">
        <v>14900</v>
      </c>
      <c r="E94" s="1205">
        <v>15200</v>
      </c>
      <c r="F94" s="1205">
        <v>15450</v>
      </c>
      <c r="G94" s="1206">
        <v>15550</v>
      </c>
      <c r="H94" s="1201"/>
    </row>
    <row r="95" spans="1:8" x14ac:dyDescent="0.2">
      <c r="A95" s="1161" t="s">
        <v>348</v>
      </c>
      <c r="B95" s="1205">
        <v>9900</v>
      </c>
      <c r="C95" s="1205">
        <v>10850</v>
      </c>
      <c r="D95" s="1205">
        <v>11600</v>
      </c>
      <c r="E95" s="1205">
        <v>12350</v>
      </c>
      <c r="F95" s="1205">
        <v>13150</v>
      </c>
      <c r="G95" s="1206">
        <v>13900</v>
      </c>
      <c r="H95" s="1201"/>
    </row>
    <row r="96" spans="1:8" x14ac:dyDescent="0.2">
      <c r="A96" s="1161" t="s">
        <v>349</v>
      </c>
      <c r="B96" s="1205">
        <v>4700</v>
      </c>
      <c r="C96" s="1205">
        <v>4800</v>
      </c>
      <c r="D96" s="1205">
        <v>4850</v>
      </c>
      <c r="E96" s="1205">
        <v>4850</v>
      </c>
      <c r="F96" s="1205">
        <v>4900</v>
      </c>
      <c r="G96" s="1206">
        <v>4900</v>
      </c>
      <c r="H96" s="1201"/>
    </row>
    <row r="97" spans="1:8" x14ac:dyDescent="0.2">
      <c r="A97" s="1161" t="s">
        <v>350</v>
      </c>
      <c r="B97" s="1205">
        <v>3350</v>
      </c>
      <c r="C97" s="1205">
        <v>3250</v>
      </c>
      <c r="D97" s="1205">
        <v>3100</v>
      </c>
      <c r="E97" s="1205">
        <v>3000</v>
      </c>
      <c r="F97" s="1205">
        <v>2850</v>
      </c>
      <c r="G97" s="1206">
        <v>2700</v>
      </c>
      <c r="H97" s="1201"/>
    </row>
    <row r="98" spans="1:8" x14ac:dyDescent="0.2">
      <c r="A98" s="1161" t="s">
        <v>351</v>
      </c>
      <c r="B98" s="1205">
        <v>84150</v>
      </c>
      <c r="C98" s="1205">
        <v>87700</v>
      </c>
      <c r="D98" s="1205">
        <v>91500</v>
      </c>
      <c r="E98" s="1205">
        <v>94850</v>
      </c>
      <c r="F98" s="1205">
        <v>98100</v>
      </c>
      <c r="G98" s="1206">
        <v>101400</v>
      </c>
      <c r="H98" s="1201"/>
    </row>
    <row r="99" spans="1:8" x14ac:dyDescent="0.2">
      <c r="A99" s="1161" t="s">
        <v>352</v>
      </c>
      <c r="B99" s="1205">
        <v>4850</v>
      </c>
      <c r="C99" s="1205">
        <v>5250</v>
      </c>
      <c r="D99" s="1205">
        <v>5500</v>
      </c>
      <c r="E99" s="1205">
        <v>5600</v>
      </c>
      <c r="F99" s="1205">
        <v>5650</v>
      </c>
      <c r="G99" s="1206">
        <v>5650</v>
      </c>
      <c r="H99" s="1201"/>
    </row>
    <row r="100" spans="1:8" x14ac:dyDescent="0.2">
      <c r="A100" s="1161" t="s">
        <v>353</v>
      </c>
      <c r="B100" s="1205">
        <v>19450</v>
      </c>
      <c r="C100" s="1205">
        <v>20550</v>
      </c>
      <c r="D100" s="1205">
        <v>21550</v>
      </c>
      <c r="E100" s="1205">
        <v>22450</v>
      </c>
      <c r="F100" s="1205">
        <v>23250</v>
      </c>
      <c r="G100" s="1206">
        <v>23900</v>
      </c>
      <c r="H100" s="1201"/>
    </row>
    <row r="101" spans="1:8" x14ac:dyDescent="0.2">
      <c r="A101" s="1161" t="s">
        <v>354</v>
      </c>
      <c r="B101" s="1205">
        <v>10050</v>
      </c>
      <c r="C101" s="1205">
        <v>10450</v>
      </c>
      <c r="D101" s="1205">
        <v>10700</v>
      </c>
      <c r="E101" s="1205">
        <v>10850</v>
      </c>
      <c r="F101" s="1205">
        <v>10850</v>
      </c>
      <c r="G101" s="1206">
        <v>10800</v>
      </c>
      <c r="H101" s="1201"/>
    </row>
    <row r="102" spans="1:8" x14ac:dyDescent="0.2">
      <c r="A102" s="1161" t="s">
        <v>355</v>
      </c>
      <c r="B102" s="1205">
        <v>3900</v>
      </c>
      <c r="C102" s="1205">
        <v>4000</v>
      </c>
      <c r="D102" s="1205">
        <v>4100</v>
      </c>
      <c r="E102" s="1205">
        <v>4150</v>
      </c>
      <c r="F102" s="1205">
        <v>4200</v>
      </c>
      <c r="G102" s="1206">
        <v>4200</v>
      </c>
      <c r="H102" s="1201"/>
    </row>
    <row r="103" spans="1:8" x14ac:dyDescent="0.2">
      <c r="A103" s="1161" t="s">
        <v>356</v>
      </c>
      <c r="B103" s="1205">
        <v>1400</v>
      </c>
      <c r="C103" s="1205">
        <v>1400</v>
      </c>
      <c r="D103" s="1205">
        <v>1350</v>
      </c>
      <c r="E103" s="1205">
        <v>1300</v>
      </c>
      <c r="F103" s="1205">
        <v>1250</v>
      </c>
      <c r="G103" s="1206">
        <v>1200</v>
      </c>
      <c r="H103" s="1201"/>
    </row>
    <row r="104" spans="1:8" x14ac:dyDescent="0.2">
      <c r="A104" s="1161" t="s">
        <v>357</v>
      </c>
      <c r="B104" s="1205">
        <v>27900</v>
      </c>
      <c r="C104" s="1205">
        <v>31650</v>
      </c>
      <c r="D104" s="1205">
        <v>35150</v>
      </c>
      <c r="E104" s="1205">
        <v>38700</v>
      </c>
      <c r="F104" s="1205">
        <v>42400</v>
      </c>
      <c r="G104" s="1206">
        <v>44200</v>
      </c>
      <c r="H104" s="1201"/>
    </row>
    <row r="105" spans="1:8" x14ac:dyDescent="0.2">
      <c r="A105" s="1161" t="s">
        <v>358</v>
      </c>
      <c r="B105" s="1205">
        <v>47650</v>
      </c>
      <c r="C105" s="1205">
        <v>49750</v>
      </c>
      <c r="D105" s="1205">
        <v>51550</v>
      </c>
      <c r="E105" s="1205">
        <v>52950</v>
      </c>
      <c r="F105" s="1205">
        <v>54000</v>
      </c>
      <c r="G105" s="1206">
        <v>54750</v>
      </c>
      <c r="H105" s="1201"/>
    </row>
    <row r="106" spans="1:8" x14ac:dyDescent="0.2">
      <c r="A106" s="1161" t="s">
        <v>359</v>
      </c>
      <c r="B106" s="1205">
        <v>11450</v>
      </c>
      <c r="C106" s="1205">
        <v>12200</v>
      </c>
      <c r="D106" s="1205">
        <v>12700</v>
      </c>
      <c r="E106" s="1205">
        <v>13100</v>
      </c>
      <c r="F106" s="1205">
        <v>13450</v>
      </c>
      <c r="G106" s="1206">
        <v>13700</v>
      </c>
      <c r="H106" s="1201"/>
    </row>
    <row r="107" spans="1:8" x14ac:dyDescent="0.2">
      <c r="A107" s="1161" t="s">
        <v>360</v>
      </c>
      <c r="B107" s="1205">
        <v>6600</v>
      </c>
      <c r="C107" s="1205">
        <v>6600</v>
      </c>
      <c r="D107" s="1205">
        <v>6500</v>
      </c>
      <c r="E107" s="1205">
        <v>6300</v>
      </c>
      <c r="F107" s="1205">
        <v>6050</v>
      </c>
      <c r="G107" s="1206">
        <v>5700</v>
      </c>
      <c r="H107" s="1201"/>
    </row>
    <row r="108" spans="1:8" x14ac:dyDescent="0.2">
      <c r="A108" s="1161" t="s">
        <v>361</v>
      </c>
      <c r="B108" s="1205">
        <v>6050</v>
      </c>
      <c r="C108" s="1205">
        <v>6400</v>
      </c>
      <c r="D108" s="1205">
        <v>6650</v>
      </c>
      <c r="E108" s="1205">
        <v>6900</v>
      </c>
      <c r="F108" s="1205">
        <v>7100</v>
      </c>
      <c r="G108" s="1206">
        <v>7200</v>
      </c>
      <c r="H108" s="1201"/>
    </row>
    <row r="109" spans="1:8" x14ac:dyDescent="0.2">
      <c r="A109" s="1161" t="s">
        <v>362</v>
      </c>
      <c r="B109" s="1205">
        <v>2100</v>
      </c>
      <c r="C109" s="1205">
        <v>2050</v>
      </c>
      <c r="D109" s="1205">
        <v>2000</v>
      </c>
      <c r="E109" s="1205">
        <v>1950</v>
      </c>
      <c r="F109" s="1205">
        <v>1900</v>
      </c>
      <c r="G109" s="1206">
        <v>1850</v>
      </c>
      <c r="H109" s="1201"/>
    </row>
    <row r="110" spans="1:8" x14ac:dyDescent="0.2">
      <c r="A110" s="1161" t="s">
        <v>363</v>
      </c>
      <c r="B110" s="1205">
        <v>6900</v>
      </c>
      <c r="C110" s="1205">
        <v>7400</v>
      </c>
      <c r="D110" s="1205">
        <v>7800</v>
      </c>
      <c r="E110" s="1205">
        <v>8200</v>
      </c>
      <c r="F110" s="1205">
        <v>8600</v>
      </c>
      <c r="G110" s="1206">
        <v>9000</v>
      </c>
      <c r="H110" s="1201"/>
    </row>
    <row r="111" spans="1:8" x14ac:dyDescent="0.2">
      <c r="A111" s="1161" t="s">
        <v>364</v>
      </c>
      <c r="B111" s="1205">
        <v>9550</v>
      </c>
      <c r="C111" s="1205">
        <v>10000</v>
      </c>
      <c r="D111" s="1205">
        <v>10400</v>
      </c>
      <c r="E111" s="1205">
        <v>10700</v>
      </c>
      <c r="F111" s="1205">
        <v>10950</v>
      </c>
      <c r="G111" s="1206">
        <v>11150</v>
      </c>
      <c r="H111" s="1201"/>
    </row>
    <row r="112" spans="1:8" x14ac:dyDescent="0.2">
      <c r="A112" s="1161" t="s">
        <v>365</v>
      </c>
      <c r="B112" s="1205">
        <v>6200</v>
      </c>
      <c r="C112" s="1205">
        <v>6250</v>
      </c>
      <c r="D112" s="1205">
        <v>6300</v>
      </c>
      <c r="E112" s="1205">
        <v>6250</v>
      </c>
      <c r="F112" s="1205">
        <v>6150</v>
      </c>
      <c r="G112" s="1206">
        <v>6000</v>
      </c>
      <c r="H112" s="1201"/>
    </row>
    <row r="113" spans="1:8" x14ac:dyDescent="0.2">
      <c r="A113" s="1161" t="s">
        <v>366</v>
      </c>
      <c r="B113" s="1205">
        <v>3000</v>
      </c>
      <c r="C113" s="1205">
        <v>2950</v>
      </c>
      <c r="D113" s="1205">
        <v>2850</v>
      </c>
      <c r="E113" s="1205">
        <v>2750</v>
      </c>
      <c r="F113" s="1205">
        <v>2650</v>
      </c>
      <c r="G113" s="1206">
        <v>2500</v>
      </c>
      <c r="H113" s="1201"/>
    </row>
    <row r="114" spans="1:8" x14ac:dyDescent="0.2">
      <c r="A114" s="1161" t="s">
        <v>367</v>
      </c>
      <c r="B114" s="1205">
        <v>3150</v>
      </c>
      <c r="C114" s="1205">
        <v>3200</v>
      </c>
      <c r="D114" s="1205">
        <v>3200</v>
      </c>
      <c r="E114" s="1205">
        <v>3200</v>
      </c>
      <c r="F114" s="1205">
        <v>3150</v>
      </c>
      <c r="G114" s="1206">
        <v>3100</v>
      </c>
      <c r="H114" s="1201"/>
    </row>
    <row r="115" spans="1:8" x14ac:dyDescent="0.2">
      <c r="A115" s="1161" t="s">
        <v>368</v>
      </c>
      <c r="B115" s="1205">
        <v>70750</v>
      </c>
      <c r="C115" s="1205">
        <v>75450</v>
      </c>
      <c r="D115" s="1205">
        <v>80150</v>
      </c>
      <c r="E115" s="1205">
        <v>84650</v>
      </c>
      <c r="F115" s="1205">
        <v>89000</v>
      </c>
      <c r="G115" s="1206">
        <v>92250</v>
      </c>
      <c r="H115" s="1201"/>
    </row>
    <row r="116" spans="1:8" x14ac:dyDescent="0.2">
      <c r="A116" s="1161" t="s">
        <v>369</v>
      </c>
      <c r="B116" s="1205">
        <v>2700</v>
      </c>
      <c r="C116" s="1205">
        <v>2800</v>
      </c>
      <c r="D116" s="1205">
        <v>2900</v>
      </c>
      <c r="E116" s="1205">
        <v>2900</v>
      </c>
      <c r="F116" s="1205">
        <v>2900</v>
      </c>
      <c r="G116" s="1206">
        <v>2850</v>
      </c>
      <c r="H116" s="1201"/>
    </row>
    <row r="117" spans="1:8" x14ac:dyDescent="0.2">
      <c r="A117" s="1161" t="s">
        <v>370</v>
      </c>
      <c r="B117" s="1205">
        <v>16900</v>
      </c>
      <c r="C117" s="1205">
        <v>18100</v>
      </c>
      <c r="D117" s="1205">
        <v>19250</v>
      </c>
      <c r="E117" s="1205">
        <v>20250</v>
      </c>
      <c r="F117" s="1205">
        <v>21200</v>
      </c>
      <c r="G117" s="1206">
        <v>22100</v>
      </c>
      <c r="H117" s="1201"/>
    </row>
    <row r="118" spans="1:8" x14ac:dyDescent="0.2">
      <c r="A118" s="1161" t="s">
        <v>371</v>
      </c>
      <c r="B118" s="1205">
        <v>6850</v>
      </c>
      <c r="C118" s="1205">
        <v>7050</v>
      </c>
      <c r="D118" s="1205">
        <v>7200</v>
      </c>
      <c r="E118" s="1205">
        <v>7350</v>
      </c>
      <c r="F118" s="1205">
        <v>7450</v>
      </c>
      <c r="G118" s="1206">
        <v>7550</v>
      </c>
      <c r="H118" s="1201"/>
    </row>
    <row r="119" spans="1:8" x14ac:dyDescent="0.2">
      <c r="A119" s="1161" t="s">
        <v>372</v>
      </c>
      <c r="B119" s="1205">
        <v>35500</v>
      </c>
      <c r="C119" s="1205">
        <v>37950</v>
      </c>
      <c r="D119" s="1205">
        <v>40350</v>
      </c>
      <c r="E119" s="1205">
        <v>42650</v>
      </c>
      <c r="F119" s="1205">
        <v>44800</v>
      </c>
      <c r="G119" s="1206">
        <v>46750</v>
      </c>
      <c r="H119" s="1201"/>
    </row>
    <row r="120" spans="1:8" x14ac:dyDescent="0.2">
      <c r="A120" s="1161" t="s">
        <v>373</v>
      </c>
      <c r="B120" s="1205">
        <v>32950</v>
      </c>
      <c r="C120" s="1205">
        <v>36900</v>
      </c>
      <c r="D120" s="1205">
        <v>40100</v>
      </c>
      <c r="E120" s="1205">
        <v>43150</v>
      </c>
      <c r="F120" s="1205">
        <v>46050</v>
      </c>
      <c r="G120" s="1206">
        <v>47950</v>
      </c>
      <c r="H120" s="1201"/>
    </row>
    <row r="121" spans="1:8" x14ac:dyDescent="0.2">
      <c r="A121" s="1161" t="s">
        <v>374</v>
      </c>
      <c r="B121" s="1205">
        <v>23400</v>
      </c>
      <c r="C121" s="1205">
        <v>26550</v>
      </c>
      <c r="D121" s="1205">
        <v>29500</v>
      </c>
      <c r="E121" s="1205">
        <v>32500</v>
      </c>
      <c r="F121" s="1205">
        <v>35500</v>
      </c>
      <c r="G121" s="1206">
        <v>38600</v>
      </c>
      <c r="H121" s="1201"/>
    </row>
    <row r="122" spans="1:8" x14ac:dyDescent="0.2">
      <c r="A122" s="1161" t="s">
        <v>375</v>
      </c>
      <c r="B122" s="1205">
        <v>10200</v>
      </c>
      <c r="C122" s="1205">
        <v>10750</v>
      </c>
      <c r="D122" s="1205">
        <v>11250</v>
      </c>
      <c r="E122" s="1205">
        <v>11700</v>
      </c>
      <c r="F122" s="1205">
        <v>12050</v>
      </c>
      <c r="G122" s="1206">
        <v>12300</v>
      </c>
      <c r="H122" s="1201"/>
    </row>
    <row r="123" spans="1:8" x14ac:dyDescent="0.2">
      <c r="A123" s="1161" t="s">
        <v>376</v>
      </c>
      <c r="B123" s="1205">
        <v>25800</v>
      </c>
      <c r="C123" s="1205">
        <v>28650</v>
      </c>
      <c r="D123" s="1205">
        <v>31300</v>
      </c>
      <c r="E123" s="1205">
        <v>33800</v>
      </c>
      <c r="F123" s="1205">
        <v>36250</v>
      </c>
      <c r="G123" s="1206">
        <v>38650</v>
      </c>
      <c r="H123" s="1201"/>
    </row>
    <row r="124" spans="1:8" x14ac:dyDescent="0.2">
      <c r="A124" s="1161" t="s">
        <v>377</v>
      </c>
      <c r="B124" s="1205">
        <v>54800</v>
      </c>
      <c r="C124" s="1205">
        <v>57850</v>
      </c>
      <c r="D124" s="1205">
        <v>60550</v>
      </c>
      <c r="E124" s="1205">
        <v>62850</v>
      </c>
      <c r="F124" s="1205">
        <v>64900</v>
      </c>
      <c r="G124" s="1206">
        <v>66500</v>
      </c>
      <c r="H124" s="1201"/>
    </row>
    <row r="125" spans="1:8" x14ac:dyDescent="0.2">
      <c r="A125" s="1161" t="s">
        <v>378</v>
      </c>
      <c r="B125" s="1205">
        <v>9500</v>
      </c>
      <c r="C125" s="1205">
        <v>10200</v>
      </c>
      <c r="D125" s="1205">
        <v>10800</v>
      </c>
      <c r="E125" s="1205">
        <v>11300</v>
      </c>
      <c r="F125" s="1205">
        <v>11750</v>
      </c>
      <c r="G125" s="1206">
        <v>12200</v>
      </c>
      <c r="H125" s="1201"/>
    </row>
    <row r="126" spans="1:8" x14ac:dyDescent="0.2">
      <c r="A126" s="1161" t="s">
        <v>379</v>
      </c>
      <c r="B126" s="1205">
        <v>10800</v>
      </c>
      <c r="C126" s="1205">
        <v>11200</v>
      </c>
      <c r="D126" s="1205">
        <v>11550</v>
      </c>
      <c r="E126" s="1205">
        <v>11850</v>
      </c>
      <c r="F126" s="1205">
        <v>12100</v>
      </c>
      <c r="G126" s="1206">
        <v>12250</v>
      </c>
      <c r="H126" s="1201"/>
    </row>
    <row r="127" spans="1:8" x14ac:dyDescent="0.2">
      <c r="A127" s="1161" t="s">
        <v>380</v>
      </c>
      <c r="B127" s="1205">
        <v>7450</v>
      </c>
      <c r="C127" s="1205">
        <v>7500</v>
      </c>
      <c r="D127" s="1205">
        <v>7500</v>
      </c>
      <c r="E127" s="1205">
        <v>7450</v>
      </c>
      <c r="F127" s="1205">
        <v>7350</v>
      </c>
      <c r="G127" s="1206">
        <v>7200</v>
      </c>
      <c r="H127" s="1201"/>
    </row>
    <row r="128" spans="1:8" x14ac:dyDescent="0.2">
      <c r="A128" s="1161" t="s">
        <v>381</v>
      </c>
      <c r="B128" s="1205">
        <v>25750</v>
      </c>
      <c r="C128" s="1205">
        <v>27500</v>
      </c>
      <c r="D128" s="1205">
        <v>29100</v>
      </c>
      <c r="E128" s="1205">
        <v>30550</v>
      </c>
      <c r="F128" s="1205">
        <v>31950</v>
      </c>
      <c r="G128" s="1206">
        <v>33150</v>
      </c>
      <c r="H128" s="1201"/>
    </row>
    <row r="129" spans="1:8" x14ac:dyDescent="0.2">
      <c r="A129" s="1161" t="s">
        <v>382</v>
      </c>
      <c r="B129" s="1205">
        <v>2900</v>
      </c>
      <c r="C129" s="1205">
        <v>2950</v>
      </c>
      <c r="D129" s="1205">
        <v>3000</v>
      </c>
      <c r="E129" s="1205">
        <v>2950</v>
      </c>
      <c r="F129" s="1205">
        <v>2950</v>
      </c>
      <c r="G129" s="1206">
        <v>2850</v>
      </c>
      <c r="H129" s="1201"/>
    </row>
    <row r="130" spans="1:8" x14ac:dyDescent="0.2">
      <c r="A130" s="1161" t="s">
        <v>383</v>
      </c>
      <c r="B130" s="1205">
        <v>3800</v>
      </c>
      <c r="C130" s="1205">
        <v>4000</v>
      </c>
      <c r="D130" s="1205">
        <v>4100</v>
      </c>
      <c r="E130" s="1205">
        <v>4200</v>
      </c>
      <c r="F130" s="1205">
        <v>4250</v>
      </c>
      <c r="G130" s="1206">
        <v>4200</v>
      </c>
      <c r="H130" s="1201"/>
    </row>
    <row r="131" spans="1:8" x14ac:dyDescent="0.2">
      <c r="A131" s="1161" t="s">
        <v>384</v>
      </c>
      <c r="B131" s="1205">
        <v>41300</v>
      </c>
      <c r="C131" s="1205">
        <v>44450</v>
      </c>
      <c r="D131" s="1205">
        <v>47500</v>
      </c>
      <c r="E131" s="1205">
        <v>50450</v>
      </c>
      <c r="F131" s="1205">
        <v>53350</v>
      </c>
      <c r="G131" s="1206">
        <v>56050</v>
      </c>
      <c r="H131" s="1201"/>
    </row>
    <row r="132" spans="1:8" x14ac:dyDescent="0.2">
      <c r="A132" s="1161" t="s">
        <v>385</v>
      </c>
      <c r="B132" s="1205">
        <v>6750</v>
      </c>
      <c r="C132" s="1205">
        <v>7050</v>
      </c>
      <c r="D132" s="1205">
        <v>7350</v>
      </c>
      <c r="E132" s="1205">
        <v>7650</v>
      </c>
      <c r="F132" s="1205">
        <v>7900</v>
      </c>
      <c r="G132" s="1206">
        <v>8100</v>
      </c>
      <c r="H132" s="1201"/>
    </row>
    <row r="133" spans="1:8" x14ac:dyDescent="0.2">
      <c r="A133" s="1161" t="s">
        <v>386</v>
      </c>
      <c r="B133" s="1205">
        <v>4050</v>
      </c>
      <c r="C133" s="1205">
        <v>4150</v>
      </c>
      <c r="D133" s="1205">
        <v>4250</v>
      </c>
      <c r="E133" s="1205">
        <v>4300</v>
      </c>
      <c r="F133" s="1205">
        <v>4350</v>
      </c>
      <c r="G133" s="1206">
        <v>4350</v>
      </c>
      <c r="H133" s="1201"/>
    </row>
    <row r="134" spans="1:8" x14ac:dyDescent="0.2">
      <c r="A134" s="1161" t="s">
        <v>387</v>
      </c>
      <c r="B134" s="1205">
        <v>2800</v>
      </c>
      <c r="C134" s="1205">
        <v>2950</v>
      </c>
      <c r="D134" s="1205">
        <v>3050</v>
      </c>
      <c r="E134" s="1205">
        <v>3100</v>
      </c>
      <c r="F134" s="1205">
        <v>3100</v>
      </c>
      <c r="G134" s="1206">
        <v>3150</v>
      </c>
      <c r="H134" s="1201"/>
    </row>
    <row r="135" spans="1:8" x14ac:dyDescent="0.2">
      <c r="A135" s="1161" t="s">
        <v>388</v>
      </c>
      <c r="B135" s="1205">
        <v>26500</v>
      </c>
      <c r="C135" s="1205">
        <v>28700</v>
      </c>
      <c r="D135" s="1205">
        <v>30700</v>
      </c>
      <c r="E135" s="1205">
        <v>32450</v>
      </c>
      <c r="F135" s="1205">
        <v>34050</v>
      </c>
      <c r="G135" s="1206">
        <v>35500</v>
      </c>
    </row>
    <row r="136" spans="1:8" x14ac:dyDescent="0.2">
      <c r="A136" s="1161" t="s">
        <v>389</v>
      </c>
      <c r="B136" s="1205">
        <v>1650</v>
      </c>
      <c r="C136" s="1205">
        <v>1650</v>
      </c>
      <c r="D136" s="1205">
        <v>1600</v>
      </c>
      <c r="E136" s="1205">
        <v>1550</v>
      </c>
      <c r="F136" s="1205">
        <v>1500</v>
      </c>
      <c r="G136" s="1206">
        <v>1400</v>
      </c>
      <c r="H136" s="1201"/>
    </row>
    <row r="137" spans="1:8" x14ac:dyDescent="0.2">
      <c r="A137" s="1161" t="s">
        <v>390</v>
      </c>
      <c r="B137" s="1205">
        <v>3950</v>
      </c>
      <c r="C137" s="1205">
        <v>3950</v>
      </c>
      <c r="D137" s="1205">
        <v>3850</v>
      </c>
      <c r="E137" s="1205">
        <v>3750</v>
      </c>
      <c r="F137" s="1205">
        <v>3600</v>
      </c>
      <c r="G137" s="1206">
        <v>3400</v>
      </c>
      <c r="H137" s="1201"/>
    </row>
    <row r="138" spans="1:8" x14ac:dyDescent="0.2">
      <c r="A138" s="1161" t="s">
        <v>391</v>
      </c>
      <c r="B138" s="1205">
        <v>1500</v>
      </c>
      <c r="C138" s="1205">
        <v>1450</v>
      </c>
      <c r="D138" s="1205">
        <v>1450</v>
      </c>
      <c r="E138" s="1205">
        <v>1450</v>
      </c>
      <c r="F138" s="1205">
        <v>1450</v>
      </c>
      <c r="G138" s="1206">
        <v>1450</v>
      </c>
      <c r="H138" s="1201"/>
    </row>
    <row r="139" spans="1:8" x14ac:dyDescent="0.2">
      <c r="A139" s="1161" t="s">
        <v>392</v>
      </c>
      <c r="B139" s="1205">
        <v>5100</v>
      </c>
      <c r="C139" s="1205">
        <v>5050</v>
      </c>
      <c r="D139" s="1205">
        <v>5000</v>
      </c>
      <c r="E139" s="1205">
        <v>4900</v>
      </c>
      <c r="F139" s="1205">
        <v>4750</v>
      </c>
      <c r="G139" s="1206">
        <v>4600</v>
      </c>
      <c r="H139" s="1201"/>
    </row>
    <row r="140" spans="1:8" x14ac:dyDescent="0.2">
      <c r="A140" s="1161" t="s">
        <v>393</v>
      </c>
      <c r="B140" s="1205">
        <v>1950</v>
      </c>
      <c r="C140" s="1205">
        <v>1850</v>
      </c>
      <c r="D140" s="1205">
        <v>1800</v>
      </c>
      <c r="E140" s="1205">
        <v>1750</v>
      </c>
      <c r="F140" s="1205">
        <v>1650</v>
      </c>
      <c r="G140" s="1206">
        <v>1600</v>
      </c>
      <c r="H140" s="1201"/>
    </row>
    <row r="141" spans="1:8" x14ac:dyDescent="0.2">
      <c r="A141" s="1161" t="s">
        <v>394</v>
      </c>
      <c r="B141" s="1205">
        <v>3100</v>
      </c>
      <c r="C141" s="1205">
        <v>3150</v>
      </c>
      <c r="D141" s="1205">
        <v>3200</v>
      </c>
      <c r="E141" s="1205">
        <v>3150</v>
      </c>
      <c r="F141" s="1205">
        <v>3150</v>
      </c>
      <c r="G141" s="1206">
        <v>3100</v>
      </c>
      <c r="H141" s="1201"/>
    </row>
    <row r="142" spans="1:8" x14ac:dyDescent="0.2">
      <c r="A142" s="1161" t="s">
        <v>395</v>
      </c>
      <c r="B142" s="1205">
        <v>21050</v>
      </c>
      <c r="C142" s="1205">
        <v>22350</v>
      </c>
      <c r="D142" s="1205">
        <v>23450</v>
      </c>
      <c r="E142" s="1205">
        <v>24350</v>
      </c>
      <c r="F142" s="1205">
        <v>25150</v>
      </c>
      <c r="G142" s="1206">
        <v>25850</v>
      </c>
      <c r="H142" s="1201"/>
    </row>
    <row r="143" spans="1:8" x14ac:dyDescent="0.2">
      <c r="A143" s="1161" t="s">
        <v>396</v>
      </c>
      <c r="B143" s="1205">
        <v>21400</v>
      </c>
      <c r="C143" s="1205">
        <v>22700</v>
      </c>
      <c r="D143" s="1205">
        <v>23850</v>
      </c>
      <c r="E143" s="1205">
        <v>24750</v>
      </c>
      <c r="F143" s="1205">
        <v>25500</v>
      </c>
      <c r="G143" s="1206">
        <v>26000</v>
      </c>
      <c r="H143" s="1201"/>
    </row>
    <row r="144" spans="1:8" x14ac:dyDescent="0.2">
      <c r="A144" s="1161" t="s">
        <v>397</v>
      </c>
      <c r="B144" s="1205">
        <v>85400</v>
      </c>
      <c r="C144" s="1205">
        <v>90500</v>
      </c>
      <c r="D144" s="1205">
        <v>95200</v>
      </c>
      <c r="E144" s="1205">
        <v>99450</v>
      </c>
      <c r="F144" s="1205">
        <v>103350</v>
      </c>
      <c r="G144" s="1206">
        <v>107000</v>
      </c>
      <c r="H144" s="1201"/>
    </row>
    <row r="145" spans="1:10" x14ac:dyDescent="0.2">
      <c r="A145" s="1161" t="s">
        <v>398</v>
      </c>
      <c r="B145" s="1205">
        <v>6450</v>
      </c>
      <c r="C145" s="1205">
        <v>7200</v>
      </c>
      <c r="D145" s="1205">
        <v>7950</v>
      </c>
      <c r="E145" s="1205">
        <v>8750</v>
      </c>
      <c r="F145" s="1205">
        <v>9450</v>
      </c>
      <c r="G145" s="1206">
        <v>10200</v>
      </c>
      <c r="H145" s="1201"/>
    </row>
    <row r="146" spans="1:10" x14ac:dyDescent="0.2">
      <c r="A146" s="1161" t="s">
        <v>399</v>
      </c>
      <c r="B146" s="1205">
        <v>650</v>
      </c>
      <c r="C146" s="1205">
        <v>700</v>
      </c>
      <c r="D146" s="1205">
        <v>750</v>
      </c>
      <c r="E146" s="1205">
        <v>750</v>
      </c>
      <c r="F146" s="1205">
        <v>800</v>
      </c>
      <c r="G146" s="1206">
        <v>800</v>
      </c>
      <c r="H146" s="1201"/>
    </row>
    <row r="147" spans="1:10" x14ac:dyDescent="0.2">
      <c r="A147" s="1205"/>
      <c r="B147" s="1205"/>
      <c r="C147" s="1205"/>
      <c r="D147" s="1205"/>
      <c r="E147" s="1205"/>
      <c r="F147" s="1205"/>
      <c r="G147" s="1206"/>
      <c r="H147" s="1201"/>
    </row>
    <row r="148" spans="1:10" x14ac:dyDescent="0.2">
      <c r="A148" s="1205" t="s">
        <v>400</v>
      </c>
      <c r="B148" s="1205">
        <v>1357700</v>
      </c>
      <c r="C148" s="1205">
        <v>1439750</v>
      </c>
      <c r="D148" s="1205">
        <v>1515500</v>
      </c>
      <c r="E148" s="1205">
        <v>1583050</v>
      </c>
      <c r="F148" s="1205">
        <v>1645050</v>
      </c>
      <c r="G148" s="1205">
        <v>1699850</v>
      </c>
      <c r="H148" s="1201"/>
    </row>
    <row r="149" spans="1:10" x14ac:dyDescent="0.2">
      <c r="A149" s="1205"/>
      <c r="B149" s="1205"/>
      <c r="C149" s="1205"/>
      <c r="D149" s="1205"/>
      <c r="E149" s="1205"/>
      <c r="F149" s="1205"/>
      <c r="G149" s="1205"/>
      <c r="H149" s="1201"/>
    </row>
    <row r="150" spans="1:10" x14ac:dyDescent="0.2">
      <c r="A150" s="1161" t="s">
        <v>401</v>
      </c>
      <c r="B150" s="1205">
        <v>3031400</v>
      </c>
      <c r="C150" s="1205">
        <v>3284700</v>
      </c>
      <c r="D150" s="1205">
        <v>3535100</v>
      </c>
      <c r="E150" s="1205">
        <v>3779900</v>
      </c>
      <c r="F150" s="1205">
        <v>4024950</v>
      </c>
      <c r="G150" s="1205">
        <v>4269650</v>
      </c>
      <c r="H150" s="1201"/>
    </row>
    <row r="152" spans="1:10" s="436" customFormat="1" ht="15" x14ac:dyDescent="0.25">
      <c r="A152" s="1161" t="s">
        <v>402</v>
      </c>
      <c r="B152" s="1161"/>
      <c r="C152" s="1161"/>
      <c r="D152" s="1161"/>
      <c r="E152" s="1161"/>
      <c r="F152" s="1161"/>
      <c r="G152" s="1161"/>
      <c r="H152" s="1160"/>
      <c r="I152" s="1160"/>
      <c r="J152" s="1160"/>
    </row>
    <row r="153" spans="1:10" s="437" customFormat="1" ht="15" x14ac:dyDescent="0.2">
      <c r="A153" s="1161" t="s">
        <v>403</v>
      </c>
      <c r="B153" s="1207"/>
      <c r="C153" s="1207"/>
      <c r="D153" s="1207"/>
      <c r="E153" s="1207"/>
      <c r="F153" s="1207"/>
      <c r="G153" s="1207"/>
      <c r="H153" s="1202"/>
      <c r="I153" s="1202"/>
      <c r="J153" s="1202"/>
    </row>
    <row r="154" spans="1:10" s="437" customFormat="1" ht="15" x14ac:dyDescent="0.2">
      <c r="A154" s="1161"/>
      <c r="B154" s="1207"/>
      <c r="C154" s="1207"/>
      <c r="D154" s="1207"/>
      <c r="E154" s="1207"/>
      <c r="F154" s="1207"/>
      <c r="G154" s="1207"/>
      <c r="H154" s="1202"/>
      <c r="I154" s="1202"/>
      <c r="J154" s="1202"/>
    </row>
    <row r="155" spans="1:10" s="437" customFormat="1" ht="15" x14ac:dyDescent="0.2">
      <c r="A155" s="1160"/>
      <c r="B155" s="1207"/>
      <c r="C155" s="1207"/>
      <c r="D155" s="1207"/>
      <c r="E155" s="1207"/>
      <c r="F155" s="1207"/>
      <c r="G155" s="1207"/>
      <c r="H155" s="1202"/>
      <c r="I155" s="1202"/>
      <c r="J155" s="1160"/>
    </row>
    <row r="156" spans="1:10" s="437" customFormat="1" ht="15" x14ac:dyDescent="0.2">
      <c r="A156" s="1207"/>
      <c r="B156" s="1207"/>
      <c r="C156" s="1207"/>
      <c r="D156" s="1207"/>
      <c r="E156" s="1207"/>
      <c r="F156" s="1207"/>
      <c r="G156" s="1207"/>
      <c r="H156" s="1202"/>
      <c r="I156" s="1202"/>
      <c r="J156" s="1160"/>
    </row>
    <row r="157" spans="1:10" ht="15" customHeight="1" x14ac:dyDescent="0.2">
      <c r="A157" s="1377" t="s">
        <v>923</v>
      </c>
      <c r="B157" s="1377"/>
      <c r="C157" s="1377"/>
      <c r="D157" s="1377"/>
      <c r="E157" s="1377"/>
      <c r="F157" s="1377"/>
      <c r="G157" s="1377"/>
      <c r="H157" s="1203"/>
    </row>
    <row r="158" spans="1:10" x14ac:dyDescent="0.2">
      <c r="A158" s="1377"/>
      <c r="B158" s="1377"/>
      <c r="C158" s="1377"/>
      <c r="D158" s="1377"/>
      <c r="E158" s="1377"/>
      <c r="F158" s="1377"/>
      <c r="G158" s="1377"/>
      <c r="H158" s="1203"/>
    </row>
    <row r="159" spans="1:10" x14ac:dyDescent="0.2">
      <c r="A159" s="1377"/>
      <c r="B159" s="1377"/>
      <c r="C159" s="1377"/>
      <c r="D159" s="1377"/>
      <c r="E159" s="1377"/>
      <c r="F159" s="1377"/>
      <c r="G159" s="1377"/>
      <c r="H159" s="1203"/>
    </row>
    <row r="160" spans="1:10" x14ac:dyDescent="0.2">
      <c r="A160" s="1377"/>
      <c r="B160" s="1377"/>
      <c r="C160" s="1377"/>
      <c r="D160" s="1377"/>
      <c r="E160" s="1377"/>
      <c r="F160" s="1377"/>
      <c r="G160" s="1377"/>
      <c r="H160" s="1203"/>
    </row>
    <row r="164" spans="1:18" ht="15" x14ac:dyDescent="0.2">
      <c r="A164" s="1208" t="s">
        <v>40</v>
      </c>
      <c r="B164" s="1208"/>
      <c r="C164" s="1208" t="s">
        <v>41</v>
      </c>
      <c r="D164" s="1208"/>
      <c r="E164" s="1208"/>
      <c r="F164" s="1208"/>
      <c r="G164" s="1208" t="s">
        <v>36</v>
      </c>
      <c r="H164" s="1208"/>
      <c r="I164" s="1208" t="s">
        <v>38</v>
      </c>
      <c r="J164" s="1208"/>
      <c r="K164" s="100"/>
      <c r="L164" s="100"/>
      <c r="M164" s="100"/>
      <c r="N164" s="100" t="s">
        <v>37</v>
      </c>
      <c r="O164" s="100" t="s">
        <v>35</v>
      </c>
      <c r="P164" s="100"/>
      <c r="Q164" s="438"/>
      <c r="R164" s="438"/>
    </row>
    <row r="165" spans="1:18" x14ac:dyDescent="0.2">
      <c r="A165" s="1209" t="str">
        <f>'Contents, list of sources'!G485</f>
        <v>NSW Planning &amp; Environment</v>
      </c>
      <c r="B165" s="1209"/>
      <c r="C165" s="1209" t="str">
        <f>'Contents, list of sources'!I485</f>
        <v>2016 New South Wales State and Local Government Area Household Projections and Implied Dwelling Requirements</v>
      </c>
      <c r="D165" s="1209"/>
      <c r="E165" s="1209"/>
      <c r="F165" s="1209"/>
      <c r="G165" s="1209">
        <f>'Contents, list of sources'!M485</f>
        <v>2016</v>
      </c>
      <c r="H165" s="1209"/>
      <c r="I165" s="1209" t="str">
        <f>'Contents, list of sources'!O485</f>
        <v>https://www.planning.nsw.gov.au/-/media/Files/DPE/Other/nsw-state-and-local-government-area-household-and-implied-dwelling-projections-2016-2017-09.xlsx?la=en</v>
      </c>
      <c r="J165" s="1209"/>
      <c r="K165" s="439"/>
      <c r="L165" s="439"/>
      <c r="M165" s="439"/>
      <c r="N165" s="439">
        <f>'Contents, list of sources'!T485</f>
        <v>43571</v>
      </c>
      <c r="O165" s="439">
        <f>'Contents, list of sources'!U485</f>
        <v>0</v>
      </c>
      <c r="P165" s="439"/>
      <c r="Q165" s="438"/>
      <c r="R165" s="438"/>
    </row>
  </sheetData>
  <mergeCells count="1">
    <mergeCell ref="A157:G16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Q202"/>
  <sheetViews>
    <sheetView showGridLines="0" zoomScale="75" zoomScaleNormal="75" workbookViewId="0">
      <selection activeCell="G41" sqref="A24:G41"/>
    </sheetView>
  </sheetViews>
  <sheetFormatPr defaultColWidth="9" defaultRowHeight="12" x14ac:dyDescent="0.2"/>
  <cols>
    <col min="1" max="1" width="14.42578125" style="1161" customWidth="1"/>
    <col min="2" max="2" width="39.42578125" style="1161" customWidth="1"/>
    <col min="3" max="4" width="9" style="1161" customWidth="1"/>
    <col min="5" max="5" width="12.42578125" style="1257" bestFit="1" customWidth="1"/>
    <col min="6" max="6" width="26.5703125" style="1161" customWidth="1"/>
    <col min="7" max="7" width="10.28515625" style="1161" customWidth="1"/>
    <col min="8" max="9" width="10.140625" style="1161" bestFit="1" customWidth="1"/>
    <col min="10" max="12" width="9" style="1161"/>
    <col min="13" max="13" width="10.42578125" style="1161" bestFit="1" customWidth="1"/>
    <col min="14" max="14" width="9.85546875" style="1161" bestFit="1" customWidth="1"/>
    <col min="15" max="15" width="9" style="1161"/>
    <col min="16" max="16384" width="9" style="28"/>
  </cols>
  <sheetData>
    <row r="1" spans="1:15" s="352" customFormat="1" ht="18.600000000000001" customHeight="1" x14ac:dyDescent="0.2">
      <c r="A1" s="1161" t="s">
        <v>140</v>
      </c>
      <c r="B1" s="1161" t="s">
        <v>141</v>
      </c>
      <c r="C1" s="1161" t="s">
        <v>142</v>
      </c>
      <c r="D1" s="1161" t="s">
        <v>143</v>
      </c>
      <c r="E1" s="1257" t="s">
        <v>144</v>
      </c>
      <c r="F1" s="1161" t="s">
        <v>145</v>
      </c>
      <c r="G1" s="1161" t="s">
        <v>146</v>
      </c>
      <c r="H1" s="1161" t="s">
        <v>147</v>
      </c>
      <c r="I1" s="1161" t="s">
        <v>148</v>
      </c>
      <c r="J1" s="1161"/>
      <c r="K1" s="1161"/>
      <c r="L1" s="1161"/>
      <c r="M1" s="1161"/>
      <c r="N1" s="1161"/>
      <c r="O1" s="1161"/>
    </row>
    <row r="2" spans="1:15" s="352" customFormat="1" ht="18.600000000000001" customHeight="1" x14ac:dyDescent="0.2">
      <c r="A2" s="1161" t="s">
        <v>149</v>
      </c>
      <c r="B2" s="1161">
        <v>1</v>
      </c>
      <c r="C2" s="1161" t="s">
        <v>135</v>
      </c>
      <c r="D2" s="1161" t="s">
        <v>2</v>
      </c>
      <c r="E2" s="1257">
        <v>365342</v>
      </c>
      <c r="F2" s="1161">
        <v>2</v>
      </c>
      <c r="G2" s="1161">
        <v>2277722</v>
      </c>
      <c r="H2" s="1161">
        <v>1</v>
      </c>
      <c r="I2" s="1161">
        <v>6.2</v>
      </c>
      <c r="J2" s="1161"/>
      <c r="K2" s="1161"/>
      <c r="L2" s="1161"/>
      <c r="M2" s="1161"/>
      <c r="N2" s="1161"/>
      <c r="O2" s="1161"/>
    </row>
    <row r="3" spans="1:15" s="352" customFormat="1" ht="18.600000000000001" customHeight="1" x14ac:dyDescent="0.2">
      <c r="A3" s="1161" t="s">
        <v>149</v>
      </c>
      <c r="B3" s="1161">
        <v>1</v>
      </c>
      <c r="C3" s="1161" t="s">
        <v>135</v>
      </c>
      <c r="D3" s="1161" t="s">
        <v>3</v>
      </c>
      <c r="E3" s="1257">
        <v>1014332</v>
      </c>
      <c r="F3" s="1161">
        <v>5</v>
      </c>
      <c r="G3" s="1161">
        <v>7487644</v>
      </c>
      <c r="H3" s="1161">
        <v>5</v>
      </c>
      <c r="I3" s="1161">
        <v>7.4</v>
      </c>
      <c r="J3" s="1161"/>
      <c r="K3" s="1161"/>
      <c r="L3" s="1161"/>
      <c r="M3" s="1161"/>
      <c r="N3" s="1161"/>
      <c r="O3" s="1161"/>
    </row>
    <row r="4" spans="1:15" s="352" customFormat="1" ht="18.600000000000001" customHeight="1" x14ac:dyDescent="0.2">
      <c r="A4" s="1161" t="s">
        <v>149</v>
      </c>
      <c r="B4" s="1161">
        <v>1</v>
      </c>
      <c r="C4" s="1161" t="s">
        <v>135</v>
      </c>
      <c r="D4" s="1161" t="s">
        <v>4</v>
      </c>
      <c r="E4" s="1257">
        <v>1233683</v>
      </c>
      <c r="F4" s="1161">
        <v>6</v>
      </c>
      <c r="G4" s="1161">
        <v>21081273</v>
      </c>
      <c r="H4" s="1161">
        <v>14</v>
      </c>
      <c r="I4" s="1161">
        <v>17.100000000000001</v>
      </c>
      <c r="J4" s="1161"/>
      <c r="K4" s="1161"/>
      <c r="L4" s="1161"/>
      <c r="M4" s="1161"/>
      <c r="N4" s="1161"/>
      <c r="O4" s="1161"/>
    </row>
    <row r="5" spans="1:15" s="352" customFormat="1" ht="18.600000000000001" customHeight="1" x14ac:dyDescent="0.2">
      <c r="A5" s="1161" t="s">
        <v>149</v>
      </c>
      <c r="B5" s="1161">
        <v>1</v>
      </c>
      <c r="C5" s="1161" t="s">
        <v>135</v>
      </c>
      <c r="D5" s="1161" t="s">
        <v>150</v>
      </c>
      <c r="E5" s="1257">
        <v>9287081</v>
      </c>
      <c r="F5" s="1161">
        <v>48</v>
      </c>
      <c r="G5" s="1161">
        <v>89685638</v>
      </c>
      <c r="H5" s="1161">
        <v>57</v>
      </c>
      <c r="I5" s="1161">
        <v>9.6999999999999993</v>
      </c>
      <c r="J5" s="1161"/>
      <c r="K5" s="1161"/>
      <c r="L5" s="1161"/>
      <c r="M5" s="1161"/>
      <c r="N5" s="1161"/>
      <c r="O5" s="1161"/>
    </row>
    <row r="6" spans="1:15" s="352" customFormat="1" ht="18.600000000000001" customHeight="1" x14ac:dyDescent="0.2">
      <c r="A6" s="1161" t="s">
        <v>149</v>
      </c>
      <c r="B6" s="1161">
        <v>1</v>
      </c>
      <c r="C6" s="1161" t="s">
        <v>135</v>
      </c>
      <c r="D6" s="1161" t="s">
        <v>151</v>
      </c>
      <c r="E6" s="1257">
        <v>4069451</v>
      </c>
      <c r="F6" s="1161">
        <v>21</v>
      </c>
      <c r="G6" s="1161">
        <v>32892041</v>
      </c>
      <c r="H6" s="1161">
        <v>21</v>
      </c>
      <c r="I6" s="1161">
        <v>8.1</v>
      </c>
      <c r="J6" s="1161"/>
      <c r="K6" s="1161"/>
      <c r="L6" s="1161"/>
      <c r="M6" s="1161"/>
      <c r="N6" s="1161"/>
      <c r="O6" s="1161"/>
    </row>
    <row r="7" spans="1:15" s="352" customFormat="1" ht="18.600000000000001" customHeight="1" x14ac:dyDescent="0.2">
      <c r="A7" s="1161" t="s">
        <v>149</v>
      </c>
      <c r="B7" s="1161">
        <v>1</v>
      </c>
      <c r="C7" s="1161" t="s">
        <v>135</v>
      </c>
      <c r="D7" s="1161" t="s">
        <v>152</v>
      </c>
      <c r="E7" s="1257">
        <v>3378312</v>
      </c>
      <c r="F7" s="1161">
        <v>17</v>
      </c>
      <c r="G7" s="1161">
        <v>2632041</v>
      </c>
      <c r="H7" s="1161">
        <v>2</v>
      </c>
      <c r="I7" s="1161">
        <v>0.8</v>
      </c>
      <c r="J7" s="1161"/>
      <c r="K7" s="1161"/>
      <c r="L7" s="1161"/>
      <c r="M7" s="1161"/>
      <c r="N7" s="1161"/>
      <c r="O7" s="1161"/>
    </row>
    <row r="8" spans="1:15" s="352" customFormat="1" ht="18.600000000000001" customHeight="1" x14ac:dyDescent="0.2">
      <c r="A8" s="1161" t="s">
        <v>149</v>
      </c>
      <c r="B8" s="1161">
        <v>3</v>
      </c>
      <c r="C8" s="1161" t="s">
        <v>153</v>
      </c>
      <c r="D8" s="1161" t="s">
        <v>2</v>
      </c>
      <c r="E8" s="1257">
        <v>42518</v>
      </c>
      <c r="F8" s="1161">
        <v>2</v>
      </c>
      <c r="G8" s="1161">
        <v>255408</v>
      </c>
      <c r="H8" s="1161">
        <v>1</v>
      </c>
      <c r="I8" s="1161">
        <v>6</v>
      </c>
      <c r="J8" s="1161"/>
      <c r="K8" s="1161"/>
      <c r="L8" s="1161"/>
      <c r="M8" s="1161"/>
      <c r="N8" s="1161"/>
      <c r="O8" s="1161"/>
    </row>
    <row r="9" spans="1:15" s="352" customFormat="1" ht="18.600000000000001" customHeight="1" x14ac:dyDescent="0.2">
      <c r="A9" s="1161" t="s">
        <v>149</v>
      </c>
      <c r="B9" s="1161">
        <v>3</v>
      </c>
      <c r="C9" s="1161" t="s">
        <v>153</v>
      </c>
      <c r="D9" s="1161" t="s">
        <v>3</v>
      </c>
      <c r="E9" s="1257">
        <v>58201</v>
      </c>
      <c r="F9" s="1161">
        <v>3</v>
      </c>
      <c r="G9" s="1161">
        <v>471212</v>
      </c>
      <c r="H9" s="1161">
        <v>3</v>
      </c>
      <c r="I9" s="1161">
        <v>8.1</v>
      </c>
      <c r="J9" s="1161"/>
      <c r="K9" s="1161"/>
      <c r="L9" s="1161"/>
      <c r="M9" s="1161"/>
      <c r="N9" s="1161"/>
      <c r="O9" s="1161"/>
    </row>
    <row r="10" spans="1:15" s="352" customFormat="1" ht="18.600000000000001" customHeight="1" x14ac:dyDescent="0.2">
      <c r="A10" s="1161" t="s">
        <v>149</v>
      </c>
      <c r="B10" s="1161">
        <v>3</v>
      </c>
      <c r="C10" s="1161" t="s">
        <v>153</v>
      </c>
      <c r="D10" s="1161" t="s">
        <v>4</v>
      </c>
      <c r="E10" s="1257">
        <v>9975</v>
      </c>
      <c r="F10" s="1161">
        <v>1</v>
      </c>
      <c r="G10" s="1161">
        <v>864232</v>
      </c>
      <c r="H10" s="1161">
        <v>5</v>
      </c>
      <c r="I10" s="1161">
        <v>86.6</v>
      </c>
      <c r="J10" s="1161"/>
      <c r="K10" s="1161"/>
      <c r="L10" s="1161"/>
      <c r="M10" s="1161"/>
      <c r="N10" s="1161"/>
      <c r="O10" s="1161"/>
    </row>
    <row r="11" spans="1:15" s="352" customFormat="1" ht="18.600000000000001" customHeight="1" x14ac:dyDescent="0.2">
      <c r="A11" s="1161" t="s">
        <v>149</v>
      </c>
      <c r="B11" s="1161">
        <v>3</v>
      </c>
      <c r="C11" s="1161" t="s">
        <v>153</v>
      </c>
      <c r="D11" s="1161" t="s">
        <v>152</v>
      </c>
      <c r="E11" s="1257">
        <v>155278</v>
      </c>
      <c r="F11" s="1161">
        <v>8</v>
      </c>
      <c r="G11" s="1161">
        <v>128837</v>
      </c>
      <c r="H11" s="1161">
        <v>1</v>
      </c>
      <c r="I11" s="1161">
        <v>0.8</v>
      </c>
      <c r="J11" s="1161"/>
      <c r="K11" s="1161"/>
      <c r="L11" s="1161"/>
      <c r="M11" s="1161"/>
      <c r="N11" s="1161"/>
      <c r="O11" s="1161"/>
    </row>
    <row r="12" spans="1:15" s="352" customFormat="1" ht="18.600000000000001" customHeight="1" x14ac:dyDescent="0.2">
      <c r="A12" s="1161" t="s">
        <v>149</v>
      </c>
      <c r="B12" s="1161">
        <v>3</v>
      </c>
      <c r="C12" s="1161" t="s">
        <v>153</v>
      </c>
      <c r="D12" s="1161" t="s">
        <v>151</v>
      </c>
      <c r="E12" s="1257">
        <v>435636</v>
      </c>
      <c r="F12" s="1161">
        <v>24</v>
      </c>
      <c r="G12" s="1161">
        <v>4175107</v>
      </c>
      <c r="H12" s="1161">
        <v>22</v>
      </c>
      <c r="I12" s="1161">
        <v>9.6</v>
      </c>
      <c r="J12" s="1161"/>
      <c r="K12" s="1161"/>
      <c r="L12" s="1161"/>
      <c r="M12" s="1161"/>
      <c r="N12" s="1161"/>
      <c r="O12" s="1161"/>
    </row>
    <row r="13" spans="1:15" s="352" customFormat="1" x14ac:dyDescent="0.2">
      <c r="A13" s="1161" t="s">
        <v>149</v>
      </c>
      <c r="B13" s="1161">
        <v>3</v>
      </c>
      <c r="C13" s="1161" t="s">
        <v>153</v>
      </c>
      <c r="D13" s="1161" t="s">
        <v>150</v>
      </c>
      <c r="E13" s="1257">
        <v>1134091</v>
      </c>
      <c r="F13" s="1161">
        <v>62</v>
      </c>
      <c r="G13" s="1161">
        <v>12794463</v>
      </c>
      <c r="H13" s="1161">
        <v>68</v>
      </c>
      <c r="I13" s="1161">
        <v>11.3</v>
      </c>
      <c r="J13" s="1161"/>
      <c r="K13" s="1161"/>
      <c r="L13" s="1161"/>
      <c r="M13" s="1161"/>
      <c r="N13" s="1161"/>
      <c r="O13" s="1161"/>
    </row>
    <row r="14" spans="1:15" s="352" customFormat="1" x14ac:dyDescent="0.2">
      <c r="A14" s="1161" t="s">
        <v>149</v>
      </c>
      <c r="B14" s="1161">
        <v>5</v>
      </c>
      <c r="C14" s="1161" t="s">
        <v>154</v>
      </c>
      <c r="D14" s="1161" t="s">
        <v>3</v>
      </c>
      <c r="E14" s="1257">
        <v>49543</v>
      </c>
      <c r="F14" s="1161">
        <v>3</v>
      </c>
      <c r="G14" s="1161">
        <v>347261</v>
      </c>
      <c r="H14" s="1161">
        <v>2</v>
      </c>
      <c r="I14" s="1161">
        <v>7</v>
      </c>
      <c r="J14" s="1161"/>
      <c r="K14" s="1161"/>
      <c r="L14" s="1161"/>
      <c r="M14" s="1161"/>
      <c r="N14" s="1161"/>
      <c r="O14" s="1161"/>
    </row>
    <row r="15" spans="1:15" s="352" customFormat="1" x14ac:dyDescent="0.2">
      <c r="A15" s="1161" t="s">
        <v>149</v>
      </c>
      <c r="B15" s="1161">
        <v>5</v>
      </c>
      <c r="C15" s="1161" t="s">
        <v>154</v>
      </c>
      <c r="D15" s="1161" t="s">
        <v>2</v>
      </c>
      <c r="E15" s="1257">
        <v>28016</v>
      </c>
      <c r="F15" s="1161">
        <v>2</v>
      </c>
      <c r="G15" s="1161">
        <v>230161</v>
      </c>
      <c r="H15" s="1161">
        <v>1</v>
      </c>
      <c r="I15" s="1161">
        <v>8.1999999999999993</v>
      </c>
      <c r="J15" s="1161"/>
      <c r="K15" s="1161"/>
      <c r="L15" s="1161"/>
      <c r="M15" s="1161"/>
      <c r="N15" s="1161"/>
      <c r="O15" s="1161"/>
    </row>
    <row r="16" spans="1:15" s="352" customFormat="1" x14ac:dyDescent="0.2">
      <c r="A16" s="1161" t="s">
        <v>149</v>
      </c>
      <c r="B16" s="1161">
        <v>5</v>
      </c>
      <c r="C16" s="1161" t="s">
        <v>154</v>
      </c>
      <c r="D16" s="1161" t="s">
        <v>151</v>
      </c>
      <c r="E16" s="1257">
        <v>340570</v>
      </c>
      <c r="F16" s="1161">
        <v>21</v>
      </c>
      <c r="G16" s="1161">
        <v>3316059</v>
      </c>
      <c r="H16" s="1161">
        <v>19</v>
      </c>
      <c r="I16" s="1161">
        <v>9.6999999999999993</v>
      </c>
      <c r="J16" s="1161"/>
      <c r="K16" s="1161"/>
      <c r="L16" s="1161"/>
      <c r="M16" s="1161"/>
      <c r="N16" s="1161"/>
      <c r="O16" s="1161"/>
    </row>
    <row r="17" spans="1:15" s="352" customFormat="1" x14ac:dyDescent="0.2">
      <c r="A17" s="1161" t="s">
        <v>149</v>
      </c>
      <c r="B17" s="1161">
        <v>5</v>
      </c>
      <c r="C17" s="1161" t="s">
        <v>154</v>
      </c>
      <c r="D17" s="1161" t="s">
        <v>150</v>
      </c>
      <c r="E17" s="1257">
        <v>1002392</v>
      </c>
      <c r="F17" s="1161">
        <v>62</v>
      </c>
      <c r="G17" s="1161">
        <v>12344986</v>
      </c>
      <c r="H17" s="1161">
        <v>70</v>
      </c>
      <c r="I17" s="1161">
        <v>12.3</v>
      </c>
      <c r="J17" s="1161"/>
      <c r="K17" s="1161"/>
      <c r="L17" s="1161"/>
      <c r="M17" s="1161"/>
      <c r="N17" s="1161"/>
      <c r="O17" s="1161"/>
    </row>
    <row r="18" spans="1:15" s="352" customFormat="1" x14ac:dyDescent="0.2">
      <c r="A18" s="1161" t="s">
        <v>149</v>
      </c>
      <c r="B18" s="1161">
        <v>5</v>
      </c>
      <c r="C18" s="1161" t="s">
        <v>154</v>
      </c>
      <c r="D18" s="1161" t="s">
        <v>4</v>
      </c>
      <c r="E18" s="1257">
        <v>26194</v>
      </c>
      <c r="F18" s="1161">
        <v>2</v>
      </c>
      <c r="G18" s="1161">
        <v>1247731</v>
      </c>
      <c r="H18" s="1161">
        <v>7</v>
      </c>
      <c r="I18" s="1161">
        <v>47.6</v>
      </c>
      <c r="J18" s="1161"/>
      <c r="K18" s="1161"/>
      <c r="L18" s="1161"/>
      <c r="M18" s="1161"/>
      <c r="N18" s="1161"/>
      <c r="O18" s="1161"/>
    </row>
    <row r="19" spans="1:15" s="352" customFormat="1" x14ac:dyDescent="0.2">
      <c r="A19" s="1161" t="s">
        <v>149</v>
      </c>
      <c r="B19" s="1161">
        <v>5</v>
      </c>
      <c r="C19" s="1161" t="s">
        <v>154</v>
      </c>
      <c r="D19" s="1161" t="s">
        <v>152</v>
      </c>
      <c r="E19" s="1257">
        <v>162250</v>
      </c>
      <c r="F19" s="1161">
        <v>10</v>
      </c>
      <c r="G19" s="1161">
        <v>146708</v>
      </c>
      <c r="H19" s="1161">
        <v>1</v>
      </c>
      <c r="I19" s="1161">
        <v>0.9</v>
      </c>
      <c r="J19" s="1161"/>
      <c r="K19" s="1161"/>
      <c r="L19" s="1161"/>
      <c r="M19" s="1161"/>
      <c r="N19" s="1161"/>
      <c r="O19" s="1161"/>
    </row>
    <row r="20" spans="1:15" s="352" customFormat="1" x14ac:dyDescent="0.2">
      <c r="A20" s="1161" t="s">
        <v>155</v>
      </c>
      <c r="B20" s="1161">
        <v>1</v>
      </c>
      <c r="C20" s="1161" t="s">
        <v>135</v>
      </c>
      <c r="D20" s="1161" t="s">
        <v>2</v>
      </c>
      <c r="E20" s="1257">
        <v>347279</v>
      </c>
      <c r="F20" s="1161">
        <v>2</v>
      </c>
      <c r="G20" s="1161">
        <v>2470696</v>
      </c>
      <c r="H20" s="1161">
        <v>2</v>
      </c>
      <c r="I20" s="1161">
        <v>7.1</v>
      </c>
      <c r="J20" s="1161"/>
      <c r="K20" s="1161"/>
      <c r="L20" s="1161"/>
      <c r="M20" s="1161"/>
      <c r="N20" s="1161"/>
      <c r="O20" s="1161"/>
    </row>
    <row r="21" spans="1:15" s="352" customFormat="1" x14ac:dyDescent="0.2">
      <c r="A21" s="1161" t="s">
        <v>155</v>
      </c>
      <c r="B21" s="1161">
        <v>1</v>
      </c>
      <c r="C21" s="1161" t="s">
        <v>135</v>
      </c>
      <c r="D21" s="1161" t="s">
        <v>3</v>
      </c>
      <c r="E21" s="1257">
        <v>993017</v>
      </c>
      <c r="F21" s="1161">
        <v>5</v>
      </c>
      <c r="G21" s="1161">
        <v>7180645</v>
      </c>
      <c r="H21" s="1161">
        <v>5</v>
      </c>
      <c r="I21" s="1161">
        <v>7.2</v>
      </c>
      <c r="J21" s="1161"/>
      <c r="K21" s="1161"/>
      <c r="L21" s="1161"/>
      <c r="M21" s="1161"/>
      <c r="N21" s="1161"/>
      <c r="O21" s="1161"/>
    </row>
    <row r="22" spans="1:15" s="352" customFormat="1" x14ac:dyDescent="0.2">
      <c r="A22" s="1161" t="s">
        <v>155</v>
      </c>
      <c r="B22" s="1161">
        <v>1</v>
      </c>
      <c r="C22" s="1161" t="s">
        <v>135</v>
      </c>
      <c r="D22" s="1161" t="s">
        <v>4</v>
      </c>
      <c r="E22" s="1257">
        <v>1189876</v>
      </c>
      <c r="F22" s="1161">
        <v>6</v>
      </c>
      <c r="G22" s="1161">
        <v>20136920</v>
      </c>
      <c r="H22" s="1161">
        <v>13</v>
      </c>
      <c r="I22" s="1161">
        <v>16.899999999999999</v>
      </c>
      <c r="J22" s="1161"/>
      <c r="K22" s="1161"/>
      <c r="L22" s="1161"/>
      <c r="M22" s="1161"/>
      <c r="N22" s="1161"/>
      <c r="O22" s="1161"/>
    </row>
    <row r="23" spans="1:15" s="352" customFormat="1" x14ac:dyDescent="0.2">
      <c r="A23" s="1161" t="s">
        <v>155</v>
      </c>
      <c r="B23" s="1161">
        <v>1</v>
      </c>
      <c r="C23" s="1161" t="s">
        <v>135</v>
      </c>
      <c r="D23" s="1161" t="s">
        <v>150</v>
      </c>
      <c r="E23" s="1257">
        <v>9130239</v>
      </c>
      <c r="F23" s="1161">
        <v>48</v>
      </c>
      <c r="G23" s="1161">
        <v>85925315</v>
      </c>
      <c r="H23" s="1161">
        <v>57</v>
      </c>
      <c r="I23" s="1161">
        <v>9.4</v>
      </c>
      <c r="J23" s="1161"/>
      <c r="K23" s="1161"/>
      <c r="L23" s="1161"/>
      <c r="M23" s="1161"/>
      <c r="N23" s="1161"/>
      <c r="O23" s="1161"/>
    </row>
    <row r="24" spans="1:15" s="352" customFormat="1" x14ac:dyDescent="0.2">
      <c r="A24" s="1161" t="s">
        <v>155</v>
      </c>
      <c r="B24" s="1161">
        <v>1</v>
      </c>
      <c r="C24" s="1161" t="s">
        <v>135</v>
      </c>
      <c r="D24" s="1161" t="s">
        <v>151</v>
      </c>
      <c r="E24" s="1257">
        <v>4026167</v>
      </c>
      <c r="F24" s="1161">
        <v>21</v>
      </c>
      <c r="G24" s="1161">
        <v>31862626</v>
      </c>
      <c r="H24" s="1161">
        <v>21</v>
      </c>
      <c r="I24" s="1161">
        <v>7.9</v>
      </c>
      <c r="J24" s="1161"/>
      <c r="K24" s="1161"/>
      <c r="L24" s="1161"/>
      <c r="M24" s="1161"/>
      <c r="N24" s="1161"/>
      <c r="O24" s="1161"/>
    </row>
    <row r="25" spans="1:15" s="352" customFormat="1" x14ac:dyDescent="0.2">
      <c r="A25" s="1161" t="s">
        <v>155</v>
      </c>
      <c r="B25" s="1161">
        <v>1</v>
      </c>
      <c r="C25" s="1161" t="s">
        <v>135</v>
      </c>
      <c r="D25" s="1161" t="s">
        <v>152</v>
      </c>
      <c r="E25" s="1257">
        <v>3295469</v>
      </c>
      <c r="F25" s="1161">
        <v>17</v>
      </c>
      <c r="G25" s="1161">
        <v>2626211</v>
      </c>
      <c r="H25" s="1161">
        <v>2</v>
      </c>
      <c r="I25" s="1161">
        <v>0.8</v>
      </c>
      <c r="J25" s="1161"/>
      <c r="K25" s="1161"/>
      <c r="L25" s="1161"/>
      <c r="M25" s="1161"/>
      <c r="N25" s="1161"/>
      <c r="O25" s="1161"/>
    </row>
    <row r="26" spans="1:15" s="352" customFormat="1" x14ac:dyDescent="0.2">
      <c r="A26" s="1161" t="s">
        <v>155</v>
      </c>
      <c r="B26" s="1161">
        <v>3</v>
      </c>
      <c r="C26" s="1161" t="s">
        <v>153</v>
      </c>
      <c r="D26" s="1161" t="s">
        <v>2</v>
      </c>
      <c r="E26" s="1257">
        <v>41892</v>
      </c>
      <c r="F26" s="1161">
        <v>2</v>
      </c>
      <c r="G26" s="1161">
        <v>158118</v>
      </c>
      <c r="H26" s="1161">
        <v>1</v>
      </c>
      <c r="I26" s="1161">
        <v>3.8</v>
      </c>
      <c r="J26" s="1161"/>
      <c r="K26" s="1161"/>
      <c r="L26" s="1161"/>
      <c r="M26" s="1161"/>
      <c r="N26" s="1161"/>
      <c r="O26" s="1161"/>
    </row>
    <row r="27" spans="1:15" s="352" customFormat="1" x14ac:dyDescent="0.2">
      <c r="A27" s="1161" t="s">
        <v>155</v>
      </c>
      <c r="B27" s="1161">
        <v>3</v>
      </c>
      <c r="C27" s="1161" t="s">
        <v>153</v>
      </c>
      <c r="D27" s="1161" t="s">
        <v>3</v>
      </c>
      <c r="E27" s="1257">
        <v>55989</v>
      </c>
      <c r="F27" s="1161">
        <v>3</v>
      </c>
      <c r="G27" s="1161">
        <v>475314</v>
      </c>
      <c r="H27" s="1161">
        <v>2</v>
      </c>
      <c r="I27" s="1161">
        <v>8.5</v>
      </c>
      <c r="J27" s="1161"/>
      <c r="K27" s="1161"/>
      <c r="L27" s="1161"/>
      <c r="M27" s="1161"/>
      <c r="N27" s="1161"/>
      <c r="O27" s="1161"/>
    </row>
    <row r="28" spans="1:15" s="352" customFormat="1" x14ac:dyDescent="0.2">
      <c r="A28" s="1161" t="s">
        <v>155</v>
      </c>
      <c r="B28" s="1161">
        <v>3</v>
      </c>
      <c r="C28" s="1161" t="s">
        <v>153</v>
      </c>
      <c r="D28" s="1161" t="s">
        <v>4</v>
      </c>
      <c r="E28" s="1257">
        <v>9801</v>
      </c>
      <c r="F28" s="1161">
        <v>0</v>
      </c>
      <c r="G28" s="1161">
        <v>658995</v>
      </c>
      <c r="H28" s="1161">
        <v>3</v>
      </c>
      <c r="I28" s="1161">
        <v>67.2</v>
      </c>
      <c r="J28" s="1161"/>
      <c r="K28" s="1161"/>
      <c r="L28" s="1161"/>
      <c r="M28" s="1161"/>
      <c r="N28" s="1161"/>
      <c r="O28" s="1161"/>
    </row>
    <row r="29" spans="1:15" s="352" customFormat="1" x14ac:dyDescent="0.2">
      <c r="A29" s="1161" t="s">
        <v>155</v>
      </c>
      <c r="B29" s="1161">
        <v>3</v>
      </c>
      <c r="C29" s="1161" t="s">
        <v>153</v>
      </c>
      <c r="D29" s="1161" t="s">
        <v>152</v>
      </c>
      <c r="E29" s="1257">
        <v>184019</v>
      </c>
      <c r="F29" s="1161">
        <v>9</v>
      </c>
      <c r="G29" s="1161">
        <v>162568</v>
      </c>
      <c r="H29" s="1161">
        <v>1</v>
      </c>
      <c r="I29" s="1161">
        <v>0.9</v>
      </c>
      <c r="J29" s="1161"/>
      <c r="K29" s="1161"/>
      <c r="L29" s="1161"/>
      <c r="M29" s="1161"/>
      <c r="N29" s="1161"/>
      <c r="O29" s="1161"/>
    </row>
    <row r="30" spans="1:15" s="352" customFormat="1" x14ac:dyDescent="0.2">
      <c r="A30" s="1161" t="s">
        <v>155</v>
      </c>
      <c r="B30" s="1161">
        <v>3</v>
      </c>
      <c r="C30" s="1161" t="s">
        <v>153</v>
      </c>
      <c r="D30" s="1161" t="s">
        <v>151</v>
      </c>
      <c r="E30" s="1257">
        <v>454805</v>
      </c>
      <c r="F30" s="1161">
        <v>23</v>
      </c>
      <c r="G30" s="1161">
        <v>4318388</v>
      </c>
      <c r="H30" s="1161">
        <v>22</v>
      </c>
      <c r="I30" s="1161">
        <v>9.5</v>
      </c>
      <c r="J30" s="1161"/>
      <c r="K30" s="1161"/>
      <c r="L30" s="1161"/>
      <c r="M30" s="1161"/>
      <c r="N30" s="1161"/>
      <c r="O30" s="1161"/>
    </row>
    <row r="31" spans="1:15" s="352" customFormat="1" x14ac:dyDescent="0.2">
      <c r="A31" s="1161" t="s">
        <v>155</v>
      </c>
      <c r="B31" s="1161">
        <v>3</v>
      </c>
      <c r="C31" s="1161" t="s">
        <v>153</v>
      </c>
      <c r="D31" s="1161" t="s">
        <v>150</v>
      </c>
      <c r="E31" s="1257">
        <v>1257192</v>
      </c>
      <c r="F31" s="1161">
        <v>63</v>
      </c>
      <c r="G31" s="1161">
        <v>13567723</v>
      </c>
      <c r="H31" s="1161">
        <v>70</v>
      </c>
      <c r="I31" s="1161">
        <v>10.8</v>
      </c>
      <c r="J31" s="1161"/>
      <c r="K31" s="1161"/>
      <c r="L31" s="1161"/>
      <c r="M31" s="1161"/>
      <c r="N31" s="1161"/>
      <c r="O31" s="1161"/>
    </row>
    <row r="32" spans="1:15" s="352" customFormat="1" x14ac:dyDescent="0.2">
      <c r="A32" s="1161" t="s">
        <v>155</v>
      </c>
      <c r="B32" s="1161">
        <v>5</v>
      </c>
      <c r="C32" s="1161" t="s">
        <v>154</v>
      </c>
      <c r="D32" s="1161" t="s">
        <v>3</v>
      </c>
      <c r="E32" s="1257">
        <v>46189</v>
      </c>
      <c r="F32" s="1161">
        <v>3</v>
      </c>
      <c r="G32" s="1161">
        <v>354245</v>
      </c>
      <c r="H32" s="1161">
        <v>2</v>
      </c>
      <c r="I32" s="1161">
        <v>7.7</v>
      </c>
      <c r="J32" s="1161"/>
      <c r="K32" s="1161"/>
      <c r="L32" s="1161"/>
      <c r="M32" s="1161"/>
      <c r="N32" s="1161"/>
      <c r="O32" s="1161"/>
    </row>
    <row r="33" spans="1:15" s="352" customFormat="1" x14ac:dyDescent="0.2">
      <c r="A33" s="1161" t="s">
        <v>155</v>
      </c>
      <c r="B33" s="1161">
        <v>5</v>
      </c>
      <c r="C33" s="1161" t="s">
        <v>154</v>
      </c>
      <c r="D33" s="1161" t="s">
        <v>2</v>
      </c>
      <c r="E33" s="1257">
        <v>34694</v>
      </c>
      <c r="F33" s="1161">
        <v>2</v>
      </c>
      <c r="G33" s="1161">
        <v>326106</v>
      </c>
      <c r="H33" s="1161">
        <v>2</v>
      </c>
      <c r="I33" s="1161">
        <v>9.4</v>
      </c>
      <c r="J33" s="1161"/>
      <c r="K33" s="1161"/>
      <c r="L33" s="1161"/>
      <c r="M33" s="1161"/>
      <c r="N33" s="1161"/>
      <c r="O33" s="1161"/>
    </row>
    <row r="34" spans="1:15" s="352" customFormat="1" x14ac:dyDescent="0.2">
      <c r="A34" s="1161" t="s">
        <v>155</v>
      </c>
      <c r="B34" s="1161">
        <v>5</v>
      </c>
      <c r="C34" s="1161" t="s">
        <v>154</v>
      </c>
      <c r="D34" s="1161" t="s">
        <v>151</v>
      </c>
      <c r="E34" s="1257">
        <v>373451</v>
      </c>
      <c r="F34" s="1161">
        <v>22</v>
      </c>
      <c r="G34" s="1161">
        <v>3866510</v>
      </c>
      <c r="H34" s="1161">
        <v>21</v>
      </c>
      <c r="I34" s="1161">
        <v>10.4</v>
      </c>
      <c r="J34" s="1161"/>
      <c r="K34" s="1161"/>
      <c r="L34" s="1161"/>
      <c r="M34" s="1161"/>
      <c r="N34" s="1161"/>
      <c r="O34" s="1161"/>
    </row>
    <row r="35" spans="1:15" s="352" customFormat="1" x14ac:dyDescent="0.2">
      <c r="A35" s="1161" t="s">
        <v>155</v>
      </c>
      <c r="B35" s="1161">
        <v>5</v>
      </c>
      <c r="C35" s="1161" t="s">
        <v>154</v>
      </c>
      <c r="D35" s="1161" t="s">
        <v>150</v>
      </c>
      <c r="E35" s="1257">
        <v>987025</v>
      </c>
      <c r="F35" s="1161">
        <v>59</v>
      </c>
      <c r="G35" s="1161">
        <v>11926899</v>
      </c>
      <c r="H35" s="1161">
        <v>66</v>
      </c>
      <c r="I35" s="1161">
        <v>12.1</v>
      </c>
      <c r="J35" s="1161"/>
      <c r="K35" s="1161"/>
      <c r="L35" s="1161"/>
      <c r="M35" s="1161"/>
      <c r="N35" s="1161"/>
      <c r="O35" s="1161"/>
    </row>
    <row r="36" spans="1:15" s="352" customFormat="1" x14ac:dyDescent="0.2">
      <c r="A36" s="1161" t="s">
        <v>155</v>
      </c>
      <c r="B36" s="1161">
        <v>5</v>
      </c>
      <c r="C36" s="1161" t="s">
        <v>154</v>
      </c>
      <c r="D36" s="1161" t="s">
        <v>4</v>
      </c>
      <c r="E36" s="1257">
        <v>30349</v>
      </c>
      <c r="F36" s="1161">
        <v>2</v>
      </c>
      <c r="G36" s="1161">
        <v>1407721</v>
      </c>
      <c r="H36" s="1161">
        <v>8</v>
      </c>
      <c r="I36" s="1161">
        <v>46.4</v>
      </c>
      <c r="J36" s="1161"/>
      <c r="K36" s="1161"/>
      <c r="L36" s="1161"/>
      <c r="M36" s="1161"/>
      <c r="N36" s="1161"/>
      <c r="O36" s="1161"/>
    </row>
    <row r="37" spans="1:15" s="352" customFormat="1" x14ac:dyDescent="0.2">
      <c r="A37" s="1161" t="s">
        <v>155</v>
      </c>
      <c r="B37" s="1161">
        <v>5</v>
      </c>
      <c r="C37" s="1161" t="s">
        <v>154</v>
      </c>
      <c r="D37" s="1161" t="s">
        <v>152</v>
      </c>
      <c r="E37" s="1257">
        <v>202770</v>
      </c>
      <c r="F37" s="1161">
        <v>12</v>
      </c>
      <c r="G37" s="1161">
        <v>159004</v>
      </c>
      <c r="H37" s="1161">
        <v>1</v>
      </c>
      <c r="I37" s="1161">
        <v>0.8</v>
      </c>
      <c r="J37" s="1161"/>
      <c r="K37" s="1161"/>
      <c r="L37" s="1161"/>
      <c r="M37" s="1161"/>
      <c r="N37" s="1161"/>
      <c r="O37" s="1161"/>
    </row>
    <row r="38" spans="1:15" s="352" customFormat="1" x14ac:dyDescent="0.2">
      <c r="A38" s="1161" t="s">
        <v>156</v>
      </c>
      <c r="B38" s="1161">
        <v>1</v>
      </c>
      <c r="C38" s="1161" t="s">
        <v>135</v>
      </c>
      <c r="D38" s="1161" t="s">
        <v>2</v>
      </c>
      <c r="E38" s="1257">
        <v>365299</v>
      </c>
      <c r="F38" s="1161">
        <v>2</v>
      </c>
      <c r="G38" s="1161">
        <v>2408442</v>
      </c>
      <c r="H38" s="1161">
        <v>2</v>
      </c>
      <c r="I38" s="1161">
        <v>6.6</v>
      </c>
      <c r="J38" s="1161"/>
      <c r="K38" s="1161"/>
      <c r="L38" s="1161"/>
      <c r="M38" s="1161"/>
      <c r="N38" s="1161"/>
      <c r="O38" s="1161"/>
    </row>
    <row r="39" spans="1:15" s="352" customFormat="1" x14ac:dyDescent="0.2">
      <c r="A39" s="1161" t="s">
        <v>156</v>
      </c>
      <c r="B39" s="1161">
        <v>1</v>
      </c>
      <c r="C39" s="1161" t="s">
        <v>135</v>
      </c>
      <c r="D39" s="1161" t="s">
        <v>3</v>
      </c>
      <c r="E39" s="1257">
        <v>964925</v>
      </c>
      <c r="F39" s="1161">
        <v>5</v>
      </c>
      <c r="G39" s="1161">
        <v>5895685</v>
      </c>
      <c r="H39" s="1161">
        <v>4</v>
      </c>
      <c r="I39" s="1161">
        <v>6.1</v>
      </c>
      <c r="J39" s="1161"/>
      <c r="K39" s="1161"/>
      <c r="L39" s="1161"/>
      <c r="M39" s="1161"/>
      <c r="N39" s="1161"/>
      <c r="O39" s="1161"/>
    </row>
    <row r="40" spans="1:15" s="352" customFormat="1" x14ac:dyDescent="0.2">
      <c r="A40" s="1161" t="s">
        <v>156</v>
      </c>
      <c r="B40" s="1161">
        <v>1</v>
      </c>
      <c r="C40" s="1161" t="s">
        <v>135</v>
      </c>
      <c r="D40" s="1161" t="s">
        <v>4</v>
      </c>
      <c r="E40" s="1257">
        <v>1152819</v>
      </c>
      <c r="F40" s="1161">
        <v>6</v>
      </c>
      <c r="G40" s="1161">
        <v>18821802</v>
      </c>
      <c r="H40" s="1161">
        <v>14</v>
      </c>
      <c r="I40" s="1161">
        <v>16.3</v>
      </c>
      <c r="J40" s="1161"/>
      <c r="K40" s="1161"/>
      <c r="L40" s="1161"/>
      <c r="M40" s="1161"/>
      <c r="N40" s="1161"/>
      <c r="O40" s="1161"/>
    </row>
    <row r="41" spans="1:15" s="352" customFormat="1" x14ac:dyDescent="0.2">
      <c r="A41" s="1161" t="s">
        <v>156</v>
      </c>
      <c r="B41" s="1161">
        <v>1</v>
      </c>
      <c r="C41" s="1161" t="s">
        <v>135</v>
      </c>
      <c r="D41" s="1161" t="s">
        <v>150</v>
      </c>
      <c r="E41" s="1257">
        <v>8781601</v>
      </c>
      <c r="F41" s="1161">
        <v>48</v>
      </c>
      <c r="G41" s="1161">
        <v>80545590</v>
      </c>
      <c r="H41" s="1161">
        <v>58</v>
      </c>
      <c r="I41" s="1161">
        <v>9.1999999999999993</v>
      </c>
      <c r="J41" s="1161"/>
      <c r="K41" s="1161"/>
      <c r="L41" s="1161"/>
      <c r="M41" s="1161"/>
      <c r="N41" s="1161"/>
      <c r="O41" s="1161"/>
    </row>
    <row r="42" spans="1:15" s="352" customFormat="1" x14ac:dyDescent="0.2">
      <c r="A42" s="1161" t="s">
        <v>156</v>
      </c>
      <c r="B42" s="1161">
        <v>1</v>
      </c>
      <c r="C42" s="1161" t="s">
        <v>135</v>
      </c>
      <c r="D42" s="1161" t="s">
        <v>151</v>
      </c>
      <c r="E42" s="1257">
        <v>3952976</v>
      </c>
      <c r="F42" s="1161">
        <v>21</v>
      </c>
      <c r="G42" s="1161">
        <v>29028352</v>
      </c>
      <c r="H42" s="1161">
        <v>21</v>
      </c>
      <c r="I42" s="1161">
        <v>7.3</v>
      </c>
      <c r="J42" s="1161"/>
      <c r="K42" s="1161"/>
      <c r="L42" s="1161"/>
      <c r="M42" s="1161"/>
      <c r="N42" s="1161"/>
      <c r="O42" s="1161"/>
    </row>
    <row r="43" spans="1:15" s="352" customFormat="1" x14ac:dyDescent="0.2">
      <c r="A43" s="1161" t="s">
        <v>156</v>
      </c>
      <c r="B43" s="1161">
        <v>1</v>
      </c>
      <c r="C43" s="1161" t="s">
        <v>135</v>
      </c>
      <c r="D43" s="1161" t="s">
        <v>152</v>
      </c>
      <c r="E43" s="1257">
        <v>3185004</v>
      </c>
      <c r="F43" s="1161">
        <v>17</v>
      </c>
      <c r="G43" s="1161">
        <v>2447364</v>
      </c>
      <c r="H43" s="1161">
        <v>2</v>
      </c>
      <c r="I43" s="1161">
        <v>0.8</v>
      </c>
      <c r="J43" s="1161"/>
      <c r="K43" s="1161"/>
      <c r="L43" s="1161"/>
      <c r="M43" s="1161"/>
      <c r="N43" s="1161"/>
      <c r="O43" s="1161"/>
    </row>
    <row r="44" spans="1:15" s="352" customFormat="1" x14ac:dyDescent="0.2">
      <c r="A44" s="1161" t="s">
        <v>156</v>
      </c>
      <c r="B44" s="1161">
        <v>3</v>
      </c>
      <c r="C44" s="1161" t="s">
        <v>153</v>
      </c>
      <c r="D44" s="1161" t="s">
        <v>2</v>
      </c>
      <c r="E44" s="1257">
        <v>43936</v>
      </c>
      <c r="F44" s="1161">
        <v>2</v>
      </c>
      <c r="G44" s="1161">
        <v>286336</v>
      </c>
      <c r="H44" s="1161">
        <v>1</v>
      </c>
      <c r="I44" s="1161">
        <v>6.5</v>
      </c>
      <c r="J44" s="1161"/>
      <c r="K44" s="1161"/>
      <c r="L44" s="1161"/>
      <c r="M44" s="1161"/>
      <c r="N44" s="1161"/>
      <c r="O44" s="1161"/>
    </row>
    <row r="45" spans="1:15" s="352" customFormat="1" x14ac:dyDescent="0.2">
      <c r="A45" s="1161" t="s">
        <v>156</v>
      </c>
      <c r="B45" s="1161">
        <v>3</v>
      </c>
      <c r="C45" s="1161" t="s">
        <v>153</v>
      </c>
      <c r="D45" s="1161" t="s">
        <v>3</v>
      </c>
      <c r="E45" s="1257">
        <v>61043</v>
      </c>
      <c r="F45" s="1161">
        <v>3</v>
      </c>
      <c r="G45" s="1161">
        <v>498723</v>
      </c>
      <c r="H45" s="1161">
        <v>2</v>
      </c>
      <c r="I45" s="1161">
        <v>8.1999999999999993</v>
      </c>
      <c r="J45" s="1161"/>
      <c r="K45" s="1161"/>
      <c r="L45" s="1161"/>
      <c r="M45" s="1161"/>
      <c r="N45" s="1161"/>
      <c r="O45" s="1161"/>
    </row>
    <row r="46" spans="1:15" s="352" customFormat="1" x14ac:dyDescent="0.2">
      <c r="A46" s="1161" t="s">
        <v>156</v>
      </c>
      <c r="B46" s="1161">
        <v>3</v>
      </c>
      <c r="C46" s="1161" t="s">
        <v>153</v>
      </c>
      <c r="D46" s="1161" t="s">
        <v>4</v>
      </c>
      <c r="E46" s="1257">
        <v>14924</v>
      </c>
      <c r="F46" s="1161">
        <v>1</v>
      </c>
      <c r="G46" s="1161">
        <v>471630</v>
      </c>
      <c r="H46" s="1161">
        <v>2</v>
      </c>
      <c r="I46" s="1161">
        <v>31.6</v>
      </c>
      <c r="J46" s="1161"/>
      <c r="K46" s="1161"/>
      <c r="L46" s="1161"/>
      <c r="M46" s="1161"/>
      <c r="N46" s="1161"/>
      <c r="O46" s="1161"/>
    </row>
    <row r="47" spans="1:15" s="352" customFormat="1" x14ac:dyDescent="0.2">
      <c r="A47" s="1161" t="s">
        <v>156</v>
      </c>
      <c r="B47" s="1161">
        <v>3</v>
      </c>
      <c r="C47" s="1161" t="s">
        <v>153</v>
      </c>
      <c r="D47" s="1161" t="s">
        <v>152</v>
      </c>
      <c r="E47" s="1257">
        <v>281950</v>
      </c>
      <c r="F47" s="1161">
        <v>13</v>
      </c>
      <c r="G47" s="1161">
        <v>212445</v>
      </c>
      <c r="H47" s="1161">
        <v>1</v>
      </c>
      <c r="I47" s="1161">
        <v>0.8</v>
      </c>
      <c r="J47" s="1161"/>
      <c r="K47" s="1161"/>
      <c r="L47" s="1161"/>
      <c r="M47" s="1161"/>
      <c r="N47" s="1161"/>
      <c r="O47" s="1161"/>
    </row>
    <row r="48" spans="1:15" s="352" customFormat="1" x14ac:dyDescent="0.2">
      <c r="A48" s="1161" t="s">
        <v>156</v>
      </c>
      <c r="B48" s="1161">
        <v>3</v>
      </c>
      <c r="C48" s="1161" t="s">
        <v>153</v>
      </c>
      <c r="D48" s="1161" t="s">
        <v>151</v>
      </c>
      <c r="E48" s="1257">
        <v>481637</v>
      </c>
      <c r="F48" s="1161">
        <v>22</v>
      </c>
      <c r="G48" s="1161">
        <v>4799711</v>
      </c>
      <c r="H48" s="1161">
        <v>23</v>
      </c>
      <c r="I48" s="1161">
        <v>10</v>
      </c>
      <c r="J48" s="1161"/>
      <c r="K48" s="1161"/>
      <c r="L48" s="1161"/>
      <c r="M48" s="1161"/>
      <c r="N48" s="1161"/>
      <c r="O48" s="1161"/>
    </row>
    <row r="49" spans="1:15" s="352" customFormat="1" x14ac:dyDescent="0.2">
      <c r="A49" s="1161" t="s">
        <v>156</v>
      </c>
      <c r="B49" s="1161">
        <v>3</v>
      </c>
      <c r="C49" s="1161" t="s">
        <v>153</v>
      </c>
      <c r="D49" s="1161" t="s">
        <v>150</v>
      </c>
      <c r="E49" s="1257">
        <v>1333491</v>
      </c>
      <c r="F49" s="1161">
        <v>60</v>
      </c>
      <c r="G49" s="1161">
        <v>14801057</v>
      </c>
      <c r="H49" s="1161">
        <v>70</v>
      </c>
      <c r="I49" s="1161">
        <v>11.1</v>
      </c>
      <c r="J49" s="1161"/>
      <c r="K49" s="1161"/>
      <c r="L49" s="1161"/>
      <c r="M49" s="1161"/>
      <c r="N49" s="1161"/>
      <c r="O49" s="1161"/>
    </row>
    <row r="50" spans="1:15" s="352" customFormat="1" x14ac:dyDescent="0.2">
      <c r="A50" s="1161" t="s">
        <v>156</v>
      </c>
      <c r="B50" s="1161">
        <v>5</v>
      </c>
      <c r="C50" s="1161" t="s">
        <v>154</v>
      </c>
      <c r="D50" s="1161" t="s">
        <v>3</v>
      </c>
      <c r="E50" s="1257">
        <v>42939</v>
      </c>
      <c r="F50" s="1161">
        <v>2</v>
      </c>
      <c r="G50" s="1161">
        <v>296344</v>
      </c>
      <c r="H50" s="1161">
        <v>2</v>
      </c>
      <c r="I50" s="1161">
        <v>6.9</v>
      </c>
      <c r="J50" s="1161"/>
      <c r="K50" s="1161"/>
      <c r="L50" s="1161"/>
      <c r="M50" s="1161"/>
      <c r="N50" s="1161"/>
      <c r="O50" s="1161"/>
    </row>
    <row r="51" spans="1:15" s="352" customFormat="1" x14ac:dyDescent="0.2">
      <c r="A51" s="1161" t="s">
        <v>156</v>
      </c>
      <c r="B51" s="1161">
        <v>5</v>
      </c>
      <c r="C51" s="1161" t="s">
        <v>154</v>
      </c>
      <c r="D51" s="1161" t="s">
        <v>2</v>
      </c>
      <c r="E51" s="1257">
        <v>43107</v>
      </c>
      <c r="F51" s="1161">
        <v>2</v>
      </c>
      <c r="G51" s="1161">
        <v>265716</v>
      </c>
      <c r="H51" s="1161">
        <v>2</v>
      </c>
      <c r="I51" s="1161">
        <v>6.2</v>
      </c>
      <c r="J51" s="1161"/>
      <c r="K51" s="1161"/>
      <c r="L51" s="1161"/>
      <c r="M51" s="1161"/>
      <c r="N51" s="1161"/>
      <c r="O51" s="1161"/>
    </row>
    <row r="52" spans="1:15" s="352" customFormat="1" x14ac:dyDescent="0.2">
      <c r="A52" s="1161" t="s">
        <v>156</v>
      </c>
      <c r="B52" s="1161">
        <v>5</v>
      </c>
      <c r="C52" s="1161" t="s">
        <v>154</v>
      </c>
      <c r="D52" s="1161" t="s">
        <v>151</v>
      </c>
      <c r="E52" s="1257">
        <v>384957</v>
      </c>
      <c r="F52" s="1161">
        <v>22</v>
      </c>
      <c r="G52" s="1161">
        <v>3832258</v>
      </c>
      <c r="H52" s="1161">
        <v>23</v>
      </c>
      <c r="I52" s="1161">
        <v>10</v>
      </c>
      <c r="J52" s="1161"/>
      <c r="K52" s="1161"/>
      <c r="L52" s="1161"/>
      <c r="M52" s="1161"/>
      <c r="N52" s="1161"/>
      <c r="O52" s="1161"/>
    </row>
    <row r="53" spans="1:15" s="352" customFormat="1" x14ac:dyDescent="0.2">
      <c r="A53" s="1161" t="s">
        <v>156</v>
      </c>
      <c r="B53" s="1161">
        <v>5</v>
      </c>
      <c r="C53" s="1161" t="s">
        <v>154</v>
      </c>
      <c r="D53" s="1161" t="s">
        <v>150</v>
      </c>
      <c r="E53" s="1257">
        <v>998621</v>
      </c>
      <c r="F53" s="1161">
        <v>58</v>
      </c>
      <c r="G53" s="1161">
        <v>10873365</v>
      </c>
      <c r="H53" s="1161">
        <v>65</v>
      </c>
      <c r="I53" s="1161">
        <v>10.9</v>
      </c>
      <c r="J53" s="1161"/>
      <c r="K53" s="1161"/>
      <c r="L53" s="1161"/>
      <c r="M53" s="1161"/>
      <c r="N53" s="1161"/>
      <c r="O53" s="1161"/>
    </row>
    <row r="54" spans="1:15" s="352" customFormat="1" x14ac:dyDescent="0.2">
      <c r="A54" s="1161" t="s">
        <v>156</v>
      </c>
      <c r="B54" s="1161">
        <v>5</v>
      </c>
      <c r="C54" s="1161" t="s">
        <v>154</v>
      </c>
      <c r="D54" s="1161" t="s">
        <v>4</v>
      </c>
      <c r="E54" s="1257">
        <v>28266</v>
      </c>
      <c r="F54" s="1161">
        <v>2</v>
      </c>
      <c r="G54" s="1161">
        <v>1334957</v>
      </c>
      <c r="H54" s="1161">
        <v>8</v>
      </c>
      <c r="I54" s="1161">
        <v>47.2</v>
      </c>
      <c r="J54" s="1161"/>
      <c r="K54" s="1161"/>
      <c r="L54" s="1161"/>
      <c r="M54" s="1161"/>
      <c r="N54" s="1161"/>
      <c r="O54" s="1161"/>
    </row>
    <row r="55" spans="1:15" s="352" customFormat="1" x14ac:dyDescent="0.2">
      <c r="A55" s="1161" t="s">
        <v>156</v>
      </c>
      <c r="B55" s="1161">
        <v>5</v>
      </c>
      <c r="C55" s="1161" t="s">
        <v>154</v>
      </c>
      <c r="D55" s="1161" t="s">
        <v>152</v>
      </c>
      <c r="E55" s="1257">
        <v>230501</v>
      </c>
      <c r="F55" s="1161">
        <v>13</v>
      </c>
      <c r="G55" s="1161">
        <v>175979</v>
      </c>
      <c r="H55" s="1161">
        <v>1</v>
      </c>
      <c r="I55" s="1161">
        <v>0.8</v>
      </c>
      <c r="J55" s="1161"/>
      <c r="K55" s="1161"/>
      <c r="L55" s="1161"/>
      <c r="M55" s="1161"/>
      <c r="N55" s="1161"/>
      <c r="O55" s="1161"/>
    </row>
    <row r="56" spans="1:15" s="352" customFormat="1" x14ac:dyDescent="0.2">
      <c r="A56" s="1161" t="s">
        <v>157</v>
      </c>
      <c r="B56" s="1161">
        <v>1</v>
      </c>
      <c r="C56" s="1161" t="s">
        <v>135</v>
      </c>
      <c r="D56" s="1161" t="s">
        <v>2</v>
      </c>
      <c r="E56" s="1257">
        <v>343108</v>
      </c>
      <c r="F56" s="1161">
        <v>2</v>
      </c>
      <c r="G56" s="1161">
        <v>2424870</v>
      </c>
      <c r="H56" s="1161">
        <v>2</v>
      </c>
      <c r="I56" s="1161">
        <v>7.1</v>
      </c>
      <c r="J56" s="1161"/>
      <c r="K56" s="1161"/>
      <c r="L56" s="1161"/>
      <c r="M56" s="1161"/>
      <c r="N56" s="1161"/>
      <c r="O56" s="1161"/>
    </row>
    <row r="57" spans="1:15" s="352" customFormat="1" x14ac:dyDescent="0.2">
      <c r="A57" s="1161" t="s">
        <v>157</v>
      </c>
      <c r="B57" s="1161">
        <v>1</v>
      </c>
      <c r="C57" s="1161" t="s">
        <v>135</v>
      </c>
      <c r="D57" s="1161" t="s">
        <v>3</v>
      </c>
      <c r="E57" s="1257">
        <v>973725</v>
      </c>
      <c r="F57" s="1161">
        <v>5</v>
      </c>
      <c r="G57" s="1161">
        <v>5866358</v>
      </c>
      <c r="H57" s="1161">
        <v>4</v>
      </c>
      <c r="I57" s="1161">
        <v>6</v>
      </c>
      <c r="J57" s="1161"/>
      <c r="K57" s="1161"/>
      <c r="L57" s="1161"/>
      <c r="M57" s="1161"/>
      <c r="N57" s="1161"/>
      <c r="O57" s="1161"/>
    </row>
    <row r="58" spans="1:15" s="352" customFormat="1" x14ac:dyDescent="0.2">
      <c r="A58" s="1161" t="s">
        <v>157</v>
      </c>
      <c r="B58" s="1161">
        <v>1</v>
      </c>
      <c r="C58" s="1161" t="s">
        <v>135</v>
      </c>
      <c r="D58" s="1161" t="s">
        <v>4</v>
      </c>
      <c r="E58" s="1257">
        <v>1068421</v>
      </c>
      <c r="F58" s="1161">
        <v>6</v>
      </c>
      <c r="G58" s="1161">
        <v>17636802</v>
      </c>
      <c r="H58" s="1161">
        <v>13</v>
      </c>
      <c r="I58" s="1161">
        <v>16.5</v>
      </c>
      <c r="J58" s="1161"/>
      <c r="K58" s="1161"/>
      <c r="L58" s="1161"/>
      <c r="M58" s="1161"/>
      <c r="N58" s="1161"/>
      <c r="O58" s="1161"/>
    </row>
    <row r="59" spans="1:15" s="352" customFormat="1" x14ac:dyDescent="0.2">
      <c r="A59" s="1161" t="s">
        <v>157</v>
      </c>
      <c r="B59" s="1161">
        <v>1</v>
      </c>
      <c r="C59" s="1161" t="s">
        <v>135</v>
      </c>
      <c r="D59" s="1161" t="s">
        <v>150</v>
      </c>
      <c r="E59" s="1257">
        <v>8613894</v>
      </c>
      <c r="F59" s="1161">
        <v>48</v>
      </c>
      <c r="G59" s="1161">
        <v>79598830</v>
      </c>
      <c r="H59" s="1161">
        <v>58</v>
      </c>
      <c r="I59" s="1161">
        <v>9.1999999999999993</v>
      </c>
      <c r="J59" s="1161"/>
      <c r="K59" s="1161"/>
      <c r="L59" s="1161"/>
      <c r="M59" s="1161"/>
      <c r="N59" s="1161"/>
      <c r="O59" s="1161"/>
    </row>
    <row r="60" spans="1:15" s="352" customFormat="1" x14ac:dyDescent="0.2">
      <c r="A60" s="1161" t="s">
        <v>157</v>
      </c>
      <c r="B60" s="1161">
        <v>1</v>
      </c>
      <c r="C60" s="1161" t="s">
        <v>135</v>
      </c>
      <c r="D60" s="1161" t="s">
        <v>151</v>
      </c>
      <c r="E60" s="1257">
        <v>3902854</v>
      </c>
      <c r="F60" s="1161">
        <v>22</v>
      </c>
      <c r="G60" s="1161">
        <v>28969769</v>
      </c>
      <c r="H60" s="1161">
        <v>21</v>
      </c>
      <c r="I60" s="1161">
        <v>7.4</v>
      </c>
      <c r="J60" s="1161"/>
      <c r="K60" s="1161"/>
      <c r="L60" s="1161"/>
      <c r="M60" s="1161"/>
      <c r="N60" s="1161"/>
      <c r="O60" s="1161"/>
    </row>
    <row r="61" spans="1:15" s="352" customFormat="1" x14ac:dyDescent="0.2">
      <c r="A61" s="1161" t="s">
        <v>157</v>
      </c>
      <c r="B61" s="1161">
        <v>1</v>
      </c>
      <c r="C61" s="1161" t="s">
        <v>135</v>
      </c>
      <c r="D61" s="1161" t="s">
        <v>152</v>
      </c>
      <c r="E61" s="1257">
        <v>3151123</v>
      </c>
      <c r="F61" s="1161">
        <v>17</v>
      </c>
      <c r="G61" s="1161">
        <v>2476774</v>
      </c>
      <c r="H61" s="1161">
        <v>2</v>
      </c>
      <c r="I61" s="1161">
        <v>0.8</v>
      </c>
      <c r="J61" s="1161"/>
      <c r="K61" s="1161"/>
      <c r="L61" s="1161"/>
      <c r="M61" s="1161"/>
      <c r="N61" s="1161"/>
      <c r="O61" s="1161"/>
    </row>
    <row r="62" spans="1:15" s="352" customFormat="1" x14ac:dyDescent="0.2">
      <c r="A62" s="1161" t="s">
        <v>157</v>
      </c>
      <c r="B62" s="1161">
        <v>3</v>
      </c>
      <c r="C62" s="1161" t="s">
        <v>153</v>
      </c>
      <c r="D62" s="1161" t="s">
        <v>2</v>
      </c>
      <c r="E62" s="1257">
        <v>49972</v>
      </c>
      <c r="F62" s="1161">
        <v>2</v>
      </c>
      <c r="G62" s="1161">
        <v>320994</v>
      </c>
      <c r="H62" s="1161">
        <v>2</v>
      </c>
      <c r="I62" s="1161">
        <v>6.4</v>
      </c>
      <c r="J62" s="1161"/>
      <c r="K62" s="1161"/>
      <c r="L62" s="1161"/>
      <c r="M62" s="1161"/>
      <c r="N62" s="1161"/>
      <c r="O62" s="1161"/>
    </row>
    <row r="63" spans="1:15" s="352" customFormat="1" x14ac:dyDescent="0.2">
      <c r="A63" s="1161" t="s">
        <v>157</v>
      </c>
      <c r="B63" s="1161">
        <v>3</v>
      </c>
      <c r="C63" s="1161" t="s">
        <v>153</v>
      </c>
      <c r="D63" s="1161" t="s">
        <v>3</v>
      </c>
      <c r="E63" s="1257">
        <v>61040</v>
      </c>
      <c r="F63" s="1161">
        <v>3</v>
      </c>
      <c r="G63" s="1161">
        <v>534472</v>
      </c>
      <c r="H63" s="1161">
        <v>3</v>
      </c>
      <c r="I63" s="1161">
        <v>8.8000000000000007</v>
      </c>
      <c r="J63" s="1161"/>
      <c r="K63" s="1161"/>
      <c r="L63" s="1161"/>
      <c r="M63" s="1161"/>
      <c r="N63" s="1161"/>
      <c r="O63" s="1161"/>
    </row>
    <row r="64" spans="1:15" s="352" customFormat="1" x14ac:dyDescent="0.2">
      <c r="A64" s="1161" t="s">
        <v>157</v>
      </c>
      <c r="B64" s="1161">
        <v>3</v>
      </c>
      <c r="C64" s="1161" t="s">
        <v>153</v>
      </c>
      <c r="D64" s="1161" t="s">
        <v>4</v>
      </c>
      <c r="E64" s="1257">
        <v>15659</v>
      </c>
      <c r="F64" s="1161">
        <v>1</v>
      </c>
      <c r="G64" s="1161">
        <v>570555</v>
      </c>
      <c r="H64" s="1161">
        <v>3</v>
      </c>
      <c r="I64" s="1161">
        <v>36.4</v>
      </c>
      <c r="J64" s="1161"/>
      <c r="K64" s="1161"/>
      <c r="L64" s="1161"/>
      <c r="M64" s="1161"/>
      <c r="N64" s="1161"/>
      <c r="O64" s="1161"/>
    </row>
    <row r="65" spans="1:15" s="352" customFormat="1" x14ac:dyDescent="0.2">
      <c r="A65" s="1161" t="s">
        <v>157</v>
      </c>
      <c r="B65" s="1161">
        <v>3</v>
      </c>
      <c r="C65" s="1161" t="s">
        <v>153</v>
      </c>
      <c r="D65" s="1161" t="s">
        <v>152</v>
      </c>
      <c r="E65" s="1257">
        <v>285768</v>
      </c>
      <c r="F65" s="1161">
        <v>13</v>
      </c>
      <c r="G65" s="1161">
        <v>201660</v>
      </c>
      <c r="H65" s="1161">
        <v>1</v>
      </c>
      <c r="I65" s="1161">
        <v>0.7</v>
      </c>
      <c r="J65" s="1161"/>
      <c r="K65" s="1161"/>
      <c r="L65" s="1161"/>
      <c r="M65" s="1161"/>
      <c r="N65" s="1161"/>
      <c r="O65" s="1161"/>
    </row>
    <row r="66" spans="1:15" s="352" customFormat="1" x14ac:dyDescent="0.2">
      <c r="A66" s="1161" t="s">
        <v>157</v>
      </c>
      <c r="B66" s="1161">
        <v>3</v>
      </c>
      <c r="C66" s="1161" t="s">
        <v>153</v>
      </c>
      <c r="D66" s="1161" t="s">
        <v>151</v>
      </c>
      <c r="E66" s="1257">
        <v>489779</v>
      </c>
      <c r="F66" s="1161">
        <v>22</v>
      </c>
      <c r="G66" s="1161">
        <v>4319561</v>
      </c>
      <c r="H66" s="1161">
        <v>22</v>
      </c>
      <c r="I66" s="1161">
        <v>8.8000000000000007</v>
      </c>
      <c r="J66" s="1161"/>
      <c r="K66" s="1161"/>
      <c r="L66" s="1161"/>
      <c r="M66" s="1161"/>
      <c r="N66" s="1161"/>
      <c r="O66" s="1161"/>
    </row>
    <row r="67" spans="1:15" s="352" customFormat="1" x14ac:dyDescent="0.2">
      <c r="A67" s="1161" t="s">
        <v>157</v>
      </c>
      <c r="B67" s="1161">
        <v>3</v>
      </c>
      <c r="C67" s="1161" t="s">
        <v>153</v>
      </c>
      <c r="D67" s="1161" t="s">
        <v>150</v>
      </c>
      <c r="E67" s="1257">
        <v>1319760</v>
      </c>
      <c r="F67" s="1161">
        <v>59</v>
      </c>
      <c r="G67" s="1161">
        <v>13551323</v>
      </c>
      <c r="H67" s="1161">
        <v>69</v>
      </c>
      <c r="I67" s="1161">
        <v>10.3</v>
      </c>
      <c r="J67" s="1161"/>
      <c r="K67" s="1161"/>
      <c r="L67" s="1161"/>
      <c r="M67" s="1161"/>
      <c r="N67" s="1161"/>
      <c r="O67" s="1161"/>
    </row>
    <row r="68" spans="1:15" s="352" customFormat="1" x14ac:dyDescent="0.2">
      <c r="A68" s="1161" t="s">
        <v>157</v>
      </c>
      <c r="B68" s="1161">
        <v>5</v>
      </c>
      <c r="C68" s="1161" t="s">
        <v>154</v>
      </c>
      <c r="D68" s="1161" t="s">
        <v>3</v>
      </c>
      <c r="E68" s="1257">
        <v>35265</v>
      </c>
      <c r="F68" s="1161">
        <v>2</v>
      </c>
      <c r="G68" s="1161">
        <v>285959</v>
      </c>
      <c r="H68" s="1161">
        <v>2</v>
      </c>
      <c r="I68" s="1161">
        <v>8.1</v>
      </c>
      <c r="J68" s="1161"/>
      <c r="K68" s="1161"/>
      <c r="L68" s="1161"/>
      <c r="M68" s="1161"/>
      <c r="N68" s="1161"/>
      <c r="O68" s="1161"/>
    </row>
    <row r="69" spans="1:15" s="352" customFormat="1" x14ac:dyDescent="0.2">
      <c r="A69" s="1161" t="s">
        <v>157</v>
      </c>
      <c r="B69" s="1161">
        <v>5</v>
      </c>
      <c r="C69" s="1161" t="s">
        <v>154</v>
      </c>
      <c r="D69" s="1161" t="s">
        <v>2</v>
      </c>
      <c r="E69" s="1257">
        <v>39591</v>
      </c>
      <c r="F69" s="1161">
        <v>2</v>
      </c>
      <c r="G69" s="1161">
        <v>234655</v>
      </c>
      <c r="H69" s="1161">
        <v>1</v>
      </c>
      <c r="I69" s="1161">
        <v>5.9</v>
      </c>
      <c r="J69" s="1161"/>
      <c r="K69" s="1161"/>
      <c r="L69" s="1161"/>
      <c r="M69" s="1161"/>
      <c r="N69" s="1161"/>
      <c r="O69" s="1161"/>
    </row>
    <row r="70" spans="1:15" s="352" customFormat="1" x14ac:dyDescent="0.2">
      <c r="A70" s="1161" t="s">
        <v>157</v>
      </c>
      <c r="B70" s="1161">
        <v>5</v>
      </c>
      <c r="C70" s="1161" t="s">
        <v>154</v>
      </c>
      <c r="D70" s="1161" t="s">
        <v>151</v>
      </c>
      <c r="E70" s="1257">
        <v>392438</v>
      </c>
      <c r="F70" s="1161">
        <v>23</v>
      </c>
      <c r="G70" s="1161">
        <v>4623682</v>
      </c>
      <c r="H70" s="1161">
        <v>26</v>
      </c>
      <c r="I70" s="1161">
        <v>11.8</v>
      </c>
      <c r="J70" s="1161"/>
      <c r="K70" s="1161"/>
      <c r="L70" s="1161"/>
      <c r="M70" s="1161"/>
      <c r="N70" s="1161"/>
      <c r="O70" s="1161"/>
    </row>
    <row r="71" spans="1:15" s="352" customFormat="1" x14ac:dyDescent="0.2">
      <c r="A71" s="1161" t="s">
        <v>157</v>
      </c>
      <c r="B71" s="1161">
        <v>5</v>
      </c>
      <c r="C71" s="1161" t="s">
        <v>154</v>
      </c>
      <c r="D71" s="1161" t="s">
        <v>150</v>
      </c>
      <c r="E71" s="1257">
        <v>953497</v>
      </c>
      <c r="F71" s="1161">
        <v>56</v>
      </c>
      <c r="G71" s="1161">
        <v>11184580</v>
      </c>
      <c r="H71" s="1161">
        <v>64</v>
      </c>
      <c r="I71" s="1161">
        <v>11.7</v>
      </c>
      <c r="J71" s="1161"/>
      <c r="K71" s="1161"/>
      <c r="L71" s="1161"/>
      <c r="M71" s="1161"/>
      <c r="N71" s="1161"/>
      <c r="O71" s="1161"/>
    </row>
    <row r="72" spans="1:15" s="352" customFormat="1" x14ac:dyDescent="0.2">
      <c r="A72" s="1161" t="s">
        <v>157</v>
      </c>
      <c r="B72" s="1161">
        <v>5</v>
      </c>
      <c r="C72" s="1161" t="s">
        <v>154</v>
      </c>
      <c r="D72" s="1161" t="s">
        <v>4</v>
      </c>
      <c r="E72" s="1257">
        <v>21287</v>
      </c>
      <c r="F72" s="1161">
        <v>1</v>
      </c>
      <c r="G72" s="1161">
        <v>955412</v>
      </c>
      <c r="H72" s="1161">
        <v>5</v>
      </c>
      <c r="I72" s="1161">
        <v>44.9</v>
      </c>
      <c r="J72" s="1161"/>
      <c r="K72" s="1161"/>
      <c r="L72" s="1161"/>
      <c r="M72" s="1161"/>
      <c r="N72" s="1161"/>
      <c r="O72" s="1161"/>
    </row>
    <row r="73" spans="1:15" s="352" customFormat="1" x14ac:dyDescent="0.2">
      <c r="A73" s="1161" t="s">
        <v>157</v>
      </c>
      <c r="B73" s="1161">
        <v>5</v>
      </c>
      <c r="C73" s="1161" t="s">
        <v>154</v>
      </c>
      <c r="D73" s="1161" t="s">
        <v>152</v>
      </c>
      <c r="E73" s="1257">
        <v>253254</v>
      </c>
      <c r="F73" s="1161">
        <v>15</v>
      </c>
      <c r="G73" s="1161">
        <v>210204</v>
      </c>
      <c r="H73" s="1161">
        <v>1</v>
      </c>
      <c r="I73" s="1161">
        <v>0.8</v>
      </c>
      <c r="J73" s="1161"/>
      <c r="K73" s="1161"/>
      <c r="L73" s="1161"/>
      <c r="M73" s="1161"/>
      <c r="N73" s="1161"/>
      <c r="O73" s="1161"/>
    </row>
    <row r="74" spans="1:15" s="352" customFormat="1" x14ac:dyDescent="0.2">
      <c r="A74" s="1161" t="s">
        <v>158</v>
      </c>
      <c r="B74" s="1161">
        <v>1</v>
      </c>
      <c r="C74" s="1161" t="s">
        <v>135</v>
      </c>
      <c r="D74" s="1161" t="s">
        <v>2</v>
      </c>
      <c r="E74" s="1257">
        <v>358669</v>
      </c>
      <c r="F74" s="1161">
        <v>2</v>
      </c>
      <c r="G74" s="1161">
        <v>2594443</v>
      </c>
      <c r="H74" s="1161">
        <v>2</v>
      </c>
      <c r="I74" s="1161">
        <v>7.2</v>
      </c>
      <c r="J74" s="1161"/>
      <c r="K74" s="1161"/>
      <c r="L74" s="1161"/>
      <c r="M74" s="1161"/>
      <c r="N74" s="1161"/>
      <c r="O74" s="1161"/>
    </row>
    <row r="75" spans="1:15" s="352" customFormat="1" x14ac:dyDescent="0.2">
      <c r="A75" s="1161" t="s">
        <v>158</v>
      </c>
      <c r="B75" s="1161">
        <v>1</v>
      </c>
      <c r="C75" s="1161" t="s">
        <v>135</v>
      </c>
      <c r="D75" s="1161" t="s">
        <v>3</v>
      </c>
      <c r="E75" s="1257">
        <v>946063</v>
      </c>
      <c r="F75" s="1161">
        <v>5</v>
      </c>
      <c r="G75" s="1161">
        <v>5807949</v>
      </c>
      <c r="H75" s="1161">
        <v>4</v>
      </c>
      <c r="I75" s="1161">
        <v>6.1</v>
      </c>
      <c r="J75" s="1161"/>
      <c r="K75" s="1161"/>
      <c r="L75" s="1161"/>
      <c r="M75" s="1161"/>
      <c r="N75" s="1161"/>
      <c r="O75" s="1161"/>
    </row>
    <row r="76" spans="1:15" s="352" customFormat="1" x14ac:dyDescent="0.2">
      <c r="A76" s="1161" t="s">
        <v>158</v>
      </c>
      <c r="B76" s="1161">
        <v>1</v>
      </c>
      <c r="C76" s="1161" t="s">
        <v>135</v>
      </c>
      <c r="D76" s="1161" t="s">
        <v>4</v>
      </c>
      <c r="E76" s="1257">
        <v>1026065</v>
      </c>
      <c r="F76" s="1161">
        <v>6</v>
      </c>
      <c r="G76" s="1161">
        <v>17410198</v>
      </c>
      <c r="H76" s="1161">
        <v>13</v>
      </c>
      <c r="I76" s="1161">
        <v>17</v>
      </c>
      <c r="J76" s="1161"/>
      <c r="K76" s="1161"/>
      <c r="L76" s="1161"/>
      <c r="M76" s="1161"/>
      <c r="N76" s="1161"/>
      <c r="O76" s="1161"/>
    </row>
    <row r="77" spans="1:15" s="352" customFormat="1" x14ac:dyDescent="0.2">
      <c r="A77" s="1161" t="s">
        <v>158</v>
      </c>
      <c r="B77" s="1161">
        <v>1</v>
      </c>
      <c r="C77" s="1161" t="s">
        <v>135</v>
      </c>
      <c r="D77" s="1161" t="s">
        <v>150</v>
      </c>
      <c r="E77" s="1257">
        <v>8448073</v>
      </c>
      <c r="F77" s="1161">
        <v>48</v>
      </c>
      <c r="G77" s="1161">
        <v>81017208</v>
      </c>
      <c r="H77" s="1161">
        <v>58</v>
      </c>
      <c r="I77" s="1161">
        <v>9.6</v>
      </c>
      <c r="J77" s="1161"/>
      <c r="K77" s="1161"/>
      <c r="L77" s="1161"/>
      <c r="M77" s="1161"/>
      <c r="N77" s="1161"/>
      <c r="O77" s="1161"/>
    </row>
    <row r="78" spans="1:15" s="352" customFormat="1" x14ac:dyDescent="0.2">
      <c r="A78" s="1161" t="s">
        <v>158</v>
      </c>
      <c r="B78" s="1161">
        <v>1</v>
      </c>
      <c r="C78" s="1161" t="s">
        <v>135</v>
      </c>
      <c r="D78" s="1161" t="s">
        <v>151</v>
      </c>
      <c r="E78" s="1257">
        <v>3856835</v>
      </c>
      <c r="F78" s="1161">
        <v>22</v>
      </c>
      <c r="G78" s="1161">
        <v>29411395</v>
      </c>
      <c r="H78" s="1161">
        <v>21</v>
      </c>
      <c r="I78" s="1161">
        <v>7.6</v>
      </c>
      <c r="J78" s="1161"/>
      <c r="K78" s="1161"/>
      <c r="L78" s="1161"/>
      <c r="M78" s="1161"/>
      <c r="N78" s="1161"/>
      <c r="O78" s="1161"/>
    </row>
    <row r="79" spans="1:15" s="352" customFormat="1" x14ac:dyDescent="0.2">
      <c r="A79" s="1161" t="s">
        <v>158</v>
      </c>
      <c r="B79" s="1161">
        <v>1</v>
      </c>
      <c r="C79" s="1161" t="s">
        <v>135</v>
      </c>
      <c r="D79" s="1161" t="s">
        <v>152</v>
      </c>
      <c r="E79" s="1257">
        <v>3074267</v>
      </c>
      <c r="F79" s="1161">
        <v>17</v>
      </c>
      <c r="G79" s="1161">
        <v>2347525</v>
      </c>
      <c r="H79" s="1161">
        <v>2</v>
      </c>
      <c r="I79" s="1161">
        <v>0.8</v>
      </c>
      <c r="J79" s="1161"/>
      <c r="K79" s="1161"/>
      <c r="L79" s="1161"/>
      <c r="M79" s="1161"/>
      <c r="N79" s="1161"/>
      <c r="O79" s="1161"/>
    </row>
    <row r="80" spans="1:15" s="352" customFormat="1" x14ac:dyDescent="0.2">
      <c r="A80" s="1161" t="s">
        <v>158</v>
      </c>
      <c r="B80" s="1161">
        <v>3</v>
      </c>
      <c r="C80" s="1161" t="s">
        <v>153</v>
      </c>
      <c r="D80" s="1161" t="s">
        <v>2</v>
      </c>
      <c r="E80" s="1257">
        <v>42260</v>
      </c>
      <c r="F80" s="1161">
        <v>2</v>
      </c>
      <c r="G80" s="1161">
        <v>417318</v>
      </c>
      <c r="H80" s="1161">
        <v>2</v>
      </c>
      <c r="I80" s="1161">
        <v>9.9</v>
      </c>
      <c r="J80" s="1161"/>
      <c r="K80" s="1161"/>
      <c r="L80" s="1161"/>
      <c r="M80" s="1161"/>
      <c r="N80" s="1161"/>
      <c r="O80" s="1161"/>
    </row>
    <row r="81" spans="1:15" s="352" customFormat="1" x14ac:dyDescent="0.2">
      <c r="A81" s="1161" t="s">
        <v>158</v>
      </c>
      <c r="B81" s="1161">
        <v>3</v>
      </c>
      <c r="C81" s="1161" t="s">
        <v>153</v>
      </c>
      <c r="D81" s="1161" t="s">
        <v>3</v>
      </c>
      <c r="E81" s="1257">
        <v>61121</v>
      </c>
      <c r="F81" s="1161">
        <v>3</v>
      </c>
      <c r="G81" s="1161">
        <v>557220</v>
      </c>
      <c r="H81" s="1161">
        <v>3</v>
      </c>
      <c r="I81" s="1161">
        <v>9.1</v>
      </c>
      <c r="J81" s="1161"/>
      <c r="K81" s="1161"/>
      <c r="L81" s="1161"/>
      <c r="M81" s="1161"/>
      <c r="N81" s="1161"/>
      <c r="O81" s="1161"/>
    </row>
    <row r="82" spans="1:15" s="352" customFormat="1" x14ac:dyDescent="0.2">
      <c r="A82" s="1161" t="s">
        <v>158</v>
      </c>
      <c r="B82" s="1161">
        <v>3</v>
      </c>
      <c r="C82" s="1161" t="s">
        <v>153</v>
      </c>
      <c r="D82" s="1161" t="s">
        <v>4</v>
      </c>
      <c r="E82" s="1257">
        <v>15200</v>
      </c>
      <c r="F82" s="1161">
        <v>1</v>
      </c>
      <c r="G82" s="1161">
        <v>467718</v>
      </c>
      <c r="H82" s="1161">
        <v>2</v>
      </c>
      <c r="I82" s="1161">
        <v>30.8</v>
      </c>
      <c r="J82" s="1161"/>
      <c r="K82" s="1161"/>
      <c r="L82" s="1161"/>
      <c r="M82" s="1161"/>
      <c r="N82" s="1161"/>
      <c r="O82" s="1161"/>
    </row>
    <row r="83" spans="1:15" s="352" customFormat="1" x14ac:dyDescent="0.2">
      <c r="A83" s="1161" t="s">
        <v>158</v>
      </c>
      <c r="B83" s="1161">
        <v>3</v>
      </c>
      <c r="C83" s="1161" t="s">
        <v>153</v>
      </c>
      <c r="D83" s="1161" t="s">
        <v>152</v>
      </c>
      <c r="E83" s="1257">
        <v>280267</v>
      </c>
      <c r="F83" s="1161">
        <v>13</v>
      </c>
      <c r="G83" s="1161">
        <v>176967</v>
      </c>
      <c r="H83" s="1161">
        <v>1</v>
      </c>
      <c r="I83" s="1161">
        <v>0.6</v>
      </c>
      <c r="J83" s="1161"/>
      <c r="K83" s="1161"/>
      <c r="L83" s="1161"/>
      <c r="M83" s="1161"/>
      <c r="N83" s="1161"/>
      <c r="O83" s="1161"/>
    </row>
    <row r="84" spans="1:15" s="352" customFormat="1" x14ac:dyDescent="0.2">
      <c r="A84" s="1161" t="s">
        <v>158</v>
      </c>
      <c r="B84" s="1161">
        <v>3</v>
      </c>
      <c r="C84" s="1161" t="s">
        <v>153</v>
      </c>
      <c r="D84" s="1161" t="s">
        <v>151</v>
      </c>
      <c r="E84" s="1257">
        <v>507138</v>
      </c>
      <c r="F84" s="1161">
        <v>23</v>
      </c>
      <c r="G84" s="1161">
        <v>4722200</v>
      </c>
      <c r="H84" s="1161">
        <v>23</v>
      </c>
      <c r="I84" s="1161">
        <v>9.3000000000000007</v>
      </c>
      <c r="J84" s="1161"/>
      <c r="K84" s="1161"/>
      <c r="L84" s="1161"/>
      <c r="M84" s="1161"/>
      <c r="N84" s="1161"/>
      <c r="O84" s="1161"/>
    </row>
    <row r="85" spans="1:15" s="352" customFormat="1" x14ac:dyDescent="0.2">
      <c r="A85" s="1161" t="s">
        <v>158</v>
      </c>
      <c r="B85" s="1161">
        <v>3</v>
      </c>
      <c r="C85" s="1161" t="s">
        <v>153</v>
      </c>
      <c r="D85" s="1161" t="s">
        <v>150</v>
      </c>
      <c r="E85" s="1257">
        <v>1281947</v>
      </c>
      <c r="F85" s="1161">
        <v>59</v>
      </c>
      <c r="G85" s="1161">
        <v>13801672</v>
      </c>
      <c r="H85" s="1161">
        <v>69</v>
      </c>
      <c r="I85" s="1161">
        <v>10.8</v>
      </c>
      <c r="J85" s="1161"/>
      <c r="K85" s="1161"/>
      <c r="L85" s="1161"/>
      <c r="M85" s="1161"/>
      <c r="N85" s="1161"/>
      <c r="O85" s="1161"/>
    </row>
    <row r="86" spans="1:15" s="352" customFormat="1" x14ac:dyDescent="0.2">
      <c r="A86" s="1161" t="s">
        <v>158</v>
      </c>
      <c r="B86" s="1161">
        <v>5</v>
      </c>
      <c r="C86" s="1161" t="s">
        <v>154</v>
      </c>
      <c r="D86" s="1161" t="s">
        <v>3</v>
      </c>
      <c r="E86" s="1257">
        <v>38120</v>
      </c>
      <c r="F86" s="1161">
        <v>2</v>
      </c>
      <c r="G86" s="1161">
        <v>319555</v>
      </c>
      <c r="H86" s="1161">
        <v>2</v>
      </c>
      <c r="I86" s="1161">
        <v>8.4</v>
      </c>
      <c r="J86" s="1161"/>
      <c r="K86" s="1161"/>
      <c r="L86" s="1161"/>
      <c r="M86" s="1161"/>
      <c r="N86" s="1161"/>
      <c r="O86" s="1161"/>
    </row>
    <row r="87" spans="1:15" s="352" customFormat="1" x14ac:dyDescent="0.2">
      <c r="A87" s="1161" t="s">
        <v>158</v>
      </c>
      <c r="B87" s="1161">
        <v>5</v>
      </c>
      <c r="C87" s="1161" t="s">
        <v>154</v>
      </c>
      <c r="D87" s="1161" t="s">
        <v>2</v>
      </c>
      <c r="E87" s="1257">
        <v>29677</v>
      </c>
      <c r="F87" s="1161">
        <v>2</v>
      </c>
      <c r="G87" s="1161">
        <v>161757</v>
      </c>
      <c r="H87" s="1161">
        <v>1</v>
      </c>
      <c r="I87" s="1161">
        <v>5.5</v>
      </c>
      <c r="J87" s="1161"/>
      <c r="K87" s="1161"/>
      <c r="L87" s="1161"/>
      <c r="M87" s="1161"/>
      <c r="N87" s="1161"/>
      <c r="O87" s="1161"/>
    </row>
    <row r="88" spans="1:15" s="352" customFormat="1" x14ac:dyDescent="0.2">
      <c r="A88" s="1161" t="s">
        <v>158</v>
      </c>
      <c r="B88" s="1161">
        <v>5</v>
      </c>
      <c r="C88" s="1161" t="s">
        <v>154</v>
      </c>
      <c r="D88" s="1161" t="s">
        <v>151</v>
      </c>
      <c r="E88" s="1257">
        <v>409331</v>
      </c>
      <c r="F88" s="1161">
        <v>23</v>
      </c>
      <c r="G88" s="1161">
        <v>4183121</v>
      </c>
      <c r="H88" s="1161">
        <v>25</v>
      </c>
      <c r="I88" s="1161">
        <v>10.199999999999999</v>
      </c>
      <c r="J88" s="1161"/>
      <c r="K88" s="1161"/>
      <c r="L88" s="1161"/>
      <c r="M88" s="1161"/>
      <c r="N88" s="1161"/>
      <c r="O88" s="1161"/>
    </row>
    <row r="89" spans="1:15" s="352" customFormat="1" x14ac:dyDescent="0.2">
      <c r="A89" s="1161" t="s">
        <v>158</v>
      </c>
      <c r="B89" s="1161">
        <v>5</v>
      </c>
      <c r="C89" s="1161" t="s">
        <v>154</v>
      </c>
      <c r="D89" s="1161" t="s">
        <v>150</v>
      </c>
      <c r="E89" s="1257">
        <v>1014252</v>
      </c>
      <c r="F89" s="1161">
        <v>57</v>
      </c>
      <c r="G89" s="1161">
        <v>11291909</v>
      </c>
      <c r="H89" s="1161">
        <v>66</v>
      </c>
      <c r="I89" s="1161">
        <v>11.1</v>
      </c>
      <c r="J89" s="1161"/>
      <c r="K89" s="1161"/>
      <c r="L89" s="1161"/>
      <c r="M89" s="1161"/>
      <c r="N89" s="1161"/>
      <c r="O89" s="1161"/>
    </row>
    <row r="90" spans="1:15" s="352" customFormat="1" x14ac:dyDescent="0.2">
      <c r="A90" s="1161" t="s">
        <v>158</v>
      </c>
      <c r="B90" s="1161">
        <v>5</v>
      </c>
      <c r="C90" s="1161" t="s">
        <v>154</v>
      </c>
      <c r="D90" s="1161" t="s">
        <v>4</v>
      </c>
      <c r="E90" s="1257">
        <v>19238</v>
      </c>
      <c r="F90" s="1161">
        <v>1</v>
      </c>
      <c r="G90" s="1161">
        <v>853254</v>
      </c>
      <c r="H90" s="1161">
        <v>5</v>
      </c>
      <c r="I90" s="1161">
        <v>44.4</v>
      </c>
      <c r="J90" s="1161"/>
      <c r="K90" s="1161"/>
      <c r="L90" s="1161"/>
      <c r="M90" s="1161"/>
      <c r="N90" s="1161"/>
      <c r="O90" s="1161"/>
    </row>
    <row r="91" spans="1:15" s="352" customFormat="1" x14ac:dyDescent="0.2">
      <c r="A91" s="1161" t="s">
        <v>158</v>
      </c>
      <c r="B91" s="1161">
        <v>5</v>
      </c>
      <c r="C91" s="1161" t="s">
        <v>154</v>
      </c>
      <c r="D91" s="1161" t="s">
        <v>152</v>
      </c>
      <c r="E91" s="1257">
        <v>263638</v>
      </c>
      <c r="F91" s="1161">
        <v>15</v>
      </c>
      <c r="G91" s="1161">
        <v>207964</v>
      </c>
      <c r="H91" s="1161">
        <v>1</v>
      </c>
      <c r="I91" s="1161">
        <v>0.8</v>
      </c>
      <c r="J91" s="1161"/>
      <c r="K91" s="1161"/>
      <c r="L91" s="1161"/>
      <c r="M91" s="1161"/>
      <c r="N91" s="1161"/>
      <c r="O91" s="1161"/>
    </row>
    <row r="92" spans="1:15" s="352" customFormat="1" x14ac:dyDescent="0.2">
      <c r="A92" s="1161" t="s">
        <v>159</v>
      </c>
      <c r="B92" s="1161">
        <v>1</v>
      </c>
      <c r="C92" s="1161" t="s">
        <v>135</v>
      </c>
      <c r="D92" s="1161" t="s">
        <v>3</v>
      </c>
      <c r="E92" s="1257">
        <v>959624</v>
      </c>
      <c r="F92" s="1161">
        <v>5</v>
      </c>
      <c r="G92" s="1161">
        <v>6271960</v>
      </c>
      <c r="H92" s="1161">
        <v>4</v>
      </c>
      <c r="I92" s="1161">
        <v>6.5</v>
      </c>
      <c r="J92" s="1161"/>
      <c r="K92" s="1161"/>
      <c r="L92" s="1161"/>
      <c r="M92" s="1161"/>
      <c r="N92" s="1161"/>
      <c r="O92" s="1161"/>
    </row>
    <row r="93" spans="1:15" s="352" customFormat="1" x14ac:dyDescent="0.2">
      <c r="A93" s="1161" t="s">
        <v>159</v>
      </c>
      <c r="B93" s="1161">
        <v>1</v>
      </c>
      <c r="C93" s="1161" t="s">
        <v>135</v>
      </c>
      <c r="D93" s="1161" t="s">
        <v>2</v>
      </c>
      <c r="E93" s="1257">
        <v>347902</v>
      </c>
      <c r="F93" s="1161">
        <v>2</v>
      </c>
      <c r="G93" s="1161">
        <v>2695438</v>
      </c>
      <c r="H93" s="1161">
        <v>2</v>
      </c>
      <c r="I93" s="1161">
        <v>7.7</v>
      </c>
      <c r="J93" s="1161"/>
      <c r="K93" s="1161"/>
      <c r="L93" s="1161"/>
      <c r="M93" s="1161"/>
      <c r="N93" s="1161"/>
      <c r="O93" s="1161"/>
    </row>
    <row r="94" spans="1:15" s="352" customFormat="1" x14ac:dyDescent="0.2">
      <c r="A94" s="1161" t="s">
        <v>159</v>
      </c>
      <c r="B94" s="1161">
        <v>1</v>
      </c>
      <c r="C94" s="1161" t="s">
        <v>135</v>
      </c>
      <c r="D94" s="1161" t="s">
        <v>152</v>
      </c>
      <c r="E94" s="1257">
        <v>3076347</v>
      </c>
      <c r="F94" s="1161">
        <v>18</v>
      </c>
      <c r="G94" s="1161">
        <v>2385274</v>
      </c>
      <c r="H94" s="1161">
        <v>2</v>
      </c>
      <c r="I94" s="1161">
        <v>0.8</v>
      </c>
      <c r="J94" s="1161"/>
      <c r="K94" s="1161"/>
      <c r="L94" s="1161"/>
      <c r="M94" s="1161"/>
      <c r="N94" s="1161"/>
      <c r="O94" s="1161"/>
    </row>
    <row r="95" spans="1:15" s="352" customFormat="1" x14ac:dyDescent="0.2">
      <c r="A95" s="1161" t="s">
        <v>159</v>
      </c>
      <c r="B95" s="1161">
        <v>1</v>
      </c>
      <c r="C95" s="1161" t="s">
        <v>135</v>
      </c>
      <c r="D95" s="1161" t="s">
        <v>150</v>
      </c>
      <c r="E95" s="1257">
        <v>8286237</v>
      </c>
      <c r="F95" s="1161">
        <v>47</v>
      </c>
      <c r="G95" s="1161">
        <v>83541142</v>
      </c>
      <c r="H95" s="1161">
        <v>59</v>
      </c>
      <c r="I95" s="1161">
        <v>10.1</v>
      </c>
      <c r="J95" s="1161"/>
      <c r="K95" s="1161"/>
      <c r="L95" s="1161"/>
      <c r="M95" s="1161"/>
      <c r="N95" s="1161"/>
      <c r="O95" s="1161"/>
    </row>
    <row r="96" spans="1:15" s="352" customFormat="1" x14ac:dyDescent="0.2">
      <c r="A96" s="1161" t="s">
        <v>159</v>
      </c>
      <c r="B96" s="1161">
        <v>1</v>
      </c>
      <c r="C96" s="1161" t="s">
        <v>135</v>
      </c>
      <c r="D96" s="1161" t="s">
        <v>151</v>
      </c>
      <c r="E96" s="1257">
        <v>3812211</v>
      </c>
      <c r="F96" s="1161">
        <v>22</v>
      </c>
      <c r="G96" s="1161">
        <v>30641134</v>
      </c>
      <c r="H96" s="1161">
        <v>22</v>
      </c>
      <c r="I96" s="1161">
        <v>8</v>
      </c>
      <c r="J96" s="1161"/>
      <c r="K96" s="1161"/>
      <c r="L96" s="1161"/>
      <c r="M96" s="1161"/>
      <c r="N96" s="1161"/>
      <c r="O96" s="1161"/>
    </row>
    <row r="97" spans="1:15" s="352" customFormat="1" x14ac:dyDescent="0.2">
      <c r="A97" s="1161" t="s">
        <v>159</v>
      </c>
      <c r="B97" s="1161">
        <v>1</v>
      </c>
      <c r="C97" s="1161" t="s">
        <v>135</v>
      </c>
      <c r="D97" s="1161" t="s">
        <v>4</v>
      </c>
      <c r="E97" s="1257">
        <v>972459</v>
      </c>
      <c r="F97" s="1161">
        <v>6</v>
      </c>
      <c r="G97" s="1161">
        <v>16212468</v>
      </c>
      <c r="H97" s="1161">
        <v>11</v>
      </c>
      <c r="I97" s="1161">
        <v>16.7</v>
      </c>
      <c r="J97" s="1161"/>
      <c r="K97" s="1161"/>
      <c r="L97" s="1161"/>
      <c r="M97" s="1161"/>
      <c r="N97" s="1161"/>
      <c r="O97" s="1161"/>
    </row>
    <row r="98" spans="1:15" s="352" customFormat="1" x14ac:dyDescent="0.2">
      <c r="A98" s="1161" t="s">
        <v>159</v>
      </c>
      <c r="B98" s="1161">
        <v>3</v>
      </c>
      <c r="C98" s="1161" t="s">
        <v>153</v>
      </c>
      <c r="D98" s="1161" t="s">
        <v>3</v>
      </c>
      <c r="E98" s="1257">
        <v>58407</v>
      </c>
      <c r="F98" s="1161">
        <v>3</v>
      </c>
      <c r="G98" s="1161">
        <v>555419</v>
      </c>
      <c r="H98" s="1161">
        <v>3</v>
      </c>
      <c r="I98" s="1161">
        <v>9.5</v>
      </c>
      <c r="J98" s="1161"/>
      <c r="K98" s="1161"/>
      <c r="L98" s="1161"/>
      <c r="M98" s="1161"/>
      <c r="N98" s="1161"/>
      <c r="O98" s="1161"/>
    </row>
    <row r="99" spans="1:15" s="352" customFormat="1" x14ac:dyDescent="0.2">
      <c r="A99" s="1161" t="s">
        <v>159</v>
      </c>
      <c r="B99" s="1161">
        <v>3</v>
      </c>
      <c r="C99" s="1161" t="s">
        <v>153</v>
      </c>
      <c r="D99" s="1161" t="s">
        <v>2</v>
      </c>
      <c r="E99" s="1257">
        <v>38142</v>
      </c>
      <c r="F99" s="1161">
        <v>2</v>
      </c>
      <c r="G99" s="1161">
        <v>406869</v>
      </c>
      <c r="H99" s="1161">
        <v>2</v>
      </c>
      <c r="I99" s="1161">
        <v>10.7</v>
      </c>
      <c r="J99" s="1161"/>
      <c r="K99" s="1161"/>
      <c r="L99" s="1161"/>
      <c r="M99" s="1161"/>
      <c r="N99" s="1161"/>
      <c r="O99" s="1161"/>
    </row>
    <row r="100" spans="1:15" s="352" customFormat="1" x14ac:dyDescent="0.2">
      <c r="A100" s="1161" t="s">
        <v>159</v>
      </c>
      <c r="B100" s="1161">
        <v>3</v>
      </c>
      <c r="C100" s="1161" t="s">
        <v>153</v>
      </c>
      <c r="D100" s="1161" t="s">
        <v>4</v>
      </c>
      <c r="E100" s="1257">
        <v>13649</v>
      </c>
      <c r="F100" s="1161">
        <v>1</v>
      </c>
      <c r="G100" s="1161">
        <v>355551</v>
      </c>
      <c r="H100" s="1161">
        <v>2</v>
      </c>
      <c r="I100" s="1161">
        <v>26</v>
      </c>
      <c r="J100" s="1161"/>
      <c r="K100" s="1161"/>
      <c r="L100" s="1161"/>
      <c r="M100" s="1161"/>
      <c r="N100" s="1161"/>
      <c r="O100" s="1161"/>
    </row>
    <row r="101" spans="1:15" s="352" customFormat="1" x14ac:dyDescent="0.2">
      <c r="A101" s="1161" t="s">
        <v>159</v>
      </c>
      <c r="B101" s="1161">
        <v>3</v>
      </c>
      <c r="C101" s="1161" t="s">
        <v>153</v>
      </c>
      <c r="D101" s="1161" t="s">
        <v>150</v>
      </c>
      <c r="E101" s="1257">
        <v>1251233</v>
      </c>
      <c r="F101" s="1161">
        <v>60</v>
      </c>
      <c r="G101" s="1161">
        <v>14483407</v>
      </c>
      <c r="H101" s="1161">
        <v>70</v>
      </c>
      <c r="I101" s="1161">
        <v>11.6</v>
      </c>
      <c r="J101" s="1161"/>
      <c r="K101" s="1161"/>
      <c r="L101" s="1161"/>
      <c r="M101" s="1161"/>
      <c r="N101" s="1161"/>
      <c r="O101" s="1161"/>
    </row>
    <row r="102" spans="1:15" s="352" customFormat="1" x14ac:dyDescent="0.2">
      <c r="A102" s="1161" t="s">
        <v>159</v>
      </c>
      <c r="B102" s="1161">
        <v>3</v>
      </c>
      <c r="C102" s="1161" t="s">
        <v>153</v>
      </c>
      <c r="D102" s="1161" t="s">
        <v>151</v>
      </c>
      <c r="E102" s="1257">
        <v>477031</v>
      </c>
      <c r="F102" s="1161">
        <v>23</v>
      </c>
      <c r="G102" s="1161">
        <v>4732889</v>
      </c>
      <c r="H102" s="1161">
        <v>23</v>
      </c>
      <c r="I102" s="1161">
        <v>9.9</v>
      </c>
      <c r="J102" s="1161"/>
      <c r="K102" s="1161"/>
      <c r="L102" s="1161"/>
      <c r="M102" s="1161"/>
      <c r="N102" s="1161"/>
      <c r="O102" s="1161"/>
    </row>
    <row r="103" spans="1:15" s="352" customFormat="1" x14ac:dyDescent="0.2">
      <c r="A103" s="1161" t="s">
        <v>159</v>
      </c>
      <c r="B103" s="1161">
        <v>3</v>
      </c>
      <c r="C103" s="1161" t="s">
        <v>153</v>
      </c>
      <c r="D103" s="1161" t="s">
        <v>152</v>
      </c>
      <c r="E103" s="1257">
        <v>260588</v>
      </c>
      <c r="F103" s="1161">
        <v>12</v>
      </c>
      <c r="G103" s="1161">
        <v>180936</v>
      </c>
      <c r="H103" s="1161">
        <v>1</v>
      </c>
      <c r="I103" s="1161">
        <v>0.7</v>
      </c>
      <c r="J103" s="1161"/>
      <c r="K103" s="1161"/>
      <c r="L103" s="1161"/>
      <c r="M103" s="1161"/>
      <c r="N103" s="1161"/>
      <c r="O103" s="1161"/>
    </row>
    <row r="104" spans="1:15" s="352" customFormat="1" x14ac:dyDescent="0.2">
      <c r="A104" s="1161" t="s">
        <v>159</v>
      </c>
      <c r="B104" s="1161">
        <v>5</v>
      </c>
      <c r="C104" s="1161" t="s">
        <v>154</v>
      </c>
      <c r="D104" s="1161" t="s">
        <v>151</v>
      </c>
      <c r="E104" s="1257">
        <v>407928</v>
      </c>
      <c r="F104" s="1161">
        <v>23</v>
      </c>
      <c r="G104" s="1161">
        <v>4407310</v>
      </c>
      <c r="H104" s="1161">
        <v>24</v>
      </c>
      <c r="I104" s="1161">
        <v>10.8</v>
      </c>
      <c r="J104" s="1161"/>
      <c r="K104" s="1161"/>
      <c r="L104" s="1161"/>
      <c r="M104" s="1161"/>
      <c r="N104" s="1161"/>
      <c r="O104" s="1161"/>
    </row>
    <row r="105" spans="1:15" s="352" customFormat="1" x14ac:dyDescent="0.2">
      <c r="A105" s="1161" t="s">
        <v>159</v>
      </c>
      <c r="B105" s="1161">
        <v>5</v>
      </c>
      <c r="C105" s="1161" t="s">
        <v>154</v>
      </c>
      <c r="D105" s="1161" t="s">
        <v>150</v>
      </c>
      <c r="E105" s="1257">
        <v>995892</v>
      </c>
      <c r="F105" s="1161">
        <v>56</v>
      </c>
      <c r="G105" s="1161">
        <v>11895528</v>
      </c>
      <c r="H105" s="1161">
        <v>65</v>
      </c>
      <c r="I105" s="1161">
        <v>11.9</v>
      </c>
      <c r="J105" s="1161"/>
      <c r="K105" s="1161"/>
      <c r="L105" s="1161"/>
      <c r="M105" s="1161"/>
      <c r="N105" s="1161"/>
      <c r="O105" s="1161"/>
    </row>
    <row r="106" spans="1:15" s="352" customFormat="1" x14ac:dyDescent="0.2">
      <c r="A106" s="1161" t="s">
        <v>159</v>
      </c>
      <c r="B106" s="1161">
        <v>5</v>
      </c>
      <c r="C106" s="1161" t="s">
        <v>154</v>
      </c>
      <c r="D106" s="1161" t="s">
        <v>4</v>
      </c>
      <c r="E106" s="1257">
        <v>23819</v>
      </c>
      <c r="F106" s="1161">
        <v>1</v>
      </c>
      <c r="G106" s="1161">
        <v>968614</v>
      </c>
      <c r="H106" s="1161">
        <v>5</v>
      </c>
      <c r="I106" s="1161">
        <v>40.700000000000003</v>
      </c>
      <c r="J106" s="1161"/>
      <c r="K106" s="1161"/>
      <c r="L106" s="1161"/>
      <c r="M106" s="1161"/>
      <c r="N106" s="1161"/>
      <c r="O106" s="1161"/>
    </row>
    <row r="107" spans="1:15" s="352" customFormat="1" x14ac:dyDescent="0.2">
      <c r="A107" s="1161" t="s">
        <v>159</v>
      </c>
      <c r="B107" s="1161">
        <v>5</v>
      </c>
      <c r="C107" s="1161" t="s">
        <v>154</v>
      </c>
      <c r="D107" s="1161" t="s">
        <v>2</v>
      </c>
      <c r="E107" s="1257">
        <v>27537</v>
      </c>
      <c r="F107" s="1161">
        <v>2</v>
      </c>
      <c r="G107" s="1161">
        <v>233498</v>
      </c>
      <c r="H107" s="1161">
        <v>1</v>
      </c>
      <c r="I107" s="1161">
        <v>8.5</v>
      </c>
      <c r="J107" s="1161"/>
      <c r="K107" s="1161"/>
      <c r="L107" s="1161"/>
      <c r="M107" s="1161"/>
      <c r="N107" s="1161"/>
      <c r="O107" s="1161"/>
    </row>
    <row r="108" spans="1:15" s="352" customFormat="1" x14ac:dyDescent="0.2">
      <c r="A108" s="1161" t="s">
        <v>159</v>
      </c>
      <c r="B108" s="1161">
        <v>5</v>
      </c>
      <c r="C108" s="1161" t="s">
        <v>154</v>
      </c>
      <c r="D108" s="1161" t="s">
        <v>3</v>
      </c>
      <c r="E108" s="1257">
        <v>48414</v>
      </c>
      <c r="F108" s="1161">
        <v>3</v>
      </c>
      <c r="G108" s="1161">
        <v>488552</v>
      </c>
      <c r="H108" s="1161">
        <v>3</v>
      </c>
      <c r="I108" s="1161">
        <v>10.1</v>
      </c>
      <c r="J108" s="1161"/>
      <c r="K108" s="1161"/>
      <c r="L108" s="1161"/>
      <c r="M108" s="1161"/>
      <c r="N108" s="1161"/>
      <c r="O108" s="1161"/>
    </row>
    <row r="109" spans="1:15" s="352" customFormat="1" x14ac:dyDescent="0.2">
      <c r="A109" s="1161" t="s">
        <v>159</v>
      </c>
      <c r="B109" s="1161">
        <v>5</v>
      </c>
      <c r="C109" s="1161" t="s">
        <v>154</v>
      </c>
      <c r="D109" s="1161" t="s">
        <v>152</v>
      </c>
      <c r="E109" s="1257">
        <v>269074</v>
      </c>
      <c r="F109" s="1161">
        <v>15</v>
      </c>
      <c r="G109" s="1161">
        <v>207173</v>
      </c>
      <c r="H109" s="1161">
        <v>1</v>
      </c>
      <c r="I109" s="1161">
        <v>0.8</v>
      </c>
      <c r="J109" s="1161"/>
      <c r="K109" s="1161"/>
      <c r="L109" s="1161"/>
      <c r="M109" s="1161"/>
      <c r="N109" s="1161"/>
      <c r="O109" s="1161"/>
    </row>
    <row r="110" spans="1:15" s="352" customFormat="1" x14ac:dyDescent="0.2">
      <c r="A110" s="1161" t="s">
        <v>160</v>
      </c>
      <c r="B110" s="1161">
        <v>1</v>
      </c>
      <c r="C110" s="1161" t="s">
        <v>135</v>
      </c>
      <c r="D110" s="1161" t="s">
        <v>4</v>
      </c>
      <c r="E110" s="1257">
        <v>976189</v>
      </c>
      <c r="F110" s="1161">
        <v>6</v>
      </c>
      <c r="G110" s="1161">
        <v>16677086</v>
      </c>
      <c r="H110" s="1161">
        <v>12</v>
      </c>
      <c r="I110" s="1161">
        <v>17.100000000000001</v>
      </c>
      <c r="J110" s="1161"/>
      <c r="K110" s="1161"/>
      <c r="L110" s="1161"/>
      <c r="M110" s="1161"/>
      <c r="N110" s="1161"/>
      <c r="O110" s="1161"/>
    </row>
    <row r="111" spans="1:15" s="352" customFormat="1" x14ac:dyDescent="0.2">
      <c r="A111" s="1161" t="s">
        <v>160</v>
      </c>
      <c r="B111" s="1161">
        <v>1</v>
      </c>
      <c r="C111" s="1161" t="s">
        <v>135</v>
      </c>
      <c r="D111" s="1161" t="s">
        <v>152</v>
      </c>
      <c r="E111" s="1257">
        <v>3094916</v>
      </c>
      <c r="F111" s="1161">
        <v>18</v>
      </c>
      <c r="G111" s="1161">
        <v>2345570</v>
      </c>
      <c r="H111" s="1161">
        <v>2</v>
      </c>
      <c r="I111" s="1161">
        <v>0.8</v>
      </c>
      <c r="J111" s="1161"/>
      <c r="K111" s="1161"/>
      <c r="L111" s="1161"/>
      <c r="M111" s="1161"/>
      <c r="N111" s="1161"/>
      <c r="O111" s="1161"/>
    </row>
    <row r="112" spans="1:15" s="352" customFormat="1" x14ac:dyDescent="0.2">
      <c r="A112" s="1161" t="s">
        <v>160</v>
      </c>
      <c r="B112" s="1161">
        <v>1</v>
      </c>
      <c r="C112" s="1161" t="s">
        <v>135</v>
      </c>
      <c r="D112" s="1161" t="s">
        <v>151</v>
      </c>
      <c r="E112" s="1257">
        <v>3795203</v>
      </c>
      <c r="F112" s="1161">
        <v>22</v>
      </c>
      <c r="G112" s="1161">
        <v>30653004</v>
      </c>
      <c r="H112" s="1161">
        <v>22</v>
      </c>
      <c r="I112" s="1161">
        <v>8.1</v>
      </c>
      <c r="J112" s="1161"/>
      <c r="K112" s="1161"/>
      <c r="L112" s="1161"/>
      <c r="M112" s="1161"/>
      <c r="N112" s="1161"/>
      <c r="O112" s="1161"/>
    </row>
    <row r="113" spans="1:15" s="352" customFormat="1" x14ac:dyDescent="0.2">
      <c r="A113" s="1161" t="s">
        <v>160</v>
      </c>
      <c r="B113" s="1161">
        <v>1</v>
      </c>
      <c r="C113" s="1161" t="s">
        <v>135</v>
      </c>
      <c r="D113" s="1161" t="s">
        <v>150</v>
      </c>
      <c r="E113" s="1257">
        <v>8154633</v>
      </c>
      <c r="F113" s="1161">
        <v>47</v>
      </c>
      <c r="G113" s="1161">
        <v>82584881</v>
      </c>
      <c r="H113" s="1161">
        <v>59</v>
      </c>
      <c r="I113" s="1161">
        <v>10.1</v>
      </c>
      <c r="J113" s="1161"/>
      <c r="K113" s="1161"/>
      <c r="L113" s="1161"/>
      <c r="M113" s="1161"/>
      <c r="N113" s="1161"/>
      <c r="O113" s="1161"/>
    </row>
    <row r="114" spans="1:15" s="352" customFormat="1" x14ac:dyDescent="0.2">
      <c r="A114" s="1161" t="s">
        <v>160</v>
      </c>
      <c r="B114" s="1161">
        <v>1</v>
      </c>
      <c r="C114" s="1161" t="s">
        <v>135</v>
      </c>
      <c r="D114" s="1161" t="s">
        <v>2</v>
      </c>
      <c r="E114" s="1257">
        <v>370059</v>
      </c>
      <c r="F114" s="1161">
        <v>2</v>
      </c>
      <c r="G114" s="1161">
        <v>2733065</v>
      </c>
      <c r="H114" s="1161">
        <v>2</v>
      </c>
      <c r="I114" s="1161">
        <v>7.4</v>
      </c>
      <c r="J114" s="1161"/>
      <c r="K114" s="1161"/>
      <c r="L114" s="1161"/>
      <c r="M114" s="1161"/>
      <c r="N114" s="1161"/>
      <c r="O114" s="1161"/>
    </row>
    <row r="115" spans="1:15" s="352" customFormat="1" x14ac:dyDescent="0.2">
      <c r="A115" s="1161" t="s">
        <v>160</v>
      </c>
      <c r="B115" s="1161">
        <v>1</v>
      </c>
      <c r="C115" s="1161" t="s">
        <v>135</v>
      </c>
      <c r="D115" s="1161" t="s">
        <v>3</v>
      </c>
      <c r="E115" s="1257">
        <v>911582</v>
      </c>
      <c r="F115" s="1161">
        <v>5</v>
      </c>
      <c r="G115" s="1161">
        <v>6049872</v>
      </c>
      <c r="H115" s="1161">
        <v>4</v>
      </c>
      <c r="I115" s="1161">
        <v>6.6</v>
      </c>
      <c r="J115" s="1161"/>
      <c r="K115" s="1161"/>
      <c r="L115" s="1161"/>
      <c r="M115" s="1161"/>
      <c r="N115" s="1161"/>
      <c r="O115" s="1161"/>
    </row>
    <row r="116" spans="1:15" s="352" customFormat="1" x14ac:dyDescent="0.2">
      <c r="A116" s="1161" t="s">
        <v>160</v>
      </c>
      <c r="B116" s="1161">
        <v>3</v>
      </c>
      <c r="C116" s="1161" t="s">
        <v>153</v>
      </c>
      <c r="D116" s="1161" t="s">
        <v>3</v>
      </c>
      <c r="E116" s="1257">
        <v>51079</v>
      </c>
      <c r="F116" s="1161">
        <v>2</v>
      </c>
      <c r="G116" s="1161">
        <v>419226</v>
      </c>
      <c r="H116" s="1161">
        <v>2</v>
      </c>
      <c r="I116" s="1161">
        <v>8.1999999999999993</v>
      </c>
      <c r="J116" s="1161"/>
      <c r="K116" s="1161"/>
      <c r="L116" s="1161"/>
      <c r="M116" s="1161"/>
      <c r="N116" s="1161"/>
      <c r="O116" s="1161"/>
    </row>
    <row r="117" spans="1:15" s="352" customFormat="1" x14ac:dyDescent="0.2">
      <c r="A117" s="1161" t="s">
        <v>160</v>
      </c>
      <c r="B117" s="1161">
        <v>3</v>
      </c>
      <c r="C117" s="1161" t="s">
        <v>153</v>
      </c>
      <c r="D117" s="1161" t="s">
        <v>2</v>
      </c>
      <c r="E117" s="1257">
        <v>26007</v>
      </c>
      <c r="F117" s="1161">
        <v>1</v>
      </c>
      <c r="G117" s="1161">
        <v>327087</v>
      </c>
      <c r="H117" s="1161">
        <v>2</v>
      </c>
      <c r="I117" s="1161">
        <v>12.6</v>
      </c>
      <c r="J117" s="1161"/>
      <c r="K117" s="1161"/>
      <c r="L117" s="1161"/>
      <c r="M117" s="1161"/>
      <c r="N117" s="1161"/>
      <c r="O117" s="1161"/>
    </row>
    <row r="118" spans="1:15" s="352" customFormat="1" x14ac:dyDescent="0.2">
      <c r="A118" s="1161" t="s">
        <v>160</v>
      </c>
      <c r="B118" s="1161">
        <v>3</v>
      </c>
      <c r="C118" s="1161" t="s">
        <v>153</v>
      </c>
      <c r="D118" s="1161" t="s">
        <v>4</v>
      </c>
      <c r="E118" s="1257">
        <v>12932</v>
      </c>
      <c r="F118" s="1161">
        <v>1</v>
      </c>
      <c r="G118" s="1161">
        <v>403799</v>
      </c>
      <c r="H118" s="1161">
        <v>2</v>
      </c>
      <c r="I118" s="1161">
        <v>31.2</v>
      </c>
      <c r="J118" s="1161"/>
      <c r="K118" s="1161"/>
      <c r="L118" s="1161"/>
      <c r="M118" s="1161"/>
      <c r="N118" s="1161"/>
      <c r="O118" s="1161"/>
    </row>
    <row r="119" spans="1:15" s="352" customFormat="1" x14ac:dyDescent="0.2">
      <c r="A119" s="1161" t="s">
        <v>160</v>
      </c>
      <c r="B119" s="1161">
        <v>3</v>
      </c>
      <c r="C119" s="1161" t="s">
        <v>153</v>
      </c>
      <c r="D119" s="1161" t="s">
        <v>150</v>
      </c>
      <c r="E119" s="1257">
        <v>1243324</v>
      </c>
      <c r="F119" s="1161">
        <v>61</v>
      </c>
      <c r="G119" s="1161">
        <v>14719635</v>
      </c>
      <c r="H119" s="1161">
        <v>71</v>
      </c>
      <c r="I119" s="1161">
        <v>11.8</v>
      </c>
      <c r="J119" s="1161"/>
      <c r="K119" s="1161"/>
      <c r="L119" s="1161"/>
      <c r="M119" s="1161"/>
      <c r="N119" s="1161"/>
      <c r="O119" s="1161"/>
    </row>
    <row r="120" spans="1:15" s="352" customFormat="1" x14ac:dyDescent="0.2">
      <c r="A120" s="1161" t="s">
        <v>160</v>
      </c>
      <c r="B120" s="1161">
        <v>3</v>
      </c>
      <c r="C120" s="1161" t="s">
        <v>153</v>
      </c>
      <c r="D120" s="1161" t="s">
        <v>151</v>
      </c>
      <c r="E120" s="1257">
        <v>466413</v>
      </c>
      <c r="F120" s="1161">
        <v>23</v>
      </c>
      <c r="G120" s="1161">
        <v>4713054</v>
      </c>
      <c r="H120" s="1161">
        <v>23</v>
      </c>
      <c r="I120" s="1161">
        <v>10.1</v>
      </c>
      <c r="J120" s="1161"/>
      <c r="K120" s="1161"/>
      <c r="L120" s="1161"/>
      <c r="M120" s="1161"/>
      <c r="N120" s="1161"/>
      <c r="O120" s="1161"/>
    </row>
    <row r="121" spans="1:15" s="352" customFormat="1" x14ac:dyDescent="0.2">
      <c r="A121" s="1161" t="s">
        <v>160</v>
      </c>
      <c r="B121" s="1161">
        <v>3</v>
      </c>
      <c r="C121" s="1161" t="s">
        <v>153</v>
      </c>
      <c r="D121" s="1161" t="s">
        <v>152</v>
      </c>
      <c r="E121" s="1257">
        <v>245525</v>
      </c>
      <c r="F121" s="1161">
        <v>12</v>
      </c>
      <c r="G121" s="1161">
        <v>184482</v>
      </c>
      <c r="H121" s="1161">
        <v>1</v>
      </c>
      <c r="I121" s="1161">
        <v>0.8</v>
      </c>
      <c r="J121" s="1161"/>
      <c r="K121" s="1161"/>
      <c r="L121" s="1161"/>
      <c r="M121" s="1161"/>
      <c r="N121" s="1161"/>
      <c r="O121" s="1161"/>
    </row>
    <row r="122" spans="1:15" s="352" customFormat="1" x14ac:dyDescent="0.2">
      <c r="A122" s="1161" t="s">
        <v>160</v>
      </c>
      <c r="B122" s="1161">
        <v>5</v>
      </c>
      <c r="C122" s="1161" t="s">
        <v>154</v>
      </c>
      <c r="D122" s="1161" t="s">
        <v>3</v>
      </c>
      <c r="E122" s="1257">
        <v>52465</v>
      </c>
      <c r="F122" s="1161">
        <v>3</v>
      </c>
      <c r="G122" s="1161">
        <v>540745</v>
      </c>
      <c r="H122" s="1161">
        <v>3</v>
      </c>
      <c r="I122" s="1161">
        <v>10.3</v>
      </c>
      <c r="J122" s="1161"/>
      <c r="K122" s="1161"/>
      <c r="L122" s="1161"/>
      <c r="M122" s="1161"/>
      <c r="N122" s="1161"/>
      <c r="O122" s="1161"/>
    </row>
    <row r="123" spans="1:15" s="352" customFormat="1" x14ac:dyDescent="0.2">
      <c r="A123" s="1161" t="s">
        <v>160</v>
      </c>
      <c r="B123" s="1161">
        <v>5</v>
      </c>
      <c r="C123" s="1161" t="s">
        <v>154</v>
      </c>
      <c r="D123" s="1161" t="s">
        <v>2</v>
      </c>
      <c r="E123" s="1257">
        <v>36732</v>
      </c>
      <c r="F123" s="1161">
        <v>2</v>
      </c>
      <c r="G123" s="1161">
        <v>429692</v>
      </c>
      <c r="H123" s="1161">
        <v>2</v>
      </c>
      <c r="I123" s="1161">
        <v>11.7</v>
      </c>
      <c r="J123" s="1161"/>
      <c r="K123" s="1161"/>
      <c r="L123" s="1161"/>
      <c r="M123" s="1161"/>
      <c r="N123" s="1161"/>
      <c r="O123" s="1161"/>
    </row>
    <row r="124" spans="1:15" s="352" customFormat="1" x14ac:dyDescent="0.2">
      <c r="A124" s="1161" t="s">
        <v>160</v>
      </c>
      <c r="B124" s="1161">
        <v>5</v>
      </c>
      <c r="C124" s="1161" t="s">
        <v>154</v>
      </c>
      <c r="D124" s="1161" t="s">
        <v>4</v>
      </c>
      <c r="E124" s="1257">
        <v>27499</v>
      </c>
      <c r="F124" s="1161">
        <v>2</v>
      </c>
      <c r="G124" s="1161">
        <v>1030416</v>
      </c>
      <c r="H124" s="1161">
        <v>5</v>
      </c>
      <c r="I124" s="1161">
        <v>37.5</v>
      </c>
      <c r="J124" s="1161"/>
      <c r="K124" s="1161"/>
      <c r="L124" s="1161"/>
      <c r="M124" s="1161"/>
      <c r="N124" s="1161"/>
      <c r="O124" s="1161"/>
    </row>
    <row r="125" spans="1:15" s="352" customFormat="1" x14ac:dyDescent="0.2">
      <c r="A125" s="1161" t="s">
        <v>160</v>
      </c>
      <c r="B125" s="1161">
        <v>5</v>
      </c>
      <c r="C125" s="1161" t="s">
        <v>154</v>
      </c>
      <c r="D125" s="1161" t="s">
        <v>150</v>
      </c>
      <c r="E125" s="1257">
        <v>1014560</v>
      </c>
      <c r="F125" s="1161">
        <v>56</v>
      </c>
      <c r="G125" s="1161">
        <v>11720677</v>
      </c>
      <c r="H125" s="1161">
        <v>62</v>
      </c>
      <c r="I125" s="1161">
        <v>11.6</v>
      </c>
      <c r="J125" s="1161"/>
      <c r="K125" s="1161"/>
      <c r="L125" s="1161"/>
      <c r="M125" s="1161"/>
      <c r="N125" s="1161"/>
      <c r="O125" s="1161"/>
    </row>
    <row r="126" spans="1:15" s="352" customFormat="1" x14ac:dyDescent="0.2">
      <c r="A126" s="1161" t="s">
        <v>160</v>
      </c>
      <c r="B126" s="1161">
        <v>5</v>
      </c>
      <c r="C126" s="1161" t="s">
        <v>154</v>
      </c>
      <c r="D126" s="1161" t="s">
        <v>152</v>
      </c>
      <c r="E126" s="1257">
        <v>271207</v>
      </c>
      <c r="F126" s="1161">
        <v>15</v>
      </c>
      <c r="G126" s="1161">
        <v>198612</v>
      </c>
      <c r="H126" s="1161">
        <v>1</v>
      </c>
      <c r="I126" s="1161">
        <v>0.7</v>
      </c>
      <c r="J126" s="1161"/>
      <c r="K126" s="1161"/>
      <c r="L126" s="1161"/>
      <c r="M126" s="1161"/>
      <c r="N126" s="1161"/>
      <c r="O126" s="1161"/>
    </row>
    <row r="127" spans="1:15" s="352" customFormat="1" x14ac:dyDescent="0.2">
      <c r="A127" s="1161" t="s">
        <v>160</v>
      </c>
      <c r="B127" s="1161">
        <v>5</v>
      </c>
      <c r="C127" s="1161" t="s">
        <v>154</v>
      </c>
      <c r="D127" s="1161" t="s">
        <v>151</v>
      </c>
      <c r="E127" s="1257">
        <v>416310</v>
      </c>
      <c r="F127" s="1161">
        <v>23</v>
      </c>
      <c r="G127" s="1161">
        <v>4845589</v>
      </c>
      <c r="H127" s="1161">
        <v>26</v>
      </c>
      <c r="I127" s="1161">
        <v>11.6</v>
      </c>
      <c r="J127" s="1161"/>
      <c r="K127" s="1161"/>
      <c r="L127" s="1161"/>
      <c r="M127" s="1161"/>
      <c r="N127" s="1161"/>
      <c r="O127" s="1161"/>
    </row>
    <row r="128" spans="1:15" s="352" customFormat="1" x14ac:dyDescent="0.2">
      <c r="A128" s="1161" t="s">
        <v>161</v>
      </c>
      <c r="B128" s="1161">
        <v>1</v>
      </c>
      <c r="C128" s="1161" t="s">
        <v>135</v>
      </c>
      <c r="D128" s="1161" t="s">
        <v>2</v>
      </c>
      <c r="E128" s="1257">
        <v>370750</v>
      </c>
      <c r="F128" s="1161">
        <v>2</v>
      </c>
      <c r="G128" s="1161">
        <v>2483374</v>
      </c>
      <c r="H128" s="1161">
        <v>2</v>
      </c>
      <c r="I128" s="1161">
        <v>6.7</v>
      </c>
      <c r="J128" s="1161"/>
      <c r="K128" s="1161"/>
      <c r="L128" s="1161"/>
      <c r="M128" s="1161"/>
      <c r="N128" s="1161"/>
      <c r="O128" s="1161"/>
    </row>
    <row r="129" spans="1:15" s="352" customFormat="1" x14ac:dyDescent="0.2">
      <c r="A129" s="1161" t="s">
        <v>161</v>
      </c>
      <c r="B129" s="1161">
        <v>1</v>
      </c>
      <c r="C129" s="1161" t="s">
        <v>135</v>
      </c>
      <c r="D129" s="1161" t="s">
        <v>4</v>
      </c>
      <c r="E129" s="1257">
        <v>916380</v>
      </c>
      <c r="F129" s="1161">
        <v>5</v>
      </c>
      <c r="G129" s="1161">
        <v>15308065</v>
      </c>
      <c r="H129" s="1161">
        <v>11</v>
      </c>
      <c r="I129" s="1161">
        <v>16.7</v>
      </c>
      <c r="J129" s="1161"/>
      <c r="K129" s="1161"/>
      <c r="L129" s="1161"/>
      <c r="M129" s="1161"/>
      <c r="N129" s="1161"/>
      <c r="O129" s="1161"/>
    </row>
    <row r="130" spans="1:15" s="352" customFormat="1" x14ac:dyDescent="0.2">
      <c r="A130" s="1161" t="s">
        <v>161</v>
      </c>
      <c r="B130" s="1161">
        <v>1</v>
      </c>
      <c r="C130" s="1161" t="s">
        <v>135</v>
      </c>
      <c r="D130" s="1161" t="s">
        <v>152</v>
      </c>
      <c r="E130" s="1257">
        <v>3079694</v>
      </c>
      <c r="F130" s="1161">
        <v>18</v>
      </c>
      <c r="G130" s="1161">
        <v>2479499</v>
      </c>
      <c r="H130" s="1161">
        <v>2</v>
      </c>
      <c r="I130" s="1161">
        <v>0.8</v>
      </c>
      <c r="J130" s="1161"/>
      <c r="K130" s="1161"/>
      <c r="L130" s="1161"/>
      <c r="M130" s="1161"/>
      <c r="N130" s="1161"/>
      <c r="O130" s="1161"/>
    </row>
    <row r="131" spans="1:15" s="352" customFormat="1" x14ac:dyDescent="0.2">
      <c r="A131" s="1161" t="s">
        <v>161</v>
      </c>
      <c r="B131" s="1161">
        <v>1</v>
      </c>
      <c r="C131" s="1161" t="s">
        <v>135</v>
      </c>
      <c r="D131" s="1161" t="s">
        <v>150</v>
      </c>
      <c r="E131" s="1257">
        <v>8058321</v>
      </c>
      <c r="F131" s="1161">
        <v>47</v>
      </c>
      <c r="G131" s="1161">
        <v>79847163</v>
      </c>
      <c r="H131" s="1161">
        <v>59</v>
      </c>
      <c r="I131" s="1161">
        <v>9.9</v>
      </c>
      <c r="J131" s="1161"/>
      <c r="K131" s="1161"/>
      <c r="L131" s="1161"/>
      <c r="M131" s="1161"/>
      <c r="N131" s="1161"/>
      <c r="O131" s="1161"/>
    </row>
    <row r="132" spans="1:15" s="352" customFormat="1" x14ac:dyDescent="0.2">
      <c r="A132" s="1161" t="s">
        <v>161</v>
      </c>
      <c r="B132" s="1161">
        <v>1</v>
      </c>
      <c r="C132" s="1161" t="s">
        <v>135</v>
      </c>
      <c r="D132" s="1161" t="s">
        <v>151</v>
      </c>
      <c r="E132" s="1257">
        <v>3774719</v>
      </c>
      <c r="F132" s="1161">
        <v>22</v>
      </c>
      <c r="G132" s="1161">
        <v>29795331</v>
      </c>
      <c r="H132" s="1161">
        <v>22</v>
      </c>
      <c r="I132" s="1161">
        <v>7.9</v>
      </c>
      <c r="J132" s="1161"/>
      <c r="K132" s="1161"/>
      <c r="L132" s="1161"/>
      <c r="M132" s="1161"/>
      <c r="N132" s="1161"/>
      <c r="O132" s="1161"/>
    </row>
    <row r="133" spans="1:15" s="352" customFormat="1" x14ac:dyDescent="0.2">
      <c r="A133" s="1161" t="s">
        <v>161</v>
      </c>
      <c r="B133" s="1161">
        <v>1</v>
      </c>
      <c r="C133" s="1161" t="s">
        <v>135</v>
      </c>
      <c r="D133" s="1161" t="s">
        <v>3</v>
      </c>
      <c r="E133" s="1257">
        <v>901387</v>
      </c>
      <c r="F133" s="1161">
        <v>5</v>
      </c>
      <c r="G133" s="1161">
        <v>5889983</v>
      </c>
      <c r="H133" s="1161">
        <v>4</v>
      </c>
      <c r="I133" s="1161">
        <v>6.5</v>
      </c>
      <c r="J133" s="1161"/>
      <c r="K133" s="1161"/>
      <c r="L133" s="1161"/>
      <c r="M133" s="1161"/>
      <c r="N133" s="1161"/>
      <c r="O133" s="1161"/>
    </row>
    <row r="134" spans="1:15" s="352" customFormat="1" x14ac:dyDescent="0.2">
      <c r="A134" s="1161" t="s">
        <v>161</v>
      </c>
      <c r="B134" s="1161">
        <v>3</v>
      </c>
      <c r="C134" s="1161" t="s">
        <v>153</v>
      </c>
      <c r="D134" s="1161" t="s">
        <v>2</v>
      </c>
      <c r="E134" s="1257">
        <v>29255</v>
      </c>
      <c r="F134" s="1161">
        <v>1</v>
      </c>
      <c r="G134" s="1161">
        <v>227850</v>
      </c>
      <c r="H134" s="1161">
        <v>1</v>
      </c>
      <c r="I134" s="1161">
        <v>7.8</v>
      </c>
      <c r="J134" s="1161"/>
      <c r="K134" s="1161"/>
      <c r="L134" s="1161"/>
      <c r="M134" s="1161"/>
      <c r="N134" s="1161"/>
      <c r="O134" s="1161"/>
    </row>
    <row r="135" spans="1:15" s="352" customFormat="1" x14ac:dyDescent="0.2">
      <c r="A135" s="1161" t="s">
        <v>161</v>
      </c>
      <c r="B135" s="1161">
        <v>3</v>
      </c>
      <c r="C135" s="1161" t="s">
        <v>153</v>
      </c>
      <c r="D135" s="1161" t="s">
        <v>3</v>
      </c>
      <c r="E135" s="1257">
        <v>61555</v>
      </c>
      <c r="F135" s="1161">
        <v>3</v>
      </c>
      <c r="G135" s="1161">
        <v>417569</v>
      </c>
      <c r="H135" s="1161">
        <v>2</v>
      </c>
      <c r="I135" s="1161">
        <v>6.8</v>
      </c>
      <c r="J135" s="1161"/>
      <c r="K135" s="1161"/>
      <c r="L135" s="1161"/>
      <c r="M135" s="1161"/>
      <c r="N135" s="1161"/>
      <c r="O135" s="1161"/>
    </row>
    <row r="136" spans="1:15" s="352" customFormat="1" x14ac:dyDescent="0.2">
      <c r="A136" s="1161" t="s">
        <v>161</v>
      </c>
      <c r="B136" s="1161">
        <v>3</v>
      </c>
      <c r="C136" s="1161" t="s">
        <v>153</v>
      </c>
      <c r="D136" s="1161" t="s">
        <v>4</v>
      </c>
      <c r="E136" s="1257">
        <v>13660</v>
      </c>
      <c r="F136" s="1161">
        <v>1</v>
      </c>
      <c r="G136" s="1161">
        <v>445998</v>
      </c>
      <c r="H136" s="1161">
        <v>2</v>
      </c>
      <c r="I136" s="1161">
        <v>32.6</v>
      </c>
      <c r="J136" s="1161"/>
      <c r="K136" s="1161"/>
      <c r="L136" s="1161"/>
      <c r="M136" s="1161"/>
      <c r="N136" s="1161"/>
      <c r="O136" s="1161"/>
    </row>
    <row r="137" spans="1:15" s="352" customFormat="1" x14ac:dyDescent="0.2">
      <c r="A137" s="1161" t="s">
        <v>161</v>
      </c>
      <c r="B137" s="1161">
        <v>3</v>
      </c>
      <c r="C137" s="1161" t="s">
        <v>153</v>
      </c>
      <c r="D137" s="1161" t="s">
        <v>150</v>
      </c>
      <c r="E137" s="1257">
        <v>1183278</v>
      </c>
      <c r="F137" s="1161">
        <v>59</v>
      </c>
      <c r="G137" s="1161">
        <v>13442923</v>
      </c>
      <c r="H137" s="1161">
        <v>69</v>
      </c>
      <c r="I137" s="1161">
        <v>11.4</v>
      </c>
      <c r="J137" s="1161"/>
      <c r="K137" s="1161"/>
      <c r="L137" s="1161"/>
      <c r="M137" s="1161"/>
      <c r="N137" s="1161"/>
      <c r="O137" s="1161"/>
    </row>
    <row r="138" spans="1:15" s="352" customFormat="1" x14ac:dyDescent="0.2">
      <c r="A138" s="1161" t="s">
        <v>161</v>
      </c>
      <c r="B138" s="1161">
        <v>3</v>
      </c>
      <c r="C138" s="1161" t="s">
        <v>153</v>
      </c>
      <c r="D138" s="1161" t="s">
        <v>151</v>
      </c>
      <c r="E138" s="1257">
        <v>477112</v>
      </c>
      <c r="F138" s="1161">
        <v>24</v>
      </c>
      <c r="G138" s="1161">
        <v>4625751</v>
      </c>
      <c r="H138" s="1161">
        <v>24</v>
      </c>
      <c r="I138" s="1161">
        <v>9.6999999999999993</v>
      </c>
      <c r="J138" s="1161"/>
      <c r="K138" s="1161"/>
      <c r="L138" s="1161"/>
      <c r="M138" s="1161"/>
      <c r="N138" s="1161"/>
      <c r="O138" s="1161"/>
    </row>
    <row r="139" spans="1:15" s="352" customFormat="1" x14ac:dyDescent="0.2">
      <c r="A139" s="1161" t="s">
        <v>161</v>
      </c>
      <c r="B139" s="1161">
        <v>3</v>
      </c>
      <c r="C139" s="1161" t="s">
        <v>153</v>
      </c>
      <c r="D139" s="1161" t="s">
        <v>152</v>
      </c>
      <c r="E139" s="1257">
        <v>238995</v>
      </c>
      <c r="F139" s="1161">
        <v>12</v>
      </c>
      <c r="G139" s="1161">
        <v>208215</v>
      </c>
      <c r="H139" s="1161">
        <v>1</v>
      </c>
      <c r="I139" s="1161">
        <v>0.9</v>
      </c>
      <c r="J139" s="1161"/>
      <c r="K139" s="1161"/>
      <c r="L139" s="1161"/>
      <c r="M139" s="1161"/>
      <c r="N139" s="1161"/>
      <c r="O139" s="1161"/>
    </row>
    <row r="140" spans="1:15" s="352" customFormat="1" x14ac:dyDescent="0.2">
      <c r="A140" s="1161" t="s">
        <v>161</v>
      </c>
      <c r="B140" s="1161">
        <v>5</v>
      </c>
      <c r="C140" s="1161" t="s">
        <v>154</v>
      </c>
      <c r="D140" s="1161" t="s">
        <v>3</v>
      </c>
      <c r="E140" s="1257">
        <v>45343</v>
      </c>
      <c r="F140" s="1161">
        <v>3</v>
      </c>
      <c r="G140" s="1161">
        <v>435586</v>
      </c>
      <c r="H140" s="1161">
        <v>2</v>
      </c>
      <c r="I140" s="1161">
        <v>9.6</v>
      </c>
      <c r="J140" s="1161"/>
      <c r="K140" s="1161"/>
      <c r="L140" s="1161"/>
      <c r="M140" s="1161"/>
      <c r="N140" s="1161"/>
      <c r="O140" s="1161"/>
    </row>
    <row r="141" spans="1:15" s="352" customFormat="1" x14ac:dyDescent="0.2">
      <c r="A141" s="1161" t="s">
        <v>161</v>
      </c>
      <c r="B141" s="1161">
        <v>5</v>
      </c>
      <c r="C141" s="1161" t="s">
        <v>154</v>
      </c>
      <c r="D141" s="1161" t="s">
        <v>2</v>
      </c>
      <c r="E141" s="1257">
        <v>45084</v>
      </c>
      <c r="F141" s="1161">
        <v>3</v>
      </c>
      <c r="G141" s="1161">
        <v>433825</v>
      </c>
      <c r="H141" s="1161">
        <v>2</v>
      </c>
      <c r="I141" s="1161">
        <v>9.6</v>
      </c>
      <c r="J141" s="1161"/>
      <c r="K141" s="1161"/>
      <c r="L141" s="1161"/>
      <c r="M141" s="1161"/>
      <c r="N141" s="1161"/>
      <c r="O141" s="1161"/>
    </row>
    <row r="142" spans="1:15" s="352" customFormat="1" x14ac:dyDescent="0.2">
      <c r="A142" s="1161" t="s">
        <v>161</v>
      </c>
      <c r="B142" s="1161">
        <v>5</v>
      </c>
      <c r="C142" s="1161" t="s">
        <v>154</v>
      </c>
      <c r="D142" s="1161" t="s">
        <v>4</v>
      </c>
      <c r="E142" s="1257">
        <v>27091</v>
      </c>
      <c r="F142" s="1161">
        <v>2</v>
      </c>
      <c r="G142" s="1161">
        <v>956207</v>
      </c>
      <c r="H142" s="1161">
        <v>5</v>
      </c>
      <c r="I142" s="1161">
        <v>35.299999999999997</v>
      </c>
      <c r="J142" s="1161"/>
      <c r="K142" s="1161"/>
      <c r="L142" s="1161"/>
      <c r="M142" s="1161"/>
      <c r="N142" s="1161"/>
      <c r="O142" s="1161"/>
    </row>
    <row r="143" spans="1:15" s="352" customFormat="1" x14ac:dyDescent="0.2">
      <c r="A143" s="1161" t="s">
        <v>161</v>
      </c>
      <c r="B143" s="1161">
        <v>5</v>
      </c>
      <c r="C143" s="1161" t="s">
        <v>154</v>
      </c>
      <c r="D143" s="1161" t="s">
        <v>150</v>
      </c>
      <c r="E143" s="1257">
        <v>977697</v>
      </c>
      <c r="F143" s="1161">
        <v>55</v>
      </c>
      <c r="G143" s="1161">
        <v>11706416</v>
      </c>
      <c r="H143" s="1161">
        <v>62</v>
      </c>
      <c r="I143" s="1161">
        <v>12</v>
      </c>
      <c r="J143" s="1161"/>
      <c r="K143" s="1161"/>
      <c r="L143" s="1161"/>
      <c r="M143" s="1161"/>
      <c r="N143" s="1161"/>
      <c r="O143" s="1161"/>
    </row>
    <row r="144" spans="1:15" s="352" customFormat="1" x14ac:dyDescent="0.2">
      <c r="A144" s="1161" t="s">
        <v>161</v>
      </c>
      <c r="B144" s="1161">
        <v>5</v>
      </c>
      <c r="C144" s="1161" t="s">
        <v>154</v>
      </c>
      <c r="D144" s="1161" t="s">
        <v>151</v>
      </c>
      <c r="E144" s="1257">
        <v>416090</v>
      </c>
      <c r="F144" s="1161">
        <v>23</v>
      </c>
      <c r="G144" s="1161">
        <v>5176551</v>
      </c>
      <c r="H144" s="1161">
        <v>27</v>
      </c>
      <c r="I144" s="1161">
        <v>12.4</v>
      </c>
      <c r="J144" s="1161"/>
      <c r="K144" s="1161"/>
      <c r="L144" s="1161"/>
      <c r="M144" s="1161"/>
      <c r="N144" s="1161"/>
      <c r="O144" s="1161"/>
    </row>
    <row r="145" spans="1:15" s="352" customFormat="1" x14ac:dyDescent="0.2">
      <c r="A145" s="1161" t="s">
        <v>161</v>
      </c>
      <c r="B145" s="1161">
        <v>5</v>
      </c>
      <c r="C145" s="1161" t="s">
        <v>154</v>
      </c>
      <c r="D145" s="1161" t="s">
        <v>152</v>
      </c>
      <c r="E145" s="1257">
        <v>262043</v>
      </c>
      <c r="F145" s="1161">
        <v>15</v>
      </c>
      <c r="G145" s="1161">
        <v>222843</v>
      </c>
      <c r="H145" s="1161">
        <v>1</v>
      </c>
      <c r="I145" s="1161">
        <v>0.9</v>
      </c>
      <c r="J145" s="1161"/>
      <c r="K145" s="1161"/>
      <c r="L145" s="1161"/>
      <c r="M145" s="1161"/>
      <c r="N145" s="1161"/>
      <c r="O145" s="1161"/>
    </row>
    <row r="146" spans="1:15" s="352" customFormat="1" x14ac:dyDescent="0.2">
      <c r="A146" s="1161" t="s">
        <v>162</v>
      </c>
      <c r="B146" s="1161">
        <v>1</v>
      </c>
      <c r="C146" s="1161" t="s">
        <v>135</v>
      </c>
      <c r="D146" s="1161" t="s">
        <v>3</v>
      </c>
      <c r="E146" s="1257">
        <v>879262</v>
      </c>
      <c r="F146" s="1161">
        <v>5</v>
      </c>
      <c r="G146" s="1161">
        <v>5695079</v>
      </c>
      <c r="H146" s="1161">
        <v>4</v>
      </c>
      <c r="I146" s="1161">
        <v>6.5</v>
      </c>
      <c r="J146" s="1161"/>
      <c r="K146" s="1161"/>
      <c r="L146" s="1161"/>
      <c r="M146" s="1161"/>
      <c r="N146" s="1161"/>
      <c r="O146" s="1161"/>
    </row>
    <row r="147" spans="1:15" s="352" customFormat="1" x14ac:dyDescent="0.2">
      <c r="A147" s="1161" t="s">
        <v>162</v>
      </c>
      <c r="B147" s="1161">
        <v>1</v>
      </c>
      <c r="C147" s="1161" t="s">
        <v>135</v>
      </c>
      <c r="D147" s="1161" t="s">
        <v>151</v>
      </c>
      <c r="E147" s="1257">
        <v>3730789</v>
      </c>
      <c r="F147" s="1161">
        <v>22</v>
      </c>
      <c r="G147" s="1161">
        <v>27817140</v>
      </c>
      <c r="H147" s="1161">
        <v>21</v>
      </c>
      <c r="I147" s="1161">
        <v>7.5</v>
      </c>
      <c r="J147" s="1161"/>
      <c r="K147" s="1161"/>
      <c r="L147" s="1161"/>
      <c r="M147" s="1161"/>
      <c r="N147" s="1161"/>
      <c r="O147" s="1161"/>
    </row>
    <row r="148" spans="1:15" s="352" customFormat="1" x14ac:dyDescent="0.2">
      <c r="A148" s="1161" t="s">
        <v>162</v>
      </c>
      <c r="B148" s="1161">
        <v>1</v>
      </c>
      <c r="C148" s="1161" t="s">
        <v>135</v>
      </c>
      <c r="D148" s="1161" t="s">
        <v>150</v>
      </c>
      <c r="E148" s="1257">
        <v>7940684</v>
      </c>
      <c r="F148" s="1161">
        <v>47</v>
      </c>
      <c r="G148" s="1161">
        <v>76813952</v>
      </c>
      <c r="H148" s="1161">
        <v>59</v>
      </c>
      <c r="I148" s="1161">
        <v>9.6999999999999993</v>
      </c>
      <c r="J148" s="1161"/>
      <c r="K148" s="1161"/>
      <c r="L148" s="1161"/>
      <c r="M148" s="1161"/>
      <c r="N148" s="1161"/>
      <c r="O148" s="1161"/>
    </row>
    <row r="149" spans="1:15" s="352" customFormat="1" x14ac:dyDescent="0.2">
      <c r="A149" s="1161" t="s">
        <v>162</v>
      </c>
      <c r="B149" s="1161">
        <v>1</v>
      </c>
      <c r="C149" s="1161" t="s">
        <v>135</v>
      </c>
      <c r="D149" s="1161" t="s">
        <v>4</v>
      </c>
      <c r="E149" s="1257">
        <v>877566</v>
      </c>
      <c r="F149" s="1161">
        <v>5</v>
      </c>
      <c r="G149" s="1161">
        <v>15515195</v>
      </c>
      <c r="H149" s="1161">
        <v>12</v>
      </c>
      <c r="I149" s="1161">
        <v>17.7</v>
      </c>
      <c r="J149" s="1161"/>
      <c r="K149" s="1161"/>
      <c r="L149" s="1161"/>
      <c r="M149" s="1161"/>
      <c r="N149" s="1161"/>
      <c r="O149" s="1161"/>
    </row>
    <row r="150" spans="1:15" s="352" customFormat="1" x14ac:dyDescent="0.2">
      <c r="A150" s="1161" t="s">
        <v>162</v>
      </c>
      <c r="B150" s="1161">
        <v>1</v>
      </c>
      <c r="C150" s="1161" t="s">
        <v>135</v>
      </c>
      <c r="D150" s="1161" t="s">
        <v>2</v>
      </c>
      <c r="E150" s="1257">
        <v>376828</v>
      </c>
      <c r="F150" s="1161">
        <v>2</v>
      </c>
      <c r="G150" s="1161">
        <v>2467870</v>
      </c>
      <c r="H150" s="1161">
        <v>2</v>
      </c>
      <c r="I150" s="1161">
        <v>6.5</v>
      </c>
      <c r="J150" s="1161"/>
      <c r="K150" s="1161"/>
      <c r="L150" s="1161"/>
      <c r="M150" s="1161"/>
      <c r="N150" s="1161"/>
      <c r="O150" s="1161"/>
    </row>
    <row r="151" spans="1:15" s="352" customFormat="1" x14ac:dyDescent="0.2">
      <c r="A151" s="1161" t="s">
        <v>162</v>
      </c>
      <c r="B151" s="1161">
        <v>1</v>
      </c>
      <c r="C151" s="1161" t="s">
        <v>135</v>
      </c>
      <c r="D151" s="1161" t="s">
        <v>152</v>
      </c>
      <c r="E151" s="1257">
        <v>3076476</v>
      </c>
      <c r="F151" s="1161">
        <v>18</v>
      </c>
      <c r="G151" s="1161">
        <v>2588377</v>
      </c>
      <c r="H151" s="1161">
        <v>2</v>
      </c>
      <c r="I151" s="1161">
        <v>0.8</v>
      </c>
      <c r="J151" s="1161"/>
      <c r="K151" s="1161"/>
      <c r="L151" s="1161"/>
      <c r="M151" s="1161"/>
      <c r="N151" s="1161"/>
      <c r="O151" s="1161"/>
    </row>
    <row r="152" spans="1:15" s="352" customFormat="1" x14ac:dyDescent="0.2">
      <c r="A152" s="1161" t="s">
        <v>162</v>
      </c>
      <c r="B152" s="1161">
        <v>3</v>
      </c>
      <c r="C152" s="1161" t="s">
        <v>153</v>
      </c>
      <c r="D152" s="1161" t="s">
        <v>3</v>
      </c>
      <c r="E152" s="1257">
        <v>71839</v>
      </c>
      <c r="F152" s="1161">
        <v>4</v>
      </c>
      <c r="G152" s="1161">
        <v>457199</v>
      </c>
      <c r="H152" s="1161">
        <v>3</v>
      </c>
      <c r="I152" s="1161">
        <v>6.4</v>
      </c>
      <c r="J152" s="1161"/>
      <c r="K152" s="1161"/>
      <c r="L152" s="1161"/>
      <c r="M152" s="1161"/>
      <c r="N152" s="1161"/>
      <c r="O152" s="1161"/>
    </row>
    <row r="153" spans="1:15" s="352" customFormat="1" x14ac:dyDescent="0.2">
      <c r="A153" s="1161" t="s">
        <v>162</v>
      </c>
      <c r="B153" s="1161">
        <v>3</v>
      </c>
      <c r="C153" s="1161" t="s">
        <v>153</v>
      </c>
      <c r="D153" s="1161" t="s">
        <v>2</v>
      </c>
      <c r="E153" s="1257">
        <v>34528</v>
      </c>
      <c r="F153" s="1161">
        <v>2</v>
      </c>
      <c r="G153" s="1161">
        <v>172750</v>
      </c>
      <c r="H153" s="1161">
        <v>1</v>
      </c>
      <c r="I153" s="1161">
        <v>5</v>
      </c>
      <c r="J153" s="1161"/>
      <c r="K153" s="1161"/>
      <c r="L153" s="1161"/>
      <c r="M153" s="1161"/>
      <c r="N153" s="1161"/>
      <c r="O153" s="1161"/>
    </row>
    <row r="154" spans="1:15" s="352" customFormat="1" x14ac:dyDescent="0.2">
      <c r="A154" s="1161" t="s">
        <v>162</v>
      </c>
      <c r="B154" s="1161">
        <v>3</v>
      </c>
      <c r="C154" s="1161" t="s">
        <v>153</v>
      </c>
      <c r="D154" s="1161" t="s">
        <v>4</v>
      </c>
      <c r="E154" s="1257">
        <v>10106</v>
      </c>
      <c r="F154" s="1161">
        <v>1</v>
      </c>
      <c r="G154" s="1161">
        <v>517601</v>
      </c>
      <c r="H154" s="1161">
        <v>3</v>
      </c>
      <c r="I154" s="1161">
        <v>51.2</v>
      </c>
      <c r="J154" s="1161"/>
      <c r="K154" s="1161"/>
      <c r="L154" s="1161"/>
      <c r="M154" s="1161"/>
      <c r="N154" s="1161"/>
      <c r="O154" s="1161"/>
    </row>
    <row r="155" spans="1:15" s="352" customFormat="1" x14ac:dyDescent="0.2">
      <c r="A155" s="1161" t="s">
        <v>162</v>
      </c>
      <c r="B155" s="1161">
        <v>3</v>
      </c>
      <c r="C155" s="1161" t="s">
        <v>153</v>
      </c>
      <c r="D155" s="1161" t="s">
        <v>150</v>
      </c>
      <c r="E155" s="1257">
        <v>1161959</v>
      </c>
      <c r="F155" s="1161">
        <v>59</v>
      </c>
      <c r="G155" s="1161">
        <v>12119000</v>
      </c>
      <c r="H155" s="1161">
        <v>70</v>
      </c>
      <c r="I155" s="1161">
        <v>10.4</v>
      </c>
      <c r="J155" s="1161"/>
      <c r="K155" s="1161"/>
      <c r="L155" s="1161"/>
      <c r="M155" s="1161"/>
      <c r="N155" s="1161"/>
      <c r="O155" s="1161"/>
    </row>
    <row r="156" spans="1:15" s="352" customFormat="1" x14ac:dyDescent="0.2">
      <c r="A156" s="1161" t="s">
        <v>162</v>
      </c>
      <c r="B156" s="1161">
        <v>3</v>
      </c>
      <c r="C156" s="1161" t="s">
        <v>153</v>
      </c>
      <c r="D156" s="1161" t="s">
        <v>151</v>
      </c>
      <c r="E156" s="1257">
        <v>476205</v>
      </c>
      <c r="F156" s="1161">
        <v>24</v>
      </c>
      <c r="G156" s="1161">
        <v>3881317</v>
      </c>
      <c r="H156" s="1161">
        <v>22</v>
      </c>
      <c r="I156" s="1161">
        <v>8.1999999999999993</v>
      </c>
      <c r="J156" s="1161"/>
      <c r="K156" s="1161"/>
      <c r="L156" s="1161"/>
      <c r="M156" s="1161"/>
      <c r="N156" s="1161"/>
      <c r="O156" s="1161"/>
    </row>
    <row r="157" spans="1:15" s="352" customFormat="1" x14ac:dyDescent="0.2">
      <c r="A157" s="1161" t="s">
        <v>162</v>
      </c>
      <c r="B157" s="1161">
        <v>3</v>
      </c>
      <c r="C157" s="1161" t="s">
        <v>153</v>
      </c>
      <c r="D157" s="1161" t="s">
        <v>152</v>
      </c>
      <c r="E157" s="1257">
        <v>203400</v>
      </c>
      <c r="F157" s="1161">
        <v>10</v>
      </c>
      <c r="G157" s="1161">
        <v>185269</v>
      </c>
      <c r="H157" s="1161">
        <v>1</v>
      </c>
      <c r="I157" s="1161">
        <v>0.9</v>
      </c>
      <c r="J157" s="1161"/>
      <c r="K157" s="1161"/>
      <c r="L157" s="1161"/>
      <c r="M157" s="1161"/>
      <c r="N157" s="1161"/>
      <c r="O157" s="1161"/>
    </row>
    <row r="158" spans="1:15" s="352" customFormat="1" x14ac:dyDescent="0.2">
      <c r="A158" s="1161" t="s">
        <v>162</v>
      </c>
      <c r="B158" s="1161">
        <v>5</v>
      </c>
      <c r="C158" s="1161" t="s">
        <v>154</v>
      </c>
      <c r="D158" s="1161" t="s">
        <v>3</v>
      </c>
      <c r="E158" s="1257">
        <v>42941</v>
      </c>
      <c r="F158" s="1161">
        <v>3</v>
      </c>
      <c r="G158" s="1161">
        <v>331755</v>
      </c>
      <c r="H158" s="1161">
        <v>2</v>
      </c>
      <c r="I158" s="1161">
        <v>7.7</v>
      </c>
      <c r="J158" s="1161"/>
      <c r="K158" s="1161"/>
      <c r="L158" s="1161"/>
      <c r="M158" s="1161"/>
      <c r="N158" s="1161"/>
      <c r="O158" s="1161"/>
    </row>
    <row r="159" spans="1:15" s="352" customFormat="1" x14ac:dyDescent="0.2">
      <c r="A159" s="1161" t="s">
        <v>162</v>
      </c>
      <c r="B159" s="1161">
        <v>5</v>
      </c>
      <c r="C159" s="1161" t="s">
        <v>154</v>
      </c>
      <c r="D159" s="1161" t="s">
        <v>2</v>
      </c>
      <c r="E159" s="1257">
        <v>42848</v>
      </c>
      <c r="F159" s="1161">
        <v>3</v>
      </c>
      <c r="G159" s="1161">
        <v>323855</v>
      </c>
      <c r="H159" s="1161">
        <v>2</v>
      </c>
      <c r="I159" s="1161">
        <v>7.6</v>
      </c>
      <c r="J159" s="1161"/>
      <c r="K159" s="1161"/>
      <c r="L159" s="1161"/>
      <c r="M159" s="1161"/>
      <c r="N159" s="1161"/>
      <c r="O159" s="1161"/>
    </row>
    <row r="160" spans="1:15" s="352" customFormat="1" x14ac:dyDescent="0.2">
      <c r="A160" s="1161" t="s">
        <v>162</v>
      </c>
      <c r="B160" s="1161">
        <v>5</v>
      </c>
      <c r="C160" s="1161" t="s">
        <v>154</v>
      </c>
      <c r="D160" s="1161" t="s">
        <v>4</v>
      </c>
      <c r="E160" s="1257">
        <v>26271</v>
      </c>
      <c r="F160" s="1161">
        <v>2</v>
      </c>
      <c r="G160" s="1161">
        <v>1177067</v>
      </c>
      <c r="H160" s="1161">
        <v>6</v>
      </c>
      <c r="I160" s="1161">
        <v>44.8</v>
      </c>
      <c r="J160" s="1161"/>
      <c r="K160" s="1161"/>
      <c r="L160" s="1161"/>
      <c r="M160" s="1161"/>
      <c r="N160" s="1161"/>
      <c r="O160" s="1161"/>
    </row>
    <row r="161" spans="1:15" s="352" customFormat="1" x14ac:dyDescent="0.2">
      <c r="A161" s="1161" t="s">
        <v>162</v>
      </c>
      <c r="B161" s="1161">
        <v>5</v>
      </c>
      <c r="C161" s="1161" t="s">
        <v>154</v>
      </c>
      <c r="D161" s="1161" t="s">
        <v>150</v>
      </c>
      <c r="E161" s="1257">
        <v>889286</v>
      </c>
      <c r="F161" s="1161">
        <v>53</v>
      </c>
      <c r="G161" s="1161">
        <v>11109148</v>
      </c>
      <c r="H161" s="1161">
        <v>60</v>
      </c>
      <c r="I161" s="1161">
        <v>12.5</v>
      </c>
      <c r="J161" s="1161"/>
      <c r="K161" s="1161"/>
      <c r="L161" s="1161"/>
      <c r="M161" s="1161"/>
      <c r="N161" s="1161"/>
      <c r="O161" s="1161"/>
    </row>
    <row r="162" spans="1:15" s="352" customFormat="1" x14ac:dyDescent="0.2">
      <c r="A162" s="1161" t="s">
        <v>162</v>
      </c>
      <c r="B162" s="1161">
        <v>5</v>
      </c>
      <c r="C162" s="1161" t="s">
        <v>154</v>
      </c>
      <c r="D162" s="1161" t="s">
        <v>151</v>
      </c>
      <c r="E162" s="1257">
        <v>418515</v>
      </c>
      <c r="F162" s="1161">
        <v>25</v>
      </c>
      <c r="G162" s="1161">
        <v>5320028</v>
      </c>
      <c r="H162" s="1161">
        <v>29</v>
      </c>
      <c r="I162" s="1161">
        <v>12.7</v>
      </c>
      <c r="J162" s="1161"/>
      <c r="K162" s="1161"/>
      <c r="L162" s="1161"/>
      <c r="M162" s="1161"/>
      <c r="N162" s="1161"/>
      <c r="O162" s="1161"/>
    </row>
    <row r="163" spans="1:15" s="352" customFormat="1" x14ac:dyDescent="0.2">
      <c r="A163" s="1161" t="s">
        <v>162</v>
      </c>
      <c r="B163" s="1161">
        <v>5</v>
      </c>
      <c r="C163" s="1161" t="s">
        <v>154</v>
      </c>
      <c r="D163" s="1161" t="s">
        <v>152</v>
      </c>
      <c r="E163" s="1257">
        <v>269851</v>
      </c>
      <c r="F163" s="1161">
        <v>16</v>
      </c>
      <c r="G163" s="1161">
        <v>223343</v>
      </c>
      <c r="H163" s="1161">
        <v>1</v>
      </c>
      <c r="I163" s="1161">
        <v>0.8</v>
      </c>
      <c r="J163" s="1161"/>
      <c r="K163" s="1161"/>
      <c r="L163" s="1161"/>
      <c r="M163" s="1161"/>
      <c r="N163" s="1161"/>
      <c r="O163" s="1161"/>
    </row>
    <row r="164" spans="1:15" s="352" customFormat="1" x14ac:dyDescent="0.2">
      <c r="A164" s="1161" t="s">
        <v>163</v>
      </c>
      <c r="B164" s="1161">
        <v>1</v>
      </c>
      <c r="C164" s="1161" t="s">
        <v>135</v>
      </c>
      <c r="D164" s="1161" t="s">
        <v>3</v>
      </c>
      <c r="E164" s="1257">
        <v>887573</v>
      </c>
      <c r="F164" s="1161">
        <v>5</v>
      </c>
      <c r="G164" s="1161">
        <v>5683844</v>
      </c>
      <c r="H164" s="1161">
        <v>4</v>
      </c>
      <c r="I164" s="1161">
        <v>6.4</v>
      </c>
      <c r="J164" s="1161"/>
      <c r="K164" s="1161"/>
      <c r="L164" s="1161"/>
      <c r="M164" s="1161"/>
      <c r="N164" s="1161"/>
      <c r="O164" s="1161"/>
    </row>
    <row r="165" spans="1:15" s="352" customFormat="1" x14ac:dyDescent="0.2">
      <c r="A165" s="1161" t="s">
        <v>163</v>
      </c>
      <c r="B165" s="1161">
        <v>1</v>
      </c>
      <c r="C165" s="1161" t="s">
        <v>135</v>
      </c>
      <c r="D165" s="1161" t="s">
        <v>2</v>
      </c>
      <c r="E165" s="1257">
        <v>369016</v>
      </c>
      <c r="F165" s="1161">
        <v>2</v>
      </c>
      <c r="G165" s="1161">
        <v>2477802</v>
      </c>
      <c r="H165" s="1161">
        <v>2</v>
      </c>
      <c r="I165" s="1161">
        <v>6.7</v>
      </c>
      <c r="J165" s="1161"/>
      <c r="K165" s="1161"/>
      <c r="L165" s="1161"/>
      <c r="M165" s="1161"/>
      <c r="N165" s="1161"/>
      <c r="O165" s="1161"/>
    </row>
    <row r="166" spans="1:15" s="352" customFormat="1" x14ac:dyDescent="0.2">
      <c r="A166" s="1161" t="s">
        <v>163</v>
      </c>
      <c r="B166" s="1161">
        <v>1</v>
      </c>
      <c r="C166" s="1161" t="s">
        <v>135</v>
      </c>
      <c r="D166" s="1161" t="s">
        <v>4</v>
      </c>
      <c r="E166" s="1257">
        <v>774753</v>
      </c>
      <c r="F166" s="1161">
        <v>5</v>
      </c>
      <c r="G166" s="1161">
        <v>14423666</v>
      </c>
      <c r="H166" s="1161">
        <v>11</v>
      </c>
      <c r="I166" s="1161">
        <v>18.600000000000001</v>
      </c>
      <c r="J166" s="1161"/>
      <c r="K166" s="1161"/>
      <c r="L166" s="1161"/>
      <c r="M166" s="1161"/>
      <c r="N166" s="1161"/>
      <c r="O166" s="1161"/>
    </row>
    <row r="167" spans="1:15" s="352" customFormat="1" x14ac:dyDescent="0.2">
      <c r="A167" s="1161" t="s">
        <v>163</v>
      </c>
      <c r="B167" s="1161">
        <v>1</v>
      </c>
      <c r="C167" s="1161" t="s">
        <v>135</v>
      </c>
      <c r="D167" s="1161" t="s">
        <v>150</v>
      </c>
      <c r="E167" s="1257">
        <v>8009700</v>
      </c>
      <c r="F167" s="1161">
        <v>47</v>
      </c>
      <c r="G167" s="1161">
        <v>76916462</v>
      </c>
      <c r="H167" s="1161">
        <v>59</v>
      </c>
      <c r="I167" s="1161">
        <v>9.6</v>
      </c>
      <c r="J167" s="1161"/>
      <c r="K167" s="1161"/>
      <c r="L167" s="1161"/>
      <c r="M167" s="1161"/>
      <c r="N167" s="1161"/>
      <c r="O167" s="1161"/>
    </row>
    <row r="168" spans="1:15" s="352" customFormat="1" x14ac:dyDescent="0.2">
      <c r="A168" s="1161" t="s">
        <v>163</v>
      </c>
      <c r="B168" s="1161">
        <v>1</v>
      </c>
      <c r="C168" s="1161" t="s">
        <v>135</v>
      </c>
      <c r="D168" s="1161" t="s">
        <v>151</v>
      </c>
      <c r="E168" s="1257">
        <v>3756281</v>
      </c>
      <c r="F168" s="1161">
        <v>22</v>
      </c>
      <c r="G168" s="1161">
        <v>28002919</v>
      </c>
      <c r="H168" s="1161">
        <v>22</v>
      </c>
      <c r="I168" s="1161">
        <v>7.5</v>
      </c>
      <c r="J168" s="1161"/>
      <c r="K168" s="1161"/>
      <c r="L168" s="1161"/>
      <c r="M168" s="1161"/>
      <c r="N168" s="1161"/>
      <c r="O168" s="1161"/>
    </row>
    <row r="169" spans="1:15" s="352" customFormat="1" x14ac:dyDescent="0.2">
      <c r="A169" s="1161" t="s">
        <v>163</v>
      </c>
      <c r="B169" s="1161">
        <v>1</v>
      </c>
      <c r="C169" s="1161" t="s">
        <v>135</v>
      </c>
      <c r="D169" s="1161" t="s">
        <v>152</v>
      </c>
      <c r="E169" s="1257">
        <v>3082699</v>
      </c>
      <c r="F169" s="1161">
        <v>18</v>
      </c>
      <c r="G169" s="1161">
        <v>2623096</v>
      </c>
      <c r="H169" s="1161">
        <v>2</v>
      </c>
      <c r="I169" s="1161">
        <v>0.9</v>
      </c>
      <c r="J169" s="1161"/>
      <c r="K169" s="1161"/>
      <c r="L169" s="1161"/>
      <c r="M169" s="1161"/>
      <c r="N169" s="1161"/>
      <c r="O169" s="1161"/>
    </row>
    <row r="170" spans="1:15" s="352" customFormat="1" x14ac:dyDescent="0.2">
      <c r="A170" s="1161" t="s">
        <v>163</v>
      </c>
      <c r="B170" s="1161">
        <v>3</v>
      </c>
      <c r="C170" s="1161" t="s">
        <v>153</v>
      </c>
      <c r="D170" s="1161" t="s">
        <v>2</v>
      </c>
      <c r="E170" s="1257">
        <v>37206</v>
      </c>
      <c r="F170" s="1161">
        <v>2</v>
      </c>
      <c r="G170" s="1161">
        <v>167002</v>
      </c>
      <c r="H170" s="1161">
        <v>1</v>
      </c>
      <c r="I170" s="1161">
        <v>4.5</v>
      </c>
      <c r="J170" s="1161"/>
      <c r="K170" s="1161"/>
      <c r="L170" s="1161"/>
      <c r="M170" s="1161"/>
      <c r="N170" s="1161"/>
      <c r="O170" s="1161"/>
    </row>
    <row r="171" spans="1:15" s="352" customFormat="1" x14ac:dyDescent="0.2">
      <c r="A171" s="1161" t="s">
        <v>163</v>
      </c>
      <c r="B171" s="1161">
        <v>3</v>
      </c>
      <c r="C171" s="1161" t="s">
        <v>153</v>
      </c>
      <c r="D171" s="1161" t="s">
        <v>3</v>
      </c>
      <c r="E171" s="1257">
        <v>68994</v>
      </c>
      <c r="F171" s="1161">
        <v>4</v>
      </c>
      <c r="G171" s="1161">
        <v>523134</v>
      </c>
      <c r="H171" s="1161">
        <v>3</v>
      </c>
      <c r="I171" s="1161">
        <v>7.6</v>
      </c>
      <c r="J171" s="1161"/>
      <c r="K171" s="1161"/>
      <c r="L171" s="1161"/>
      <c r="M171" s="1161"/>
      <c r="N171" s="1161"/>
      <c r="O171" s="1161"/>
    </row>
    <row r="172" spans="1:15" s="352" customFormat="1" x14ac:dyDescent="0.2">
      <c r="A172" s="1161" t="s">
        <v>163</v>
      </c>
      <c r="B172" s="1161">
        <v>3</v>
      </c>
      <c r="C172" s="1161" t="s">
        <v>153</v>
      </c>
      <c r="D172" s="1161" t="s">
        <v>4</v>
      </c>
      <c r="E172" s="1257">
        <v>11869</v>
      </c>
      <c r="F172" s="1161">
        <v>1</v>
      </c>
      <c r="G172" s="1161">
        <v>400992</v>
      </c>
      <c r="H172" s="1161">
        <v>2</v>
      </c>
      <c r="I172" s="1161">
        <v>33.799999999999997</v>
      </c>
      <c r="J172" s="1161"/>
      <c r="K172" s="1161"/>
      <c r="L172" s="1161"/>
      <c r="M172" s="1161"/>
      <c r="N172" s="1161"/>
      <c r="O172" s="1161"/>
    </row>
    <row r="173" spans="1:15" s="352" customFormat="1" x14ac:dyDescent="0.2">
      <c r="A173" s="1161" t="s">
        <v>163</v>
      </c>
      <c r="B173" s="1161">
        <v>3</v>
      </c>
      <c r="C173" s="1161" t="s">
        <v>153</v>
      </c>
      <c r="D173" s="1161" t="s">
        <v>152</v>
      </c>
      <c r="E173" s="1257">
        <v>255846</v>
      </c>
      <c r="F173" s="1161">
        <v>13</v>
      </c>
      <c r="G173" s="1161">
        <v>238746</v>
      </c>
      <c r="H173" s="1161">
        <v>1</v>
      </c>
      <c r="I173" s="1161">
        <v>0.9</v>
      </c>
      <c r="J173" s="1161"/>
      <c r="K173" s="1161"/>
      <c r="L173" s="1161"/>
      <c r="M173" s="1161"/>
      <c r="N173" s="1161"/>
      <c r="O173" s="1161"/>
    </row>
    <row r="174" spans="1:15" s="352" customFormat="1" x14ac:dyDescent="0.2">
      <c r="A174" s="1161" t="s">
        <v>163</v>
      </c>
      <c r="B174" s="1161">
        <v>3</v>
      </c>
      <c r="C174" s="1161" t="s">
        <v>153</v>
      </c>
      <c r="D174" s="1161" t="s">
        <v>151</v>
      </c>
      <c r="E174" s="1257">
        <v>478069</v>
      </c>
      <c r="F174" s="1161">
        <v>25</v>
      </c>
      <c r="G174" s="1161">
        <v>4294479</v>
      </c>
      <c r="H174" s="1161">
        <v>25</v>
      </c>
      <c r="I174" s="1161">
        <v>9</v>
      </c>
      <c r="J174" s="1161"/>
      <c r="K174" s="1161"/>
      <c r="L174" s="1161"/>
      <c r="M174" s="1161"/>
      <c r="N174" s="1161"/>
      <c r="O174" s="1161"/>
    </row>
    <row r="175" spans="1:15" s="352" customFormat="1" x14ac:dyDescent="0.2">
      <c r="A175" s="1161" t="s">
        <v>163</v>
      </c>
      <c r="B175" s="1161">
        <v>3</v>
      </c>
      <c r="C175" s="1161" t="s">
        <v>153</v>
      </c>
      <c r="D175" s="1161" t="s">
        <v>150</v>
      </c>
      <c r="E175" s="1257">
        <v>1093571</v>
      </c>
      <c r="F175" s="1161">
        <v>56</v>
      </c>
      <c r="G175" s="1161">
        <v>11281653</v>
      </c>
      <c r="H175" s="1161">
        <v>67</v>
      </c>
      <c r="I175" s="1161">
        <v>10.3</v>
      </c>
      <c r="J175" s="1161"/>
      <c r="K175" s="1161"/>
      <c r="L175" s="1161"/>
      <c r="M175" s="1161"/>
      <c r="N175" s="1161"/>
      <c r="O175" s="1161"/>
    </row>
    <row r="176" spans="1:15" s="352" customFormat="1" x14ac:dyDescent="0.2">
      <c r="A176" s="1161" t="s">
        <v>163</v>
      </c>
      <c r="B176" s="1161">
        <v>5</v>
      </c>
      <c r="C176" s="1161" t="s">
        <v>154</v>
      </c>
      <c r="D176" s="1161" t="s">
        <v>3</v>
      </c>
      <c r="E176" s="1257">
        <v>39595</v>
      </c>
      <c r="F176" s="1161">
        <v>2</v>
      </c>
      <c r="G176" s="1161">
        <v>297784</v>
      </c>
      <c r="H176" s="1161">
        <v>2</v>
      </c>
      <c r="I176" s="1161">
        <v>7.5</v>
      </c>
      <c r="J176" s="1161"/>
      <c r="K176" s="1161"/>
      <c r="L176" s="1161"/>
      <c r="M176" s="1161"/>
      <c r="N176" s="1161"/>
      <c r="O176" s="1161"/>
    </row>
    <row r="177" spans="1:15" s="352" customFormat="1" x14ac:dyDescent="0.2">
      <c r="A177" s="1161" t="s">
        <v>163</v>
      </c>
      <c r="B177" s="1161">
        <v>5</v>
      </c>
      <c r="C177" s="1161" t="s">
        <v>154</v>
      </c>
      <c r="D177" s="1161" t="s">
        <v>2</v>
      </c>
      <c r="E177" s="1257">
        <v>35396</v>
      </c>
      <c r="F177" s="1161">
        <v>2</v>
      </c>
      <c r="G177" s="1161">
        <v>177106</v>
      </c>
      <c r="H177" s="1161">
        <v>1</v>
      </c>
      <c r="I177" s="1161">
        <v>5</v>
      </c>
      <c r="J177" s="1161"/>
      <c r="K177" s="1161"/>
      <c r="L177" s="1161"/>
      <c r="M177" s="1161"/>
      <c r="N177" s="1161"/>
      <c r="O177" s="1161"/>
    </row>
    <row r="178" spans="1:15" s="352" customFormat="1" x14ac:dyDescent="0.2">
      <c r="A178" s="1161" t="s">
        <v>163</v>
      </c>
      <c r="B178" s="1161">
        <v>5</v>
      </c>
      <c r="C178" s="1161" t="s">
        <v>154</v>
      </c>
      <c r="D178" s="1161" t="s">
        <v>4</v>
      </c>
      <c r="E178" s="1257">
        <v>21999</v>
      </c>
      <c r="F178" s="1161">
        <v>1</v>
      </c>
      <c r="G178" s="1161">
        <v>1085757</v>
      </c>
      <c r="H178" s="1161">
        <v>7</v>
      </c>
      <c r="I178" s="1161">
        <v>49.4</v>
      </c>
      <c r="J178" s="1161"/>
      <c r="K178" s="1161"/>
      <c r="L178" s="1161"/>
      <c r="M178" s="1161"/>
      <c r="N178" s="1161"/>
      <c r="O178" s="1161"/>
    </row>
    <row r="179" spans="1:15" s="352" customFormat="1" x14ac:dyDescent="0.2">
      <c r="A179" s="1161" t="s">
        <v>163</v>
      </c>
      <c r="B179" s="1161">
        <v>5</v>
      </c>
      <c r="C179" s="1161" t="s">
        <v>154</v>
      </c>
      <c r="D179" s="1161" t="s">
        <v>150</v>
      </c>
      <c r="E179" s="1257">
        <v>841245</v>
      </c>
      <c r="F179" s="1161">
        <v>52</v>
      </c>
      <c r="G179" s="1161">
        <v>10436151</v>
      </c>
      <c r="H179" s="1161">
        <v>64</v>
      </c>
      <c r="I179" s="1161">
        <v>12.4</v>
      </c>
      <c r="J179" s="1161"/>
      <c r="K179" s="1161"/>
      <c r="L179" s="1161"/>
      <c r="M179" s="1161"/>
      <c r="N179" s="1161"/>
      <c r="O179" s="1161"/>
    </row>
    <row r="180" spans="1:15" s="352" customFormat="1" x14ac:dyDescent="0.2">
      <c r="A180" s="1161" t="s">
        <v>163</v>
      </c>
      <c r="B180" s="1161">
        <v>5</v>
      </c>
      <c r="C180" s="1161" t="s">
        <v>154</v>
      </c>
      <c r="D180" s="1161" t="s">
        <v>151</v>
      </c>
      <c r="E180" s="1257">
        <v>408204</v>
      </c>
      <c r="F180" s="1161">
        <v>25</v>
      </c>
      <c r="G180" s="1161">
        <v>4147531</v>
      </c>
      <c r="H180" s="1161">
        <v>25</v>
      </c>
      <c r="I180" s="1161">
        <v>10.199999999999999</v>
      </c>
      <c r="J180" s="1161"/>
      <c r="K180" s="1161"/>
      <c r="L180" s="1161"/>
      <c r="M180" s="1161"/>
      <c r="N180" s="1161"/>
      <c r="O180" s="1161"/>
    </row>
    <row r="181" spans="1:15" s="352" customFormat="1" x14ac:dyDescent="0.2">
      <c r="A181" s="1161" t="s">
        <v>163</v>
      </c>
      <c r="B181" s="1161">
        <v>5</v>
      </c>
      <c r="C181" s="1161" t="s">
        <v>154</v>
      </c>
      <c r="D181" s="1161" t="s">
        <v>152</v>
      </c>
      <c r="E181" s="1257">
        <v>261415</v>
      </c>
      <c r="F181" s="1161">
        <v>16</v>
      </c>
      <c r="G181" s="1161">
        <v>236928</v>
      </c>
      <c r="H181" s="1161">
        <v>1</v>
      </c>
      <c r="I181" s="1161">
        <v>0.9</v>
      </c>
      <c r="J181" s="1161"/>
      <c r="K181" s="1161"/>
      <c r="L181" s="1161"/>
      <c r="M181" s="1161"/>
      <c r="N181" s="1161"/>
      <c r="O181" s="1161"/>
    </row>
    <row r="182" spans="1:15" s="352" customFormat="1" x14ac:dyDescent="0.2">
      <c r="A182" s="1161" t="s">
        <v>164</v>
      </c>
      <c r="B182" s="1161">
        <v>1</v>
      </c>
      <c r="C182" s="1161" t="s">
        <v>135</v>
      </c>
      <c r="D182" s="1161" t="s">
        <v>4</v>
      </c>
      <c r="E182" s="1257">
        <v>738697</v>
      </c>
      <c r="F182" s="1161">
        <v>4</v>
      </c>
      <c r="G182" s="1161">
        <v>14652901</v>
      </c>
      <c r="H182" s="1161">
        <v>11</v>
      </c>
      <c r="I182" s="1161">
        <v>19.8</v>
      </c>
      <c r="J182" s="1161"/>
      <c r="K182" s="1161"/>
      <c r="L182" s="1161"/>
      <c r="M182" s="1161"/>
      <c r="N182" s="1161"/>
      <c r="O182" s="1161"/>
    </row>
    <row r="183" spans="1:15" s="352" customFormat="1" x14ac:dyDescent="0.2">
      <c r="A183" s="1161" t="s">
        <v>164</v>
      </c>
      <c r="B183" s="1161">
        <v>1</v>
      </c>
      <c r="C183" s="1161" t="s">
        <v>135</v>
      </c>
      <c r="D183" s="1161" t="s">
        <v>2</v>
      </c>
      <c r="E183" s="1257">
        <v>372648</v>
      </c>
      <c r="F183" s="1161">
        <v>2</v>
      </c>
      <c r="G183" s="1161">
        <v>2249123</v>
      </c>
      <c r="H183" s="1161">
        <v>2</v>
      </c>
      <c r="I183" s="1161">
        <v>6</v>
      </c>
      <c r="J183" s="1161"/>
      <c r="K183" s="1161"/>
      <c r="L183" s="1161"/>
      <c r="M183" s="1161"/>
      <c r="N183" s="1161"/>
      <c r="O183" s="1161"/>
    </row>
    <row r="184" spans="1:15" s="352" customFormat="1" x14ac:dyDescent="0.2">
      <c r="A184" s="1161" t="s">
        <v>164</v>
      </c>
      <c r="B184" s="1161">
        <v>1</v>
      </c>
      <c r="C184" s="1161" t="s">
        <v>135</v>
      </c>
      <c r="D184" s="1161" t="s">
        <v>3</v>
      </c>
      <c r="E184" s="1257">
        <v>884380</v>
      </c>
      <c r="F184" s="1161">
        <v>5</v>
      </c>
      <c r="G184" s="1161">
        <v>5588809</v>
      </c>
      <c r="H184" s="1161">
        <v>4</v>
      </c>
      <c r="I184" s="1161">
        <v>6.3</v>
      </c>
      <c r="J184" s="1161"/>
      <c r="K184" s="1161"/>
      <c r="L184" s="1161"/>
      <c r="M184" s="1161"/>
      <c r="N184" s="1161"/>
      <c r="O184" s="1161"/>
    </row>
    <row r="185" spans="1:15" s="352" customFormat="1" x14ac:dyDescent="0.2">
      <c r="A185" s="1161" t="s">
        <v>164</v>
      </c>
      <c r="B185" s="1161">
        <v>1</v>
      </c>
      <c r="C185" s="1161" t="s">
        <v>135</v>
      </c>
      <c r="D185" s="1161" t="s">
        <v>150</v>
      </c>
      <c r="E185" s="1257">
        <v>8075827</v>
      </c>
      <c r="F185" s="1161">
        <v>48</v>
      </c>
      <c r="G185" s="1161">
        <v>76326973</v>
      </c>
      <c r="H185" s="1161">
        <v>59</v>
      </c>
      <c r="I185" s="1161">
        <v>9.5</v>
      </c>
      <c r="J185" s="1161"/>
      <c r="K185" s="1161"/>
      <c r="L185" s="1161"/>
      <c r="M185" s="1161"/>
      <c r="N185" s="1161"/>
      <c r="O185" s="1161"/>
    </row>
    <row r="186" spans="1:15" s="352" customFormat="1" x14ac:dyDescent="0.2">
      <c r="A186" s="1161" t="s">
        <v>164</v>
      </c>
      <c r="B186" s="1161">
        <v>1</v>
      </c>
      <c r="C186" s="1161" t="s">
        <v>135</v>
      </c>
      <c r="D186" s="1161" t="s">
        <v>151</v>
      </c>
      <c r="E186" s="1257">
        <v>3764062</v>
      </c>
      <c r="F186" s="1161">
        <v>22</v>
      </c>
      <c r="G186" s="1161">
        <v>27920335</v>
      </c>
      <c r="H186" s="1161">
        <v>22</v>
      </c>
      <c r="I186" s="1161">
        <v>7.4</v>
      </c>
      <c r="J186" s="1161"/>
      <c r="K186" s="1161"/>
      <c r="L186" s="1161"/>
      <c r="M186" s="1161"/>
      <c r="N186" s="1161"/>
      <c r="O186" s="1161"/>
    </row>
    <row r="187" spans="1:15" s="352" customFormat="1" x14ac:dyDescent="0.2">
      <c r="A187" s="1161" t="s">
        <v>164</v>
      </c>
      <c r="B187" s="1161">
        <v>1</v>
      </c>
      <c r="C187" s="1161" t="s">
        <v>135</v>
      </c>
      <c r="D187" s="1161" t="s">
        <v>152</v>
      </c>
      <c r="E187" s="1257">
        <v>2975518</v>
      </c>
      <c r="F187" s="1161">
        <v>18</v>
      </c>
      <c r="G187" s="1161">
        <v>2557786</v>
      </c>
      <c r="H187" s="1161">
        <v>2</v>
      </c>
      <c r="I187" s="1161">
        <v>0.9</v>
      </c>
      <c r="J187" s="1161"/>
      <c r="K187" s="1161"/>
      <c r="L187" s="1161"/>
      <c r="M187" s="1161"/>
      <c r="N187" s="1161"/>
      <c r="O187" s="1161"/>
    </row>
    <row r="188" spans="1:15" s="352" customFormat="1" x14ac:dyDescent="0.2">
      <c r="A188" s="1161" t="s">
        <v>164</v>
      </c>
      <c r="B188" s="1161">
        <v>3</v>
      </c>
      <c r="C188" s="1161" t="s">
        <v>153</v>
      </c>
      <c r="D188" s="1161" t="s">
        <v>3</v>
      </c>
      <c r="E188" s="1257">
        <v>68655</v>
      </c>
      <c r="F188" s="1161">
        <v>3</v>
      </c>
      <c r="G188" s="1161">
        <v>567369</v>
      </c>
      <c r="H188" s="1161">
        <v>3</v>
      </c>
      <c r="I188" s="1161">
        <v>8.3000000000000007</v>
      </c>
      <c r="J188" s="1161"/>
      <c r="K188" s="1161"/>
      <c r="L188" s="1161"/>
      <c r="M188" s="1161"/>
      <c r="N188" s="1161"/>
      <c r="O188" s="1161"/>
    </row>
    <row r="189" spans="1:15" s="352" customFormat="1" x14ac:dyDescent="0.2">
      <c r="A189" s="1161" t="s">
        <v>164</v>
      </c>
      <c r="B189" s="1161">
        <v>3</v>
      </c>
      <c r="C189" s="1161" t="s">
        <v>153</v>
      </c>
      <c r="D189" s="1161" t="s">
        <v>2</v>
      </c>
      <c r="E189" s="1257">
        <v>39701</v>
      </c>
      <c r="F189" s="1161">
        <v>2</v>
      </c>
      <c r="G189" s="1161">
        <v>174070</v>
      </c>
      <c r="H189" s="1161">
        <v>1</v>
      </c>
      <c r="I189" s="1161">
        <v>4.4000000000000004</v>
      </c>
      <c r="J189" s="1161"/>
      <c r="K189" s="1161"/>
      <c r="L189" s="1161"/>
      <c r="M189" s="1161"/>
      <c r="N189" s="1161"/>
      <c r="O189" s="1161"/>
    </row>
    <row r="190" spans="1:15" s="352" customFormat="1" x14ac:dyDescent="0.2">
      <c r="A190" s="1161" t="s">
        <v>164</v>
      </c>
      <c r="B190" s="1161">
        <v>3</v>
      </c>
      <c r="C190" s="1161" t="s">
        <v>153</v>
      </c>
      <c r="D190" s="1161" t="s">
        <v>4</v>
      </c>
      <c r="E190" s="1257">
        <v>15205</v>
      </c>
      <c r="F190" s="1161">
        <v>1</v>
      </c>
      <c r="G190" s="1161">
        <v>682004</v>
      </c>
      <c r="H190" s="1161">
        <v>4</v>
      </c>
      <c r="I190" s="1161">
        <v>44.9</v>
      </c>
      <c r="J190" s="1161"/>
      <c r="K190" s="1161"/>
      <c r="L190" s="1161"/>
      <c r="M190" s="1161"/>
      <c r="N190" s="1161"/>
      <c r="O190" s="1161"/>
    </row>
    <row r="191" spans="1:15" s="352" customFormat="1" x14ac:dyDescent="0.2">
      <c r="A191" s="1161" t="s">
        <v>164</v>
      </c>
      <c r="B191" s="1161">
        <v>3</v>
      </c>
      <c r="C191" s="1161" t="s">
        <v>153</v>
      </c>
      <c r="D191" s="1161" t="s">
        <v>150</v>
      </c>
      <c r="E191" s="1257">
        <v>1156513</v>
      </c>
      <c r="F191" s="1161">
        <v>57</v>
      </c>
      <c r="G191" s="1161">
        <v>12832307</v>
      </c>
      <c r="H191" s="1161">
        <v>67</v>
      </c>
      <c r="I191" s="1161">
        <v>11.1</v>
      </c>
      <c r="J191" s="1161"/>
      <c r="K191" s="1161"/>
      <c r="L191" s="1161"/>
      <c r="M191" s="1161"/>
      <c r="N191" s="1161"/>
      <c r="O191" s="1161"/>
    </row>
    <row r="192" spans="1:15" s="352" customFormat="1" x14ac:dyDescent="0.2">
      <c r="A192" s="1161" t="s">
        <v>164</v>
      </c>
      <c r="B192" s="1161">
        <v>3</v>
      </c>
      <c r="C192" s="1161" t="s">
        <v>153</v>
      </c>
      <c r="D192" s="1161" t="s">
        <v>152</v>
      </c>
      <c r="E192" s="1257">
        <v>263552</v>
      </c>
      <c r="F192" s="1161">
        <v>13</v>
      </c>
      <c r="G192" s="1161">
        <v>221733</v>
      </c>
      <c r="H192" s="1161">
        <v>1</v>
      </c>
      <c r="I192" s="1161">
        <v>0.8</v>
      </c>
      <c r="J192" s="1161"/>
      <c r="K192" s="1161"/>
      <c r="L192" s="1161"/>
      <c r="M192" s="1161"/>
      <c r="N192" s="1161"/>
      <c r="O192" s="1161"/>
    </row>
    <row r="193" spans="1:17" s="352" customFormat="1" x14ac:dyDescent="0.2">
      <c r="A193" s="1161" t="s">
        <v>164</v>
      </c>
      <c r="B193" s="1161">
        <v>3</v>
      </c>
      <c r="C193" s="1161" t="s">
        <v>153</v>
      </c>
      <c r="D193" s="1161" t="s">
        <v>151</v>
      </c>
      <c r="E193" s="1257">
        <v>470825</v>
      </c>
      <c r="F193" s="1161">
        <v>23</v>
      </c>
      <c r="G193" s="1161">
        <v>4610141</v>
      </c>
      <c r="H193" s="1161">
        <v>24</v>
      </c>
      <c r="I193" s="1161">
        <v>9.8000000000000007</v>
      </c>
      <c r="J193" s="1161"/>
      <c r="K193" s="1161"/>
      <c r="L193" s="1161"/>
      <c r="M193" s="1161"/>
      <c r="N193" s="1161"/>
      <c r="O193" s="1161"/>
    </row>
    <row r="194" spans="1:17" s="352" customFormat="1" x14ac:dyDescent="0.2">
      <c r="A194" s="1161" t="s">
        <v>164</v>
      </c>
      <c r="B194" s="1161">
        <v>5</v>
      </c>
      <c r="C194" s="1161" t="s">
        <v>154</v>
      </c>
      <c r="D194" s="1161" t="s">
        <v>150</v>
      </c>
      <c r="E194" s="1257">
        <v>835348</v>
      </c>
      <c r="F194" s="1161">
        <v>53</v>
      </c>
      <c r="G194" s="1161">
        <v>9946795</v>
      </c>
      <c r="H194" s="1161">
        <v>65</v>
      </c>
      <c r="I194" s="1161">
        <v>11.9</v>
      </c>
      <c r="J194" s="1161"/>
      <c r="K194" s="1161"/>
      <c r="L194" s="1161"/>
      <c r="M194" s="1161"/>
      <c r="N194" s="1161"/>
      <c r="O194" s="1161"/>
    </row>
    <row r="195" spans="1:17" s="352" customFormat="1" x14ac:dyDescent="0.2">
      <c r="A195" s="1161" t="s">
        <v>164</v>
      </c>
      <c r="B195" s="1161">
        <v>5</v>
      </c>
      <c r="C195" s="1161" t="s">
        <v>154</v>
      </c>
      <c r="D195" s="1161" t="s">
        <v>4</v>
      </c>
      <c r="E195" s="1257">
        <v>22587</v>
      </c>
      <c r="F195" s="1161">
        <v>1</v>
      </c>
      <c r="G195" s="1161">
        <v>1083272</v>
      </c>
      <c r="H195" s="1161">
        <v>7</v>
      </c>
      <c r="I195" s="1161">
        <v>48</v>
      </c>
      <c r="J195" s="1161"/>
      <c r="K195" s="1161"/>
      <c r="L195" s="1161"/>
      <c r="M195" s="1161"/>
      <c r="N195" s="1161"/>
      <c r="O195" s="1161"/>
    </row>
    <row r="196" spans="1:17" s="352" customFormat="1" x14ac:dyDescent="0.2">
      <c r="A196" s="1161" t="s">
        <v>164</v>
      </c>
      <c r="B196" s="1161">
        <v>5</v>
      </c>
      <c r="C196" s="1161" t="s">
        <v>154</v>
      </c>
      <c r="D196" s="1161" t="s">
        <v>2</v>
      </c>
      <c r="E196" s="1257">
        <v>27499</v>
      </c>
      <c r="F196" s="1161">
        <v>2</v>
      </c>
      <c r="G196" s="1161">
        <v>165050</v>
      </c>
      <c r="H196" s="1161">
        <v>1</v>
      </c>
      <c r="I196" s="1161">
        <v>6</v>
      </c>
      <c r="J196" s="1161"/>
      <c r="K196" s="1161"/>
      <c r="L196" s="1161"/>
      <c r="M196" s="1161"/>
      <c r="N196" s="1161"/>
      <c r="O196" s="1161"/>
    </row>
    <row r="197" spans="1:17" s="352" customFormat="1" x14ac:dyDescent="0.2">
      <c r="A197" s="1161" t="s">
        <v>164</v>
      </c>
      <c r="B197" s="1161">
        <v>5</v>
      </c>
      <c r="C197" s="1161" t="s">
        <v>154</v>
      </c>
      <c r="D197" s="1161" t="s">
        <v>3</v>
      </c>
      <c r="E197" s="1257">
        <v>47976</v>
      </c>
      <c r="F197" s="1161">
        <v>3</v>
      </c>
      <c r="G197" s="1161">
        <v>341649</v>
      </c>
      <c r="H197" s="1161">
        <v>2</v>
      </c>
      <c r="I197" s="1161">
        <v>7.1</v>
      </c>
      <c r="J197" s="1161"/>
      <c r="K197" s="1161"/>
      <c r="L197" s="1161"/>
      <c r="M197" s="1161"/>
      <c r="N197" s="1161"/>
      <c r="O197" s="1161"/>
    </row>
    <row r="198" spans="1:17" s="352" customFormat="1" x14ac:dyDescent="0.2">
      <c r="A198" s="1161" t="s">
        <v>164</v>
      </c>
      <c r="B198" s="1161">
        <v>5</v>
      </c>
      <c r="C198" s="1161" t="s">
        <v>154</v>
      </c>
      <c r="D198" s="1161" t="s">
        <v>151</v>
      </c>
      <c r="E198" s="1257">
        <v>379968</v>
      </c>
      <c r="F198" s="1161">
        <v>24</v>
      </c>
      <c r="G198" s="1161">
        <v>3501793</v>
      </c>
      <c r="H198" s="1161">
        <v>23</v>
      </c>
      <c r="I198" s="1161">
        <v>9.1999999999999993</v>
      </c>
      <c r="J198" s="1161"/>
      <c r="K198" s="1161"/>
      <c r="L198" s="1161"/>
      <c r="M198" s="1161"/>
      <c r="N198" s="1161"/>
      <c r="O198" s="1161"/>
    </row>
    <row r="199" spans="1:17" s="352" customFormat="1" x14ac:dyDescent="0.2">
      <c r="A199" s="1161" t="s">
        <v>164</v>
      </c>
      <c r="B199" s="1161">
        <v>5</v>
      </c>
      <c r="C199" s="1161" t="s">
        <v>154</v>
      </c>
      <c r="D199" s="1161" t="s">
        <v>152</v>
      </c>
      <c r="E199" s="1257">
        <v>254481</v>
      </c>
      <c r="F199" s="1161">
        <v>16</v>
      </c>
      <c r="G199" s="1161">
        <v>235940</v>
      </c>
      <c r="H199" s="1161">
        <v>2</v>
      </c>
      <c r="I199" s="1161">
        <v>0.9</v>
      </c>
      <c r="J199" s="1161"/>
      <c r="K199" s="1161"/>
      <c r="L199" s="1161"/>
      <c r="M199" s="1161"/>
      <c r="N199" s="1161"/>
      <c r="O199" s="1161"/>
    </row>
    <row r="201" spans="1:17" s="432" customFormat="1" ht="14.25" x14ac:dyDescent="0.2">
      <c r="A201" s="1161" t="str">
        <f>'Contents, list of sources'!G17</f>
        <v>Organisation</v>
      </c>
      <c r="B201" s="1161"/>
      <c r="C201" s="1161" t="str">
        <f>'Contents, list of sources'!I17</f>
        <v>Title</v>
      </c>
      <c r="D201" s="1161"/>
      <c r="E201" s="1257"/>
      <c r="F201" s="1161"/>
      <c r="G201" s="1161" t="str">
        <f>'Contents, list of sources'!M17</f>
        <v>Date published</v>
      </c>
      <c r="H201" s="1161"/>
      <c r="I201" s="1161" t="str">
        <f>'Contents, list of sources'!O17</f>
        <v>Link</v>
      </c>
      <c r="J201" s="1161"/>
      <c r="K201" s="1161"/>
      <c r="L201" s="1161"/>
      <c r="M201" s="1161"/>
      <c r="N201" s="1161" t="str">
        <f>'Contents, list of sources'!T17</f>
        <v>Date accessed</v>
      </c>
      <c r="O201" s="1161">
        <f>'Contents, list of sources'!U17</f>
        <v>0</v>
      </c>
      <c r="P201" s="431"/>
      <c r="Q201" s="431"/>
    </row>
    <row r="202" spans="1:17" x14ac:dyDescent="0.2">
      <c r="A202" s="1161" t="str">
        <f>'Contents, list of sources'!G478</f>
        <v>Transport Performance and Analytics</v>
      </c>
      <c r="C202" s="1161" t="str">
        <f>'Contents, list of sources'!I478</f>
        <v>Household Travel survey  2007-08 - 2017-18 - Data by region</v>
      </c>
      <c r="G202" s="1210">
        <f>'Contents, list of sources'!M478</f>
        <v>43536</v>
      </c>
      <c r="I202" s="1161">
        <f>'Contents, list of sources'!O478</f>
        <v>0</v>
      </c>
      <c r="N202" s="1210">
        <f>'Contents, list of sources'!T478</f>
        <v>43571</v>
      </c>
      <c r="O202" s="1161">
        <f>'Contents, list of sources'!U478</f>
        <v>0</v>
      </c>
      <c r="P202" s="74"/>
      <c r="Q202" s="7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56"/>
  <sheetViews>
    <sheetView zoomScale="75" zoomScaleNormal="75" workbookViewId="0">
      <selection activeCell="J39" sqref="J39"/>
    </sheetView>
  </sheetViews>
  <sheetFormatPr defaultRowHeight="12" x14ac:dyDescent="0.2"/>
  <cols>
    <col min="1" max="1" width="9.28515625" style="714" bestFit="1" customWidth="1"/>
    <col min="2" max="3" width="12.140625" style="714" bestFit="1" customWidth="1"/>
    <col min="4" max="5" width="9.28515625" style="714" bestFit="1" customWidth="1"/>
    <col min="6" max="7" width="12.140625" style="714" bestFit="1" customWidth="1"/>
    <col min="10" max="10" width="46" customWidth="1"/>
    <col min="11" max="11" width="27.28515625" customWidth="1"/>
  </cols>
  <sheetData>
    <row r="1" spans="1:15" ht="12.75" x14ac:dyDescent="0.2">
      <c r="A1" s="663" t="s">
        <v>653</v>
      </c>
      <c r="J1" s="677"/>
    </row>
    <row r="3" spans="1:15" ht="12.75" x14ac:dyDescent="0.2">
      <c r="A3" s="660" t="s">
        <v>458</v>
      </c>
      <c r="B3" s="660" t="s">
        <v>3</v>
      </c>
      <c r="C3" s="660" t="s">
        <v>7</v>
      </c>
      <c r="D3" s="660" t="s">
        <v>8</v>
      </c>
      <c r="E3" s="660" t="s">
        <v>626</v>
      </c>
      <c r="F3" s="660" t="s">
        <v>4</v>
      </c>
      <c r="G3" s="660" t="s">
        <v>650</v>
      </c>
    </row>
    <row r="4" spans="1:15" ht="31.5" customHeight="1" x14ac:dyDescent="0.2">
      <c r="A4" s="662">
        <v>0</v>
      </c>
      <c r="B4" s="687">
        <v>2.6750311370261792E-2</v>
      </c>
      <c r="C4" s="687">
        <v>5.5798950685925796E-4</v>
      </c>
      <c r="D4" s="687">
        <v>2.8925028189038453E-3</v>
      </c>
      <c r="E4" s="687">
        <v>6.324693212343207E-4</v>
      </c>
      <c r="F4" s="687">
        <v>1.4968604214980789E-3</v>
      </c>
      <c r="G4" s="687">
        <v>3.2330133438757298E-2</v>
      </c>
      <c r="J4" s="1260" t="s">
        <v>968</v>
      </c>
      <c r="K4" s="1260"/>
    </row>
    <row r="5" spans="1:15" ht="12.75" x14ac:dyDescent="0.2">
      <c r="A5" s="662">
        <v>1</v>
      </c>
      <c r="B5" s="687">
        <v>7.6471244289932933E-2</v>
      </c>
      <c r="C5" s="687">
        <v>2.9873836250631091E-3</v>
      </c>
      <c r="D5" s="687">
        <v>7.0710091217311404E-3</v>
      </c>
      <c r="E5" s="687">
        <v>0</v>
      </c>
      <c r="F5" s="687">
        <v>1.1471516346904928E-2</v>
      </c>
      <c r="G5" s="687">
        <v>9.8001153383632106E-2</v>
      </c>
      <c r="J5" s="1260"/>
      <c r="K5" s="1260"/>
    </row>
    <row r="6" spans="1:15" ht="12.75" x14ac:dyDescent="0.2">
      <c r="A6" s="662">
        <v>2</v>
      </c>
      <c r="B6" s="687">
        <v>6.5648065133130207E-2</v>
      </c>
      <c r="C6" s="687">
        <v>1.7213033185921891E-3</v>
      </c>
      <c r="D6" s="687">
        <v>1.7457042539677265E-3</v>
      </c>
      <c r="E6" s="687">
        <v>0</v>
      </c>
      <c r="F6" s="687">
        <v>1.2717096329367256E-2</v>
      </c>
      <c r="G6" s="687">
        <v>8.183216903505737E-2</v>
      </c>
      <c r="J6" s="1378" t="s">
        <v>983</v>
      </c>
    </row>
    <row r="7" spans="1:15" ht="12.75" x14ac:dyDescent="0.2">
      <c r="A7" s="662">
        <v>3</v>
      </c>
      <c r="B7" s="687">
        <v>4.320829362970955E-2</v>
      </c>
      <c r="C7" s="687">
        <v>2.6224605550985098E-3</v>
      </c>
      <c r="D7" s="687">
        <v>5.9390795826185416E-4</v>
      </c>
      <c r="E7" s="687">
        <v>0</v>
      </c>
      <c r="F7" s="687">
        <v>4.3110223362145442E-2</v>
      </c>
      <c r="G7" s="687">
        <v>8.953488550521535E-2</v>
      </c>
      <c r="J7" s="1378"/>
    </row>
    <row r="8" spans="1:15" ht="12.75" x14ac:dyDescent="0.2">
      <c r="A8" s="662">
        <v>4</v>
      </c>
      <c r="B8" s="687">
        <v>3.9124652011246402E-2</v>
      </c>
      <c r="C8" s="687">
        <v>1.3115723851458408E-3</v>
      </c>
      <c r="D8" s="687">
        <v>6.7651283264158393E-4</v>
      </c>
      <c r="E8" s="687">
        <v>0</v>
      </c>
      <c r="F8" s="687">
        <v>2.0222650868278569E-2</v>
      </c>
      <c r="G8" s="687">
        <v>6.1335388097312399E-2</v>
      </c>
    </row>
    <row r="9" spans="1:15" ht="12.75" x14ac:dyDescent="0.2">
      <c r="A9" s="662">
        <v>5</v>
      </c>
      <c r="B9" s="687">
        <v>2.6879897891160732E-2</v>
      </c>
      <c r="C9" s="687">
        <v>5.3124858337113895E-4</v>
      </c>
      <c r="D9" s="687">
        <v>7.1100934871807749E-4</v>
      </c>
      <c r="E9" s="687">
        <v>0</v>
      </c>
      <c r="F9" s="687">
        <v>1.8747743837078265E-2</v>
      </c>
      <c r="G9" s="687">
        <v>4.6869899660328215E-2</v>
      </c>
    </row>
    <row r="10" spans="1:15" ht="12.75" x14ac:dyDescent="0.2">
      <c r="A10" s="662">
        <v>6</v>
      </c>
      <c r="B10" s="687">
        <v>2.1053524321252709E-2</v>
      </c>
      <c r="C10" s="687">
        <v>9.3115773766748043E-4</v>
      </c>
      <c r="D10" s="687">
        <v>1.0441849314302425E-3</v>
      </c>
      <c r="E10" s="687">
        <v>0</v>
      </c>
      <c r="F10" s="687">
        <v>3.5906768678450968E-2</v>
      </c>
      <c r="G10" s="687">
        <v>5.8935635668801403E-2</v>
      </c>
    </row>
    <row r="11" spans="1:15" ht="12.75" x14ac:dyDescent="0.2">
      <c r="A11" s="662">
        <v>7</v>
      </c>
      <c r="B11" s="687">
        <v>1.5158248076838375E-2</v>
      </c>
      <c r="C11" s="687">
        <v>3.5104706777598388E-4</v>
      </c>
      <c r="D11" s="687">
        <v>0</v>
      </c>
      <c r="E11" s="687">
        <v>0</v>
      </c>
      <c r="F11" s="687">
        <v>1.3640771728911648E-2</v>
      </c>
      <c r="G11" s="687">
        <v>2.9150066873526007E-2</v>
      </c>
    </row>
    <row r="12" spans="1:15" ht="12.75" x14ac:dyDescent="0.2">
      <c r="A12" s="662">
        <v>8</v>
      </c>
      <c r="B12" s="687">
        <v>1.0805498614615026E-2</v>
      </c>
      <c r="C12" s="687">
        <v>5.4139092850221976E-4</v>
      </c>
      <c r="D12" s="687">
        <v>0</v>
      </c>
      <c r="E12" s="687">
        <v>0</v>
      </c>
      <c r="F12" s="687">
        <v>2.0668133732192843E-2</v>
      </c>
      <c r="G12" s="687">
        <v>3.2015023275310091E-2</v>
      </c>
    </row>
    <row r="13" spans="1:15" ht="12.75" x14ac:dyDescent="0.2">
      <c r="A13" s="662">
        <v>9</v>
      </c>
      <c r="B13" s="687">
        <v>8.006359666485106E-3</v>
      </c>
      <c r="C13" s="687">
        <v>5.675015207269765E-3</v>
      </c>
      <c r="D13" s="687">
        <v>0</v>
      </c>
      <c r="E13" s="687">
        <v>0</v>
      </c>
      <c r="F13" s="687">
        <v>2.1578509194965519E-2</v>
      </c>
      <c r="G13" s="687">
        <v>3.5259884068720389E-2</v>
      </c>
      <c r="K13" s="1217"/>
      <c r="L13" s="1217"/>
      <c r="M13" s="1217"/>
      <c r="N13" s="1217"/>
      <c r="O13" s="1217"/>
    </row>
    <row r="14" spans="1:15" ht="12.75" x14ac:dyDescent="0.2">
      <c r="A14" s="662">
        <v>10</v>
      </c>
      <c r="B14" s="687">
        <v>6.8026193168432324E-3</v>
      </c>
      <c r="C14" s="687">
        <v>1.8948189248725968E-4</v>
      </c>
      <c r="D14" s="687">
        <v>0</v>
      </c>
      <c r="E14" s="687">
        <v>0</v>
      </c>
      <c r="F14" s="687">
        <v>1.6379297304283721E-2</v>
      </c>
      <c r="G14" s="687">
        <v>2.3371398513614212E-2</v>
      </c>
    </row>
    <row r="15" spans="1:15" ht="12.75" x14ac:dyDescent="0.2">
      <c r="A15" s="662">
        <v>11</v>
      </c>
      <c r="B15" s="687">
        <v>5.4554767964567191E-3</v>
      </c>
      <c r="C15" s="687">
        <v>2.3109421865538638E-4</v>
      </c>
      <c r="D15" s="687">
        <v>0</v>
      </c>
      <c r="E15" s="687">
        <v>0</v>
      </c>
      <c r="F15" s="687">
        <v>2.3771712660828441E-2</v>
      </c>
      <c r="G15" s="687">
        <v>2.9458283675940548E-2</v>
      </c>
    </row>
    <row r="16" spans="1:15" ht="12.75" x14ac:dyDescent="0.2">
      <c r="A16" s="662">
        <v>12</v>
      </c>
      <c r="B16" s="687">
        <v>5.0941795558477124E-3</v>
      </c>
      <c r="C16" s="687">
        <v>4.6706030779496946E-4</v>
      </c>
      <c r="D16" s="687">
        <v>0</v>
      </c>
      <c r="E16" s="687">
        <v>0</v>
      </c>
      <c r="F16" s="687">
        <v>1.6218011621404418E-2</v>
      </c>
      <c r="G16" s="687">
        <v>2.1779251485047099E-2</v>
      </c>
    </row>
    <row r="17" spans="1:7" ht="12.75" x14ac:dyDescent="0.2">
      <c r="A17" s="662">
        <v>13</v>
      </c>
      <c r="B17" s="687">
        <v>2.9113234060969195E-3</v>
      </c>
      <c r="C17" s="687">
        <v>2.0105550048184851E-5</v>
      </c>
      <c r="D17" s="687">
        <v>0</v>
      </c>
      <c r="E17" s="687">
        <v>0</v>
      </c>
      <c r="F17" s="687">
        <v>1.8184125289567355E-2</v>
      </c>
      <c r="G17" s="687">
        <v>2.1115554245712459E-2</v>
      </c>
    </row>
    <row r="18" spans="1:7" ht="12.75" x14ac:dyDescent="0.2">
      <c r="A18" s="662">
        <v>14</v>
      </c>
      <c r="B18" s="687">
        <v>3.855834262798917E-3</v>
      </c>
      <c r="C18" s="687">
        <v>8.0372893857636273E-6</v>
      </c>
      <c r="D18" s="687">
        <v>0</v>
      </c>
      <c r="E18" s="687">
        <v>0</v>
      </c>
      <c r="F18" s="687">
        <v>2.4302973473419053E-2</v>
      </c>
      <c r="G18" s="687">
        <v>2.8166845025603734E-2</v>
      </c>
    </row>
    <row r="19" spans="1:7" ht="12.75" x14ac:dyDescent="0.2">
      <c r="A19" s="662">
        <v>15</v>
      </c>
      <c r="B19" s="687">
        <v>1.7140355182363157E-3</v>
      </c>
      <c r="C19" s="687">
        <v>4.5884558001769977E-5</v>
      </c>
      <c r="D19" s="687">
        <v>0</v>
      </c>
      <c r="E19" s="687">
        <v>0</v>
      </c>
      <c r="F19" s="687">
        <v>1.2410392427576637E-2</v>
      </c>
      <c r="G19" s="687">
        <v>1.4170312503814722E-2</v>
      </c>
    </row>
    <row r="20" spans="1:7" ht="12.75" x14ac:dyDescent="0.2">
      <c r="A20" s="662">
        <v>16</v>
      </c>
      <c r="B20" s="687">
        <v>1.5140878803377074E-3</v>
      </c>
      <c r="C20" s="687">
        <v>1.049932183789807E-4</v>
      </c>
      <c r="D20" s="687">
        <v>0</v>
      </c>
      <c r="E20" s="687">
        <v>0</v>
      </c>
      <c r="F20" s="687">
        <v>1.4818921508068581E-2</v>
      </c>
      <c r="G20" s="687">
        <v>1.6438002606785268E-2</v>
      </c>
    </row>
    <row r="21" spans="1:7" ht="12.75" x14ac:dyDescent="0.2">
      <c r="A21" s="662">
        <v>17</v>
      </c>
      <c r="B21" s="687">
        <v>1.8408882599331845E-3</v>
      </c>
      <c r="C21" s="687">
        <v>8.3945127425255904E-6</v>
      </c>
      <c r="D21" s="687">
        <v>0</v>
      </c>
      <c r="E21" s="687">
        <v>0</v>
      </c>
      <c r="F21" s="687">
        <v>1.1923781348527639E-2</v>
      </c>
      <c r="G21" s="687">
        <v>1.3773064121203349E-2</v>
      </c>
    </row>
    <row r="22" spans="1:7" ht="12.75" x14ac:dyDescent="0.2">
      <c r="A22" s="662">
        <v>18</v>
      </c>
      <c r="B22" s="687">
        <v>1.0508252761744637E-3</v>
      </c>
      <c r="C22" s="687">
        <v>2.6507723226063559E-5</v>
      </c>
      <c r="D22" s="687">
        <v>0</v>
      </c>
      <c r="E22" s="687">
        <v>0</v>
      </c>
      <c r="F22" s="687">
        <v>1.7649730594540766E-2</v>
      </c>
      <c r="G22" s="687">
        <v>1.8727063593941294E-2</v>
      </c>
    </row>
    <row r="23" spans="1:7" ht="12.75" x14ac:dyDescent="0.2">
      <c r="A23" s="662">
        <v>19</v>
      </c>
      <c r="B23" s="687">
        <v>2.0937357863840284E-3</v>
      </c>
      <c r="C23" s="687">
        <v>3.4868472854943493E-5</v>
      </c>
      <c r="D23" s="687">
        <v>0</v>
      </c>
      <c r="E23" s="687">
        <v>0</v>
      </c>
      <c r="F23" s="687">
        <v>1.6209151877714642E-2</v>
      </c>
      <c r="G23" s="687">
        <v>1.8337756136953615E-2</v>
      </c>
    </row>
    <row r="24" spans="1:7" ht="12.75" x14ac:dyDescent="0.2">
      <c r="A24" s="662">
        <v>20</v>
      </c>
      <c r="B24" s="687">
        <v>1.604760200820649E-3</v>
      </c>
      <c r="C24" s="687">
        <v>3.7242164118321929E-8</v>
      </c>
      <c r="D24" s="687">
        <v>0</v>
      </c>
      <c r="E24" s="687">
        <v>0</v>
      </c>
      <c r="F24" s="687">
        <v>1.1397962120785692E-2</v>
      </c>
      <c r="G24" s="687">
        <v>1.3002759563770458E-2</v>
      </c>
    </row>
    <row r="25" spans="1:7" ht="12.75" x14ac:dyDescent="0.2">
      <c r="A25" s="662">
        <v>21</v>
      </c>
      <c r="B25" s="687">
        <v>1.3469059764423647E-3</v>
      </c>
      <c r="C25" s="687">
        <v>7.0980550621782313E-7</v>
      </c>
      <c r="D25" s="687">
        <v>0</v>
      </c>
      <c r="E25" s="687">
        <v>0</v>
      </c>
      <c r="F25" s="687">
        <v>1.514218234469621E-2</v>
      </c>
      <c r="G25" s="687">
        <v>1.6489798126644792E-2</v>
      </c>
    </row>
    <row r="26" spans="1:7" ht="12.75" x14ac:dyDescent="0.2">
      <c r="A26" s="662">
        <v>22</v>
      </c>
      <c r="B26" s="687">
        <v>2.3072740324294513E-3</v>
      </c>
      <c r="C26" s="687">
        <v>1.3999169758131593E-5</v>
      </c>
      <c r="D26" s="687">
        <v>0</v>
      </c>
      <c r="E26" s="687">
        <v>0</v>
      </c>
      <c r="F26" s="687">
        <v>1.0974020290647851E-2</v>
      </c>
      <c r="G26" s="687">
        <v>1.3295293492835434E-2</v>
      </c>
    </row>
    <row r="27" spans="1:7" ht="12.75" x14ac:dyDescent="0.2">
      <c r="A27" s="662">
        <v>23</v>
      </c>
      <c r="B27" s="687">
        <v>1.9860863553044553E-3</v>
      </c>
      <c r="C27" s="687">
        <v>0</v>
      </c>
      <c r="D27" s="687">
        <v>0</v>
      </c>
      <c r="E27" s="687">
        <v>0</v>
      </c>
      <c r="F27" s="687">
        <v>1.3401881106810336E-2</v>
      </c>
      <c r="G27" s="687">
        <v>1.5387967462114792E-2</v>
      </c>
    </row>
    <row r="28" spans="1:7" ht="12.75" x14ac:dyDescent="0.2">
      <c r="A28" s="662">
        <v>24</v>
      </c>
      <c r="B28" s="687">
        <v>1.1760203855009897E-3</v>
      </c>
      <c r="C28" s="687">
        <v>2.6069514882825351E-7</v>
      </c>
      <c r="D28" s="687">
        <v>0</v>
      </c>
      <c r="E28" s="687">
        <v>0</v>
      </c>
      <c r="F28" s="687">
        <v>1.0843548551555865E-2</v>
      </c>
      <c r="G28" s="687">
        <v>1.2019829632205683E-2</v>
      </c>
    </row>
    <row r="29" spans="1:7" ht="12.75" x14ac:dyDescent="0.2">
      <c r="A29" s="662">
        <v>25</v>
      </c>
      <c r="B29" s="687">
        <v>6.0873375124854273E-4</v>
      </c>
      <c r="C29" s="687">
        <v>1.91698547379207E-6</v>
      </c>
      <c r="D29" s="687">
        <v>0</v>
      </c>
      <c r="E29" s="687">
        <v>0</v>
      </c>
      <c r="F29" s="687">
        <v>9.8506395194954653E-3</v>
      </c>
      <c r="G29" s="687">
        <v>1.04612902562178E-2</v>
      </c>
    </row>
    <row r="30" spans="1:7" ht="12.75" x14ac:dyDescent="0.2">
      <c r="A30" s="662">
        <v>26</v>
      </c>
      <c r="B30" s="687">
        <v>5.4113184553290306E-4</v>
      </c>
      <c r="C30" s="687">
        <v>0</v>
      </c>
      <c r="D30" s="687">
        <v>0</v>
      </c>
      <c r="E30" s="687">
        <v>0</v>
      </c>
      <c r="F30" s="687">
        <v>1.5052199593350529E-2</v>
      </c>
      <c r="G30" s="687">
        <v>1.5593331438883432E-2</v>
      </c>
    </row>
    <row r="31" spans="1:7" ht="12.75" x14ac:dyDescent="0.2">
      <c r="A31" s="662">
        <v>27</v>
      </c>
      <c r="B31" s="687">
        <v>5.5504098032131287E-4</v>
      </c>
      <c r="C31" s="687">
        <v>0</v>
      </c>
      <c r="D31" s="687">
        <v>0</v>
      </c>
      <c r="E31" s="687">
        <v>0</v>
      </c>
      <c r="F31" s="687">
        <v>7.0647193049568407E-3</v>
      </c>
      <c r="G31" s="687">
        <v>7.6197602852781533E-3</v>
      </c>
    </row>
    <row r="32" spans="1:7" ht="12.75" x14ac:dyDescent="0.2">
      <c r="A32" s="662">
        <v>28</v>
      </c>
      <c r="B32" s="687">
        <v>7.8310079837092233E-4</v>
      </c>
      <c r="C32" s="687">
        <v>0</v>
      </c>
      <c r="D32" s="687">
        <v>0</v>
      </c>
      <c r="E32" s="687">
        <v>0</v>
      </c>
      <c r="F32" s="687">
        <v>8.1833828286424631E-3</v>
      </c>
      <c r="G32" s="687">
        <v>8.9664836270133847E-3</v>
      </c>
    </row>
    <row r="33" spans="1:10" ht="12.75" x14ac:dyDescent="0.2">
      <c r="A33" s="662">
        <v>29</v>
      </c>
      <c r="B33" s="687">
        <v>5.0191350756258776E-4</v>
      </c>
      <c r="C33" s="687">
        <v>0</v>
      </c>
      <c r="D33" s="687">
        <v>0</v>
      </c>
      <c r="E33" s="687">
        <v>0</v>
      </c>
      <c r="F33" s="687">
        <v>7.6456987361397683E-3</v>
      </c>
      <c r="G33" s="687">
        <v>8.1476122437023554E-3</v>
      </c>
    </row>
    <row r="34" spans="1:10" ht="12.75" x14ac:dyDescent="0.2">
      <c r="A34" s="662">
        <v>30</v>
      </c>
      <c r="B34" s="687">
        <v>7.5302976481738727E-4</v>
      </c>
      <c r="C34" s="687">
        <v>0</v>
      </c>
      <c r="D34" s="687">
        <v>0</v>
      </c>
      <c r="E34" s="687">
        <v>0</v>
      </c>
      <c r="F34" s="687">
        <v>5.4883535139328195E-3</v>
      </c>
      <c r="G34" s="687">
        <v>6.2413832787502066E-3</v>
      </c>
    </row>
    <row r="35" spans="1:10" ht="12.75" x14ac:dyDescent="0.2">
      <c r="A35" s="662">
        <v>31</v>
      </c>
      <c r="B35" s="687">
        <v>3.9153253937167817E-4</v>
      </c>
      <c r="C35" s="687">
        <v>0</v>
      </c>
      <c r="D35" s="687">
        <v>0</v>
      </c>
      <c r="E35" s="687">
        <v>0</v>
      </c>
      <c r="F35" s="687">
        <v>7.9654952571473064E-3</v>
      </c>
      <c r="G35" s="687">
        <v>8.357027796518984E-3</v>
      </c>
    </row>
    <row r="36" spans="1:10" ht="12.75" x14ac:dyDescent="0.2">
      <c r="A36" s="662">
        <v>32</v>
      </c>
      <c r="B36" s="687">
        <v>3.8471581390976981E-4</v>
      </c>
      <c r="C36" s="687">
        <v>0</v>
      </c>
      <c r="D36" s="687">
        <v>0</v>
      </c>
      <c r="E36" s="687">
        <v>0</v>
      </c>
      <c r="F36" s="687">
        <v>6.6005626712634458E-3</v>
      </c>
      <c r="G36" s="687">
        <v>6.985278485173216E-3</v>
      </c>
    </row>
    <row r="37" spans="1:10" ht="12.75" x14ac:dyDescent="0.2">
      <c r="A37" s="662">
        <v>33</v>
      </c>
      <c r="B37" s="687">
        <v>8.0242482610359752E-5</v>
      </c>
      <c r="C37" s="687">
        <v>0</v>
      </c>
      <c r="D37" s="687">
        <v>0</v>
      </c>
      <c r="E37" s="687">
        <v>0</v>
      </c>
      <c r="F37" s="687">
        <v>5.8547430335402556E-3</v>
      </c>
      <c r="G37" s="687">
        <v>5.9349855161506156E-3</v>
      </c>
    </row>
    <row r="38" spans="1:10" ht="12.75" x14ac:dyDescent="0.2">
      <c r="A38" s="662">
        <v>34</v>
      </c>
      <c r="B38" s="687">
        <v>5.1629943490373343E-5</v>
      </c>
      <c r="C38" s="687">
        <v>0</v>
      </c>
      <c r="D38" s="687">
        <v>0</v>
      </c>
      <c r="E38" s="687">
        <v>0</v>
      </c>
      <c r="F38" s="687">
        <v>5.3966003985934426E-3</v>
      </c>
      <c r="G38" s="687">
        <v>5.4482303420838162E-3</v>
      </c>
    </row>
    <row r="39" spans="1:10" ht="12.75" x14ac:dyDescent="0.2">
      <c r="A39" s="662">
        <v>35</v>
      </c>
      <c r="B39" s="687">
        <v>2.2882411878652883E-5</v>
      </c>
      <c r="C39" s="687">
        <v>0</v>
      </c>
      <c r="D39" s="687">
        <v>0</v>
      </c>
      <c r="E39" s="687">
        <v>0</v>
      </c>
      <c r="F39" s="687">
        <v>4.7504398994255535E-3</v>
      </c>
      <c r="G39" s="687">
        <v>4.7733223113042064E-3</v>
      </c>
    </row>
    <row r="40" spans="1:10" ht="12.75" x14ac:dyDescent="0.2">
      <c r="A40" s="662">
        <v>36</v>
      </c>
      <c r="B40" s="687">
        <v>2.0028861331978501E-5</v>
      </c>
      <c r="C40" s="687">
        <v>0</v>
      </c>
      <c r="D40" s="687">
        <v>0</v>
      </c>
      <c r="E40" s="687">
        <v>0</v>
      </c>
      <c r="F40" s="687">
        <v>5.0038962418559206E-3</v>
      </c>
      <c r="G40" s="687">
        <v>5.0239251031878995E-3</v>
      </c>
    </row>
    <row r="41" spans="1:10" ht="12.75" x14ac:dyDescent="0.2">
      <c r="A41" s="662">
        <v>37</v>
      </c>
      <c r="B41" s="687">
        <v>3.8620941410497076E-5</v>
      </c>
      <c r="C41" s="687">
        <v>0</v>
      </c>
      <c r="D41" s="687">
        <v>0</v>
      </c>
      <c r="E41" s="687">
        <v>0</v>
      </c>
      <c r="F41" s="687">
        <v>2.0213765555330576E-3</v>
      </c>
      <c r="G41" s="687">
        <v>2.0599974969435545E-3</v>
      </c>
    </row>
    <row r="42" spans="1:10" ht="12.75" x14ac:dyDescent="0.2">
      <c r="A42" s="662">
        <v>38</v>
      </c>
      <c r="B42" s="687">
        <v>9.9434561116523265E-5</v>
      </c>
      <c r="C42" s="687">
        <v>0</v>
      </c>
      <c r="D42" s="687">
        <v>0</v>
      </c>
      <c r="E42" s="687">
        <v>0</v>
      </c>
      <c r="F42" s="687">
        <v>5.9750723539035121E-3</v>
      </c>
      <c r="G42" s="687">
        <v>6.0745069150200349E-3</v>
      </c>
      <c r="J42" s="677"/>
    </row>
    <row r="43" spans="1:10" ht="12.75" x14ac:dyDescent="0.2">
      <c r="A43" s="662">
        <v>39</v>
      </c>
      <c r="B43" s="687">
        <v>2.6860072944152733E-5</v>
      </c>
      <c r="C43" s="687">
        <v>0</v>
      </c>
      <c r="D43" s="687">
        <v>0</v>
      </c>
      <c r="E43" s="687">
        <v>0</v>
      </c>
      <c r="F43" s="687">
        <v>2.2802115526693156E-3</v>
      </c>
      <c r="G43" s="687">
        <v>2.3070716256134681E-3</v>
      </c>
    </row>
    <row r="44" spans="1:10" ht="12.75" x14ac:dyDescent="0.2">
      <c r="A44" s="662">
        <v>40</v>
      </c>
      <c r="B44" s="687">
        <v>3.7434065797383561E-5</v>
      </c>
      <c r="C44" s="687">
        <v>0</v>
      </c>
      <c r="D44" s="687">
        <v>0</v>
      </c>
      <c r="E44" s="687">
        <v>0</v>
      </c>
      <c r="F44" s="687">
        <v>3.2150518181058045E-3</v>
      </c>
      <c r="G44" s="687">
        <v>3.2524858839031879E-3</v>
      </c>
    </row>
    <row r="45" spans="1:10" ht="12.75" x14ac:dyDescent="0.2">
      <c r="A45" s="662">
        <v>41</v>
      </c>
      <c r="B45" s="687">
        <v>1.5353751325460902E-5</v>
      </c>
      <c r="C45" s="687">
        <v>0</v>
      </c>
      <c r="D45" s="687">
        <v>0</v>
      </c>
      <c r="E45" s="687">
        <v>0</v>
      </c>
      <c r="F45" s="687">
        <v>2.5025047888531599E-3</v>
      </c>
      <c r="G45" s="687">
        <v>2.517858540178621E-3</v>
      </c>
    </row>
    <row r="46" spans="1:10" ht="12.75" x14ac:dyDescent="0.2">
      <c r="A46" s="662">
        <v>42</v>
      </c>
      <c r="B46" s="687">
        <v>1.6480298663622758E-5</v>
      </c>
      <c r="C46" s="687">
        <v>0</v>
      </c>
      <c r="D46" s="687">
        <v>0</v>
      </c>
      <c r="E46" s="687">
        <v>0</v>
      </c>
      <c r="F46" s="687">
        <v>1.5472129518401181E-3</v>
      </c>
      <c r="G46" s="687">
        <v>1.5636932505037409E-3</v>
      </c>
    </row>
    <row r="47" spans="1:10" ht="12.75" x14ac:dyDescent="0.2">
      <c r="A47" s="662">
        <v>43</v>
      </c>
      <c r="B47" s="687">
        <v>1.0863749945550058E-5</v>
      </c>
      <c r="C47" s="687">
        <v>0</v>
      </c>
      <c r="D47" s="687">
        <v>0</v>
      </c>
      <c r="E47" s="687">
        <v>0</v>
      </c>
      <c r="F47" s="687">
        <v>3.1340872333868756E-3</v>
      </c>
      <c r="G47" s="687">
        <v>3.1449509833324256E-3</v>
      </c>
    </row>
    <row r="48" spans="1:10" ht="12.75" x14ac:dyDescent="0.2">
      <c r="A48" s="662">
        <v>44</v>
      </c>
      <c r="B48" s="687">
        <v>9.9324634112253198E-6</v>
      </c>
      <c r="C48" s="687">
        <v>0</v>
      </c>
      <c r="D48" s="687">
        <v>0</v>
      </c>
      <c r="E48" s="687">
        <v>0</v>
      </c>
      <c r="F48" s="687">
        <v>2.4766779291155202E-3</v>
      </c>
      <c r="G48" s="687">
        <v>2.4866103925267457E-3</v>
      </c>
    </row>
    <row r="49" spans="1:7" ht="12.75" x14ac:dyDescent="0.2">
      <c r="A49" s="662">
        <v>45</v>
      </c>
      <c r="B49" s="687">
        <v>6.4281609707818125E-6</v>
      </c>
      <c r="C49" s="687">
        <v>0</v>
      </c>
      <c r="D49" s="687">
        <v>0</v>
      </c>
      <c r="E49" s="687">
        <v>0</v>
      </c>
      <c r="F49" s="687">
        <v>2.4133789744793192E-3</v>
      </c>
      <c r="G49" s="687">
        <v>2.4198071354501012E-3</v>
      </c>
    </row>
    <row r="50" spans="1:7" ht="12.75" x14ac:dyDescent="0.2">
      <c r="A50" s="662">
        <v>46</v>
      </c>
      <c r="B50" s="687">
        <v>5.8803180174888277E-6</v>
      </c>
      <c r="C50" s="687">
        <v>0</v>
      </c>
      <c r="D50" s="687">
        <v>0</v>
      </c>
      <c r="E50" s="687">
        <v>0</v>
      </c>
      <c r="F50" s="687">
        <v>1.8547605945574992E-3</v>
      </c>
      <c r="G50" s="687">
        <v>1.860640912574988E-3</v>
      </c>
    </row>
    <row r="51" spans="1:7" ht="12.75" x14ac:dyDescent="0.2">
      <c r="A51" s="662">
        <v>47</v>
      </c>
      <c r="B51" s="687">
        <v>3.1318807992602898E-6</v>
      </c>
      <c r="C51" s="687">
        <v>0</v>
      </c>
      <c r="D51" s="687">
        <v>0</v>
      </c>
      <c r="E51" s="687">
        <v>0</v>
      </c>
      <c r="F51" s="687">
        <v>3.2166360312417576E-3</v>
      </c>
      <c r="G51" s="687">
        <v>3.2197679120410179E-3</v>
      </c>
    </row>
    <row r="52" spans="1:7" ht="12.75" x14ac:dyDescent="0.2">
      <c r="A52" s="662">
        <v>48</v>
      </c>
      <c r="B52" s="687">
        <v>2.7616635460467768E-6</v>
      </c>
      <c r="C52" s="687">
        <v>0</v>
      </c>
      <c r="D52" s="687">
        <v>0</v>
      </c>
      <c r="E52" s="687">
        <v>0</v>
      </c>
      <c r="F52" s="687">
        <v>7.3998070051162711E-4</v>
      </c>
      <c r="G52" s="687">
        <v>7.4274236405767388E-4</v>
      </c>
    </row>
    <row r="53" spans="1:7" ht="12.75" x14ac:dyDescent="0.2">
      <c r="A53" s="662">
        <v>49</v>
      </c>
      <c r="B53" s="687">
        <v>2.5271886214883131E-6</v>
      </c>
      <c r="C53" s="687">
        <v>0</v>
      </c>
      <c r="D53" s="687">
        <v>0</v>
      </c>
      <c r="E53" s="687">
        <v>0</v>
      </c>
      <c r="F53" s="687">
        <v>3.2297463455252815E-3</v>
      </c>
      <c r="G53" s="687">
        <v>3.2322735341467697E-3</v>
      </c>
    </row>
    <row r="54" spans="1:7" ht="12.75" x14ac:dyDescent="0.2">
      <c r="A54" s="662">
        <v>50</v>
      </c>
      <c r="B54" s="687">
        <v>6.0799875972653636E-7</v>
      </c>
      <c r="C54" s="687">
        <v>0</v>
      </c>
      <c r="D54" s="687">
        <v>0</v>
      </c>
      <c r="E54" s="687">
        <v>0</v>
      </c>
      <c r="F54" s="687">
        <v>1.5117905476935544E-3</v>
      </c>
      <c r="G54" s="687">
        <v>1.5123985464532809E-3</v>
      </c>
    </row>
    <row r="55" spans="1:7" ht="12.75" x14ac:dyDescent="0.2">
      <c r="A55" s="662">
        <v>51</v>
      </c>
      <c r="B55" s="687">
        <v>8.731026844942028E-7</v>
      </c>
      <c r="C55" s="687">
        <v>0</v>
      </c>
      <c r="D55" s="687">
        <v>0</v>
      </c>
      <c r="E55" s="687">
        <v>0</v>
      </c>
      <c r="F55" s="687">
        <v>4.1023758290228908E-4</v>
      </c>
      <c r="G55" s="687">
        <v>4.1111068558678327E-4</v>
      </c>
    </row>
    <row r="56" spans="1:7" ht="12.75" x14ac:dyDescent="0.2">
      <c r="A56" s="662">
        <v>52</v>
      </c>
      <c r="B56" s="687">
        <v>7.0980550621782313E-7</v>
      </c>
      <c r="C56" s="687">
        <v>0</v>
      </c>
      <c r="D56" s="687">
        <v>0</v>
      </c>
      <c r="E56" s="687">
        <v>0</v>
      </c>
      <c r="F56" s="687">
        <v>1.1160499064906105E-3</v>
      </c>
      <c r="G56" s="687">
        <v>1.1167597119968284E-3</v>
      </c>
    </row>
    <row r="57" spans="1:7" ht="12.75" x14ac:dyDescent="0.2">
      <c r="A57" s="662">
        <v>53</v>
      </c>
      <c r="B57" s="687">
        <v>8.2924735646676151E-7</v>
      </c>
      <c r="C57" s="687">
        <v>0</v>
      </c>
      <c r="D57" s="687">
        <v>0</v>
      </c>
      <c r="E57" s="687">
        <v>0</v>
      </c>
      <c r="F57" s="687">
        <v>7.4274663806786077E-4</v>
      </c>
      <c r="G57" s="687">
        <v>7.4357588542432751E-4</v>
      </c>
    </row>
    <row r="58" spans="1:7" ht="12.75" x14ac:dyDescent="0.2">
      <c r="A58" s="662">
        <v>54</v>
      </c>
      <c r="B58" s="687">
        <v>2.6179734281310676E-7</v>
      </c>
      <c r="C58" s="687">
        <v>0</v>
      </c>
      <c r="D58" s="687">
        <v>0</v>
      </c>
      <c r="E58" s="687">
        <v>0</v>
      </c>
      <c r="F58" s="687">
        <v>4.2785266908754963E-4</v>
      </c>
      <c r="G58" s="687">
        <v>4.2811446643036276E-4</v>
      </c>
    </row>
    <row r="59" spans="1:7" ht="12.75" x14ac:dyDescent="0.2">
      <c r="A59" s="662">
        <v>55</v>
      </c>
      <c r="B59" s="687">
        <v>4.8855690947759798E-7</v>
      </c>
      <c r="C59" s="687">
        <v>0</v>
      </c>
      <c r="D59" s="687">
        <v>0</v>
      </c>
      <c r="E59" s="687">
        <v>0</v>
      </c>
      <c r="F59" s="687">
        <v>1.7383135549712146E-3</v>
      </c>
      <c r="G59" s="687">
        <v>1.7388021118806922E-3</v>
      </c>
    </row>
    <row r="60" spans="1:7" ht="12.75" x14ac:dyDescent="0.2">
      <c r="A60" s="662">
        <v>56</v>
      </c>
      <c r="B60" s="687">
        <v>1.1393088032467223E-7</v>
      </c>
      <c r="C60" s="687">
        <v>0</v>
      </c>
      <c r="D60" s="687">
        <v>0</v>
      </c>
      <c r="E60" s="687">
        <v>0</v>
      </c>
      <c r="F60" s="687">
        <v>5.5033827034238069E-4</v>
      </c>
      <c r="G60" s="687">
        <v>5.5045220122270538E-4</v>
      </c>
    </row>
    <row r="61" spans="1:7" ht="12.75" x14ac:dyDescent="0.2">
      <c r="A61" s="662">
        <v>57</v>
      </c>
      <c r="B61" s="687">
        <v>3.8344358103175155E-8</v>
      </c>
      <c r="C61" s="687">
        <v>0</v>
      </c>
      <c r="D61" s="687">
        <v>0</v>
      </c>
      <c r="E61" s="687">
        <v>0</v>
      </c>
      <c r="F61" s="687">
        <v>5.3615898552201221E-4</v>
      </c>
      <c r="G61" s="687">
        <v>5.3619732988011539E-4</v>
      </c>
    </row>
    <row r="62" spans="1:7" ht="12.75" x14ac:dyDescent="0.2">
      <c r="A62" s="662">
        <v>58</v>
      </c>
      <c r="B62" s="687">
        <v>1.1172649235496579E-7</v>
      </c>
      <c r="C62" s="687">
        <v>0</v>
      </c>
      <c r="D62" s="687">
        <v>0</v>
      </c>
      <c r="E62" s="687">
        <v>0</v>
      </c>
      <c r="F62" s="687">
        <v>1.8232647382332196E-3</v>
      </c>
      <c r="G62" s="687">
        <v>1.8233764647255745E-3</v>
      </c>
    </row>
    <row r="63" spans="1:7" ht="12.75" x14ac:dyDescent="0.2">
      <c r="A63" s="662">
        <v>59</v>
      </c>
      <c r="B63" s="687">
        <v>3.7242164118321929E-8</v>
      </c>
      <c r="C63" s="687">
        <v>0</v>
      </c>
      <c r="D63" s="687">
        <v>0</v>
      </c>
      <c r="E63" s="687">
        <v>0</v>
      </c>
      <c r="F63" s="687">
        <v>2.9819637305318191E-4</v>
      </c>
      <c r="G63" s="687">
        <v>2.9823361521730024E-4</v>
      </c>
    </row>
    <row r="64" spans="1:7" ht="12.75" x14ac:dyDescent="0.2">
      <c r="A64" s="662">
        <v>60</v>
      </c>
      <c r="B64" s="687">
        <v>3.7242164118321929E-8</v>
      </c>
      <c r="C64" s="687">
        <v>0</v>
      </c>
      <c r="D64" s="687">
        <v>0</v>
      </c>
      <c r="E64" s="687">
        <v>0</v>
      </c>
      <c r="F64" s="687">
        <v>8.1305469273041981E-4</v>
      </c>
      <c r="G64" s="687">
        <v>8.1309193489453814E-4</v>
      </c>
    </row>
    <row r="65" spans="1:7" ht="12.75" x14ac:dyDescent="0.2">
      <c r="A65" s="662">
        <v>61</v>
      </c>
      <c r="B65" s="687">
        <v>3.7242164118321929E-8</v>
      </c>
      <c r="C65" s="687">
        <v>0</v>
      </c>
      <c r="D65" s="687">
        <v>0</v>
      </c>
      <c r="E65" s="687">
        <v>0</v>
      </c>
      <c r="F65" s="687">
        <v>3.9483214096520957E-4</v>
      </c>
      <c r="G65" s="687">
        <v>3.9486938312932791E-4</v>
      </c>
    </row>
    <row r="66" spans="1:7" ht="12.75" x14ac:dyDescent="0.2">
      <c r="A66" s="662">
        <v>62</v>
      </c>
      <c r="B66" s="687">
        <v>3.7242164118321929E-8</v>
      </c>
      <c r="C66" s="687">
        <v>0</v>
      </c>
      <c r="D66" s="687">
        <v>0</v>
      </c>
      <c r="E66" s="687">
        <v>0</v>
      </c>
      <c r="F66" s="687">
        <v>6.628792389293597E-4</v>
      </c>
      <c r="G66" s="687">
        <v>6.6291648109347804E-4</v>
      </c>
    </row>
    <row r="67" spans="1:7" ht="12.75" x14ac:dyDescent="0.2">
      <c r="A67" s="662">
        <v>63</v>
      </c>
      <c r="B67" s="687">
        <v>3.8344358103175155E-8</v>
      </c>
      <c r="C67" s="687">
        <v>0</v>
      </c>
      <c r="D67" s="687">
        <v>0</v>
      </c>
      <c r="E67" s="687">
        <v>0</v>
      </c>
      <c r="F67" s="687">
        <v>9.4726775911504113E-4</v>
      </c>
      <c r="G67" s="687">
        <v>9.4730610347314431E-4</v>
      </c>
    </row>
    <row r="68" spans="1:7" ht="12.75" x14ac:dyDescent="0.2">
      <c r="A68" s="662">
        <v>64</v>
      </c>
      <c r="B68" s="687">
        <v>0</v>
      </c>
      <c r="C68" s="687">
        <v>0</v>
      </c>
      <c r="D68" s="687">
        <v>0</v>
      </c>
      <c r="E68" s="687">
        <v>0</v>
      </c>
      <c r="F68" s="687">
        <v>2.1274415639080215E-4</v>
      </c>
      <c r="G68" s="687">
        <v>2.1274415639080215E-4</v>
      </c>
    </row>
    <row r="69" spans="1:7" ht="12.75" x14ac:dyDescent="0.2">
      <c r="A69" s="662">
        <v>65</v>
      </c>
      <c r="B69" s="687">
        <v>1.1172649235496579E-7</v>
      </c>
      <c r="C69" s="687">
        <v>0</v>
      </c>
      <c r="D69" s="687">
        <v>0</v>
      </c>
      <c r="E69" s="687">
        <v>0</v>
      </c>
      <c r="F69" s="687">
        <v>2.4919356547985466E-4</v>
      </c>
      <c r="G69" s="687">
        <v>2.4930529197220961E-4</v>
      </c>
    </row>
    <row r="70" spans="1:7" ht="12.75" x14ac:dyDescent="0.2">
      <c r="A70" s="662">
        <v>66</v>
      </c>
      <c r="B70" s="687">
        <v>7.5586522221497091E-8</v>
      </c>
      <c r="C70" s="687">
        <v>0</v>
      </c>
      <c r="D70" s="687">
        <v>0</v>
      </c>
      <c r="E70" s="687">
        <v>0</v>
      </c>
      <c r="F70" s="687">
        <v>4.9942764720420406E-4</v>
      </c>
      <c r="G70" s="687">
        <v>4.9950323372642557E-4</v>
      </c>
    </row>
    <row r="71" spans="1:7" ht="12.75" x14ac:dyDescent="0.2">
      <c r="A71" s="662">
        <v>67</v>
      </c>
      <c r="B71" s="687">
        <v>3.7242164118321929E-8</v>
      </c>
      <c r="C71" s="687">
        <v>0</v>
      </c>
      <c r="D71" s="687">
        <v>0</v>
      </c>
      <c r="E71" s="687">
        <v>0</v>
      </c>
      <c r="F71" s="687">
        <v>3.9868316964814844E-4</v>
      </c>
      <c r="G71" s="687">
        <v>3.9872041181226677E-4</v>
      </c>
    </row>
    <row r="72" spans="1:7" ht="12.75" x14ac:dyDescent="0.2">
      <c r="A72" s="662">
        <v>68</v>
      </c>
      <c r="B72" s="687">
        <v>0</v>
      </c>
      <c r="C72" s="687">
        <v>0</v>
      </c>
      <c r="D72" s="687">
        <v>0</v>
      </c>
      <c r="E72" s="687">
        <v>0</v>
      </c>
      <c r="F72" s="687">
        <v>1.1781222168872839E-3</v>
      </c>
      <c r="G72" s="687">
        <v>1.1781222168872839E-3</v>
      </c>
    </row>
    <row r="73" spans="1:7" ht="12.75" x14ac:dyDescent="0.2">
      <c r="A73" s="662">
        <v>69</v>
      </c>
      <c r="B73" s="687">
        <v>0</v>
      </c>
      <c r="C73" s="687">
        <v>0</v>
      </c>
      <c r="D73" s="687">
        <v>0</v>
      </c>
      <c r="E73" s="687">
        <v>0</v>
      </c>
      <c r="F73" s="687">
        <v>2.4376827368956445E-4</v>
      </c>
      <c r="G73" s="687">
        <v>2.4376827368956445E-4</v>
      </c>
    </row>
    <row r="74" spans="1:7" ht="12.75" x14ac:dyDescent="0.2">
      <c r="A74" s="662">
        <v>70</v>
      </c>
      <c r="B74" s="687">
        <v>3.8344358103175155E-8</v>
      </c>
      <c r="C74" s="687">
        <v>0</v>
      </c>
      <c r="D74" s="687">
        <v>0</v>
      </c>
      <c r="E74" s="687">
        <v>0</v>
      </c>
      <c r="F74" s="687">
        <v>9.3106213176498572E-4</v>
      </c>
      <c r="G74" s="687">
        <v>9.311004761230889E-4</v>
      </c>
    </row>
    <row r="75" spans="1:7" ht="12.75" x14ac:dyDescent="0.2">
      <c r="A75" s="662">
        <v>71</v>
      </c>
      <c r="B75" s="687">
        <v>0</v>
      </c>
      <c r="C75" s="687">
        <v>0</v>
      </c>
      <c r="D75" s="687">
        <v>0</v>
      </c>
      <c r="E75" s="687">
        <v>0</v>
      </c>
      <c r="F75" s="687">
        <v>2.6729001062225313E-4</v>
      </c>
      <c r="G75" s="687">
        <v>2.6729001062225313E-4</v>
      </c>
    </row>
    <row r="76" spans="1:7" ht="12.75" x14ac:dyDescent="0.2">
      <c r="A76" s="662">
        <v>72</v>
      </c>
      <c r="B76" s="687">
        <v>0</v>
      </c>
      <c r="C76" s="687">
        <v>0</v>
      </c>
      <c r="D76" s="687">
        <v>0</v>
      </c>
      <c r="E76" s="687">
        <v>0</v>
      </c>
      <c r="F76" s="687">
        <v>2.695120114356343E-4</v>
      </c>
      <c r="G76" s="687">
        <v>2.695120114356343E-4</v>
      </c>
    </row>
    <row r="77" spans="1:7" ht="12.75" x14ac:dyDescent="0.2">
      <c r="A77" s="662">
        <v>73</v>
      </c>
      <c r="B77" s="687">
        <v>0</v>
      </c>
      <c r="C77" s="687">
        <v>0</v>
      </c>
      <c r="D77" s="687">
        <v>0</v>
      </c>
      <c r="E77" s="687">
        <v>0</v>
      </c>
      <c r="F77" s="687">
        <v>1.5403989555917612E-3</v>
      </c>
      <c r="G77" s="687">
        <v>1.5403989555917612E-3</v>
      </c>
    </row>
    <row r="78" spans="1:7" ht="12.75" x14ac:dyDescent="0.2">
      <c r="A78" s="662">
        <v>74</v>
      </c>
      <c r="B78" s="687">
        <v>0</v>
      </c>
      <c r="C78" s="687">
        <v>0</v>
      </c>
      <c r="D78" s="687">
        <v>0</v>
      </c>
      <c r="E78" s="687">
        <v>0</v>
      </c>
      <c r="F78" s="687">
        <v>3.4585091982887364E-4</v>
      </c>
      <c r="G78" s="687">
        <v>3.4585091982887364E-4</v>
      </c>
    </row>
    <row r="79" spans="1:7" ht="12.75" x14ac:dyDescent="0.2">
      <c r="A79" s="662">
        <v>75</v>
      </c>
      <c r="B79" s="687">
        <v>0</v>
      </c>
      <c r="C79" s="687">
        <v>0</v>
      </c>
      <c r="D79" s="687">
        <v>0</v>
      </c>
      <c r="E79" s="687">
        <v>0</v>
      </c>
      <c r="F79" s="687">
        <v>1.7998496816856949E-4</v>
      </c>
      <c r="G79" s="687">
        <v>1.7998496816856949E-4</v>
      </c>
    </row>
    <row r="80" spans="1:7" ht="12.75" x14ac:dyDescent="0.2">
      <c r="A80" s="662">
        <v>76</v>
      </c>
      <c r="B80" s="687">
        <v>0</v>
      </c>
      <c r="C80" s="687">
        <v>0</v>
      </c>
      <c r="D80" s="687">
        <v>0</v>
      </c>
      <c r="E80" s="687">
        <v>0</v>
      </c>
      <c r="F80" s="687">
        <v>2.9671323968950955E-4</v>
      </c>
      <c r="G80" s="687">
        <v>2.9671323968950955E-4</v>
      </c>
    </row>
    <row r="81" spans="1:7" ht="12.75" x14ac:dyDescent="0.2">
      <c r="A81" s="662">
        <v>77</v>
      </c>
      <c r="B81" s="687">
        <v>0</v>
      </c>
      <c r="C81" s="687">
        <v>0</v>
      </c>
      <c r="D81" s="687">
        <v>0</v>
      </c>
      <c r="E81" s="687">
        <v>0</v>
      </c>
      <c r="F81" s="687">
        <v>2.4648695167020192E-4</v>
      </c>
      <c r="G81" s="687">
        <v>2.4648695167020192E-4</v>
      </c>
    </row>
    <row r="82" spans="1:7" ht="12.75" x14ac:dyDescent="0.2">
      <c r="A82" s="662">
        <v>78</v>
      </c>
      <c r="B82" s="687">
        <v>0</v>
      </c>
      <c r="C82" s="687">
        <v>0</v>
      </c>
      <c r="D82" s="687">
        <v>0</v>
      </c>
      <c r="E82" s="687">
        <v>0</v>
      </c>
      <c r="F82" s="687">
        <v>2.6897008435215037E-4</v>
      </c>
      <c r="G82" s="687">
        <v>2.6897008435215037E-4</v>
      </c>
    </row>
    <row r="83" spans="1:7" ht="12.75" x14ac:dyDescent="0.2">
      <c r="A83" s="662">
        <v>79</v>
      </c>
      <c r="B83" s="687">
        <v>0</v>
      </c>
      <c r="C83" s="687">
        <v>0</v>
      </c>
      <c r="D83" s="687">
        <v>0</v>
      </c>
      <c r="E83" s="687">
        <v>0</v>
      </c>
      <c r="F83" s="687">
        <v>3.8289162229936178E-4</v>
      </c>
      <c r="G83" s="687">
        <v>3.8289162229936178E-4</v>
      </c>
    </row>
    <row r="84" spans="1:7" ht="12.75" x14ac:dyDescent="0.2">
      <c r="A84" s="662">
        <v>80</v>
      </c>
      <c r="B84" s="687">
        <v>0</v>
      </c>
      <c r="C84" s="687">
        <v>0</v>
      </c>
      <c r="D84" s="687">
        <v>0</v>
      </c>
      <c r="E84" s="687">
        <v>0</v>
      </c>
      <c r="F84" s="687">
        <v>4.0816785732733572E-4</v>
      </c>
      <c r="G84" s="687">
        <v>4.0816785732733572E-4</v>
      </c>
    </row>
    <row r="85" spans="1:7" ht="12.75" x14ac:dyDescent="0.2">
      <c r="A85" s="662">
        <v>81</v>
      </c>
      <c r="B85" s="687">
        <v>0</v>
      </c>
      <c r="C85" s="687">
        <v>0</v>
      </c>
      <c r="D85" s="687">
        <v>0</v>
      </c>
      <c r="E85" s="687">
        <v>0</v>
      </c>
      <c r="F85" s="687">
        <v>4.3156818045317249E-4</v>
      </c>
      <c r="G85" s="687">
        <v>4.3156818045317249E-4</v>
      </c>
    </row>
    <row r="86" spans="1:7" ht="12.75" x14ac:dyDescent="0.2">
      <c r="A86" s="662">
        <v>82</v>
      </c>
      <c r="B86" s="687">
        <v>0</v>
      </c>
      <c r="C86" s="687">
        <v>0</v>
      </c>
      <c r="D86" s="687">
        <v>0</v>
      </c>
      <c r="E86" s="687">
        <v>0</v>
      </c>
      <c r="F86" s="687">
        <v>5.8926434701816392E-4</v>
      </c>
      <c r="G86" s="687">
        <v>5.8926434701816392E-4</v>
      </c>
    </row>
    <row r="87" spans="1:7" ht="12.75" x14ac:dyDescent="0.2">
      <c r="A87" s="662">
        <v>83</v>
      </c>
      <c r="B87" s="687">
        <v>0</v>
      </c>
      <c r="C87" s="687">
        <v>0</v>
      </c>
      <c r="D87" s="687">
        <v>0</v>
      </c>
      <c r="E87" s="687">
        <v>0</v>
      </c>
      <c r="F87" s="687">
        <v>1.5794717439932275E-4</v>
      </c>
      <c r="G87" s="687">
        <v>1.5794717439932275E-4</v>
      </c>
    </row>
    <row r="88" spans="1:7" ht="12.75" x14ac:dyDescent="0.2">
      <c r="A88" s="662">
        <v>84</v>
      </c>
      <c r="B88" s="687">
        <v>0</v>
      </c>
      <c r="C88" s="687">
        <v>0</v>
      </c>
      <c r="D88" s="687">
        <v>0</v>
      </c>
      <c r="E88" s="687">
        <v>0</v>
      </c>
      <c r="F88" s="687">
        <v>5.5223831800651514E-4</v>
      </c>
      <c r="G88" s="687">
        <v>5.5223831800651514E-4</v>
      </c>
    </row>
    <row r="89" spans="1:7" ht="12.75" x14ac:dyDescent="0.2">
      <c r="A89" s="662">
        <v>85</v>
      </c>
      <c r="B89" s="687">
        <v>0</v>
      </c>
      <c r="C89" s="687">
        <v>0</v>
      </c>
      <c r="D89" s="687">
        <v>0</v>
      </c>
      <c r="E89" s="687">
        <v>0</v>
      </c>
      <c r="F89" s="687">
        <v>1.1132241432249241E-4</v>
      </c>
      <c r="G89" s="687">
        <v>1.1132241432249241E-4</v>
      </c>
    </row>
    <row r="90" spans="1:7" ht="12.75" x14ac:dyDescent="0.2">
      <c r="A90" s="662">
        <v>86</v>
      </c>
      <c r="B90" s="687">
        <v>0</v>
      </c>
      <c r="C90" s="687">
        <v>0</v>
      </c>
      <c r="D90" s="687">
        <v>0</v>
      </c>
      <c r="E90" s="687">
        <v>0</v>
      </c>
      <c r="F90" s="687">
        <v>5.5393237532117912E-4</v>
      </c>
      <c r="G90" s="687">
        <v>5.5393237532117912E-4</v>
      </c>
    </row>
    <row r="91" spans="1:7" ht="12.75" x14ac:dyDescent="0.2">
      <c r="A91" s="662">
        <v>87</v>
      </c>
      <c r="B91" s="687">
        <v>0</v>
      </c>
      <c r="C91" s="687">
        <v>0</v>
      </c>
      <c r="D91" s="687">
        <v>0</v>
      </c>
      <c r="E91" s="687">
        <v>0</v>
      </c>
      <c r="F91" s="687">
        <v>2.9087167093000865E-4</v>
      </c>
      <c r="G91" s="687">
        <v>2.9087167093000865E-4</v>
      </c>
    </row>
    <row r="92" spans="1:7" ht="12.75" x14ac:dyDescent="0.2">
      <c r="A92" s="662">
        <v>88</v>
      </c>
      <c r="B92" s="687">
        <v>0</v>
      </c>
      <c r="C92" s="687">
        <v>0</v>
      </c>
      <c r="D92" s="687">
        <v>0</v>
      </c>
      <c r="E92" s="687">
        <v>0</v>
      </c>
      <c r="F92" s="687">
        <v>1.3501272697201506E-4</v>
      </c>
      <c r="G92" s="687">
        <v>1.3501272697201506E-4</v>
      </c>
    </row>
    <row r="93" spans="1:7" ht="12.75" x14ac:dyDescent="0.2">
      <c r="A93" s="662">
        <v>89</v>
      </c>
      <c r="B93" s="687">
        <v>0</v>
      </c>
      <c r="C93" s="687">
        <v>0</v>
      </c>
      <c r="D93" s="687">
        <v>0</v>
      </c>
      <c r="E93" s="687">
        <v>0</v>
      </c>
      <c r="F93" s="687">
        <v>1.8529232520248041E-4</v>
      </c>
      <c r="G93" s="687">
        <v>1.8529232520248041E-4</v>
      </c>
    </row>
    <row r="94" spans="1:7" ht="12.75" x14ac:dyDescent="0.2">
      <c r="A94" s="662">
        <v>90</v>
      </c>
      <c r="B94" s="687">
        <v>0</v>
      </c>
      <c r="C94" s="687">
        <v>0</v>
      </c>
      <c r="D94" s="687">
        <v>0</v>
      </c>
      <c r="E94" s="687">
        <v>0</v>
      </c>
      <c r="F94" s="687">
        <v>1.9960810960845249E-4</v>
      </c>
      <c r="G94" s="687">
        <v>1.9960810960845249E-4</v>
      </c>
    </row>
    <row r="95" spans="1:7" ht="12.75" x14ac:dyDescent="0.2">
      <c r="A95" s="662">
        <v>91</v>
      </c>
      <c r="B95" s="687">
        <v>0</v>
      </c>
      <c r="C95" s="687">
        <v>0</v>
      </c>
      <c r="D95" s="687">
        <v>0</v>
      </c>
      <c r="E95" s="687">
        <v>0</v>
      </c>
      <c r="F95" s="687">
        <v>4.5277260306420068E-4</v>
      </c>
      <c r="G95" s="687">
        <v>4.5277260306420068E-4</v>
      </c>
    </row>
    <row r="96" spans="1:7" ht="12.75" x14ac:dyDescent="0.2">
      <c r="A96" s="662">
        <v>92</v>
      </c>
      <c r="B96" s="687">
        <v>0</v>
      </c>
      <c r="C96" s="687">
        <v>0</v>
      </c>
      <c r="D96" s="687">
        <v>0</v>
      </c>
      <c r="E96" s="687">
        <v>0</v>
      </c>
      <c r="F96" s="687">
        <v>1.186340026235169E-4</v>
      </c>
      <c r="G96" s="687">
        <v>1.186340026235169E-4</v>
      </c>
    </row>
    <row r="97" spans="1:7" ht="12.75" x14ac:dyDescent="0.2">
      <c r="A97" s="662">
        <v>93</v>
      </c>
      <c r="B97" s="687">
        <v>0</v>
      </c>
      <c r="C97" s="687">
        <v>0</v>
      </c>
      <c r="D97" s="687">
        <v>0</v>
      </c>
      <c r="E97" s="687">
        <v>0</v>
      </c>
      <c r="F97" s="687">
        <v>4.3280633435799213E-4</v>
      </c>
      <c r="G97" s="687">
        <v>4.3280633435799213E-4</v>
      </c>
    </row>
    <row r="98" spans="1:7" ht="12.75" x14ac:dyDescent="0.2">
      <c r="A98" s="662">
        <v>94</v>
      </c>
      <c r="B98" s="687">
        <v>0</v>
      </c>
      <c r="C98" s="687">
        <v>0</v>
      </c>
      <c r="D98" s="687">
        <v>0</v>
      </c>
      <c r="E98" s="687">
        <v>0</v>
      </c>
      <c r="F98" s="687">
        <v>1.0948675877221279E-4</v>
      </c>
      <c r="G98" s="687">
        <v>1.0948675877221279E-4</v>
      </c>
    </row>
    <row r="99" spans="1:7" ht="12.75" x14ac:dyDescent="0.2">
      <c r="A99" s="662">
        <v>95</v>
      </c>
      <c r="B99" s="687">
        <v>0</v>
      </c>
      <c r="C99" s="687">
        <v>0</v>
      </c>
      <c r="D99" s="687">
        <v>0</v>
      </c>
      <c r="E99" s="687">
        <v>0</v>
      </c>
      <c r="F99" s="687">
        <v>1.4941227812083601E-4</v>
      </c>
      <c r="G99" s="687">
        <v>1.4941227812083601E-4</v>
      </c>
    </row>
    <row r="100" spans="1:7" ht="12.75" x14ac:dyDescent="0.2">
      <c r="A100" s="662">
        <v>96</v>
      </c>
      <c r="B100" s="687">
        <v>0</v>
      </c>
      <c r="C100" s="687">
        <v>0</v>
      </c>
      <c r="D100" s="687">
        <v>0</v>
      </c>
      <c r="E100" s="687">
        <v>0</v>
      </c>
      <c r="F100" s="687">
        <v>1.3093616084209369E-4</v>
      </c>
      <c r="G100" s="687">
        <v>1.3093616084209369E-4</v>
      </c>
    </row>
    <row r="101" spans="1:7" ht="12.75" x14ac:dyDescent="0.2">
      <c r="A101" s="662">
        <v>97</v>
      </c>
      <c r="B101" s="687">
        <v>0</v>
      </c>
      <c r="C101" s="687">
        <v>0</v>
      </c>
      <c r="D101" s="687">
        <v>0</v>
      </c>
      <c r="E101" s="687">
        <v>0</v>
      </c>
      <c r="F101" s="687">
        <v>1.0385454690698545E-4</v>
      </c>
      <c r="G101" s="687">
        <v>1.0385454690698545E-4</v>
      </c>
    </row>
    <row r="102" spans="1:7" ht="12.75" x14ac:dyDescent="0.2">
      <c r="A102" s="662">
        <v>98</v>
      </c>
      <c r="B102" s="687">
        <v>0</v>
      </c>
      <c r="C102" s="687">
        <v>0</v>
      </c>
      <c r="D102" s="687">
        <v>0</v>
      </c>
      <c r="E102" s="687">
        <v>0</v>
      </c>
      <c r="F102" s="687">
        <v>2.496925069979293E-4</v>
      </c>
      <c r="G102" s="687">
        <v>2.496925069979293E-4</v>
      </c>
    </row>
    <row r="103" spans="1:7" ht="12.75" x14ac:dyDescent="0.2">
      <c r="A103" s="662">
        <v>99</v>
      </c>
      <c r="B103" s="687">
        <v>0</v>
      </c>
      <c r="C103" s="687">
        <v>0</v>
      </c>
      <c r="D103" s="687">
        <v>0</v>
      </c>
      <c r="E103" s="687">
        <v>0</v>
      </c>
      <c r="F103" s="687">
        <v>9.1102933393982896E-5</v>
      </c>
      <c r="G103" s="687">
        <v>9.1102933393982896E-5</v>
      </c>
    </row>
    <row r="104" spans="1:7" ht="12.75" x14ac:dyDescent="0.2">
      <c r="A104" s="662">
        <v>100</v>
      </c>
      <c r="B104" s="687">
        <v>0</v>
      </c>
      <c r="C104" s="687">
        <v>0</v>
      </c>
      <c r="D104" s="687">
        <v>0</v>
      </c>
      <c r="E104" s="687">
        <v>0</v>
      </c>
      <c r="F104" s="687">
        <v>1.1432098961243405E-4</v>
      </c>
      <c r="G104" s="687">
        <v>1.1432098961243405E-4</v>
      </c>
    </row>
    <row r="105" spans="1:7" ht="12.75" x14ac:dyDescent="0.2">
      <c r="A105" s="662">
        <v>101</v>
      </c>
      <c r="B105" s="687">
        <v>0</v>
      </c>
      <c r="C105" s="687">
        <v>0</v>
      </c>
      <c r="D105" s="687">
        <v>0</v>
      </c>
      <c r="E105" s="687">
        <v>0</v>
      </c>
      <c r="F105" s="687">
        <v>1.1372511498654089E-4</v>
      </c>
      <c r="G105" s="687">
        <v>1.1372511498654089E-4</v>
      </c>
    </row>
    <row r="106" spans="1:7" ht="12.75" x14ac:dyDescent="0.2">
      <c r="A106" s="662">
        <v>102</v>
      </c>
      <c r="B106" s="687">
        <v>0</v>
      </c>
      <c r="C106" s="687">
        <v>0</v>
      </c>
      <c r="D106" s="687">
        <v>0</v>
      </c>
      <c r="E106" s="687">
        <v>0</v>
      </c>
      <c r="F106" s="687">
        <v>1.2166877784644059E-4</v>
      </c>
      <c r="G106" s="687">
        <v>1.2166877784644059E-4</v>
      </c>
    </row>
    <row r="107" spans="1:7" ht="12.75" x14ac:dyDescent="0.2">
      <c r="A107" s="662">
        <v>103</v>
      </c>
      <c r="B107" s="687">
        <v>0</v>
      </c>
      <c r="C107" s="687">
        <v>0</v>
      </c>
      <c r="D107" s="687">
        <v>0</v>
      </c>
      <c r="E107" s="687">
        <v>0</v>
      </c>
      <c r="F107" s="687">
        <v>1.235235755943475E-4</v>
      </c>
      <c r="G107" s="687">
        <v>1.235235755943475E-4</v>
      </c>
    </row>
    <row r="108" spans="1:7" ht="12.75" x14ac:dyDescent="0.2">
      <c r="A108" s="662">
        <v>104</v>
      </c>
      <c r="B108" s="687">
        <v>0</v>
      </c>
      <c r="C108" s="687">
        <v>0</v>
      </c>
      <c r="D108" s="687">
        <v>0</v>
      </c>
      <c r="E108" s="687">
        <v>0</v>
      </c>
      <c r="F108" s="687">
        <v>9.2267127796147867E-5</v>
      </c>
      <c r="G108" s="687">
        <v>9.2267127796147867E-5</v>
      </c>
    </row>
    <row r="109" spans="1:7" ht="12.75" x14ac:dyDescent="0.2">
      <c r="A109" s="662">
        <v>105</v>
      </c>
      <c r="B109" s="687">
        <v>0</v>
      </c>
      <c r="C109" s="687">
        <v>0</v>
      </c>
      <c r="D109" s="687">
        <v>0</v>
      </c>
      <c r="E109" s="687">
        <v>0</v>
      </c>
      <c r="F109" s="687">
        <v>1.5596278262393652E-4</v>
      </c>
      <c r="G109" s="687">
        <v>1.5596278262393652E-4</v>
      </c>
    </row>
    <row r="110" spans="1:7" ht="12.75" x14ac:dyDescent="0.2">
      <c r="A110" s="662">
        <v>106</v>
      </c>
      <c r="B110" s="687">
        <v>0</v>
      </c>
      <c r="C110" s="687">
        <v>0</v>
      </c>
      <c r="D110" s="687">
        <v>0</v>
      </c>
      <c r="E110" s="687">
        <v>0</v>
      </c>
      <c r="F110" s="687">
        <v>9.1682680009988037E-5</v>
      </c>
      <c r="G110" s="687">
        <v>9.1682680009988037E-5</v>
      </c>
    </row>
    <row r="111" spans="1:7" ht="12.75" x14ac:dyDescent="0.2">
      <c r="A111" s="662">
        <v>107</v>
      </c>
      <c r="B111" s="687">
        <v>0</v>
      </c>
      <c r="C111" s="687">
        <v>0</v>
      </c>
      <c r="D111" s="687">
        <v>0</v>
      </c>
      <c r="E111" s="687">
        <v>0</v>
      </c>
      <c r="F111" s="687">
        <v>1.778042133953613E-4</v>
      </c>
      <c r="G111" s="687">
        <v>1.778042133953613E-4</v>
      </c>
    </row>
    <row r="112" spans="1:7" ht="12.75" x14ac:dyDescent="0.2">
      <c r="A112" s="662">
        <v>108</v>
      </c>
      <c r="B112" s="687">
        <v>0</v>
      </c>
      <c r="C112" s="687">
        <v>0</v>
      </c>
      <c r="D112" s="687">
        <v>0</v>
      </c>
      <c r="E112" s="687">
        <v>0</v>
      </c>
      <c r="F112" s="687">
        <v>1.3444417476437656E-4</v>
      </c>
      <c r="G112" s="687">
        <v>1.3444417476437656E-4</v>
      </c>
    </row>
    <row r="113" spans="1:7" ht="12.75" x14ac:dyDescent="0.2">
      <c r="A113" s="662">
        <v>109</v>
      </c>
      <c r="B113" s="687">
        <v>0</v>
      </c>
      <c r="C113" s="687">
        <v>0</v>
      </c>
      <c r="D113" s="687">
        <v>0</v>
      </c>
      <c r="E113" s="687">
        <v>0</v>
      </c>
      <c r="F113" s="687">
        <v>3.8076824899624221E-4</v>
      </c>
      <c r="G113" s="687">
        <v>3.8076824899624221E-4</v>
      </c>
    </row>
    <row r="114" spans="1:7" ht="12.75" x14ac:dyDescent="0.2">
      <c r="A114" s="662">
        <v>110</v>
      </c>
      <c r="B114" s="687">
        <v>0</v>
      </c>
      <c r="C114" s="687">
        <v>0</v>
      </c>
      <c r="D114" s="687">
        <v>0</v>
      </c>
      <c r="E114" s="687">
        <v>0</v>
      </c>
      <c r="F114" s="687">
        <v>1.0780581527969742E-4</v>
      </c>
      <c r="G114" s="687">
        <v>1.0780581527969742E-4</v>
      </c>
    </row>
    <row r="115" spans="1:7" ht="12.75" x14ac:dyDescent="0.2">
      <c r="A115" s="662">
        <v>111</v>
      </c>
      <c r="B115" s="687">
        <v>0</v>
      </c>
      <c r="C115" s="687">
        <v>0</v>
      </c>
      <c r="D115" s="687">
        <v>0</v>
      </c>
      <c r="E115" s="687">
        <v>0</v>
      </c>
      <c r="F115" s="687">
        <v>4.7660290176982738E-5</v>
      </c>
      <c r="G115" s="687">
        <v>4.7660290176982738E-5</v>
      </c>
    </row>
    <row r="116" spans="1:7" ht="12.75" x14ac:dyDescent="0.2">
      <c r="A116" s="662">
        <v>112</v>
      </c>
      <c r="B116" s="687">
        <v>0</v>
      </c>
      <c r="C116" s="687">
        <v>0</v>
      </c>
      <c r="D116" s="687">
        <v>0</v>
      </c>
      <c r="E116" s="687">
        <v>0</v>
      </c>
      <c r="F116" s="687">
        <v>7.4067308850539864E-5</v>
      </c>
      <c r="G116" s="687">
        <v>7.4067308850539864E-5</v>
      </c>
    </row>
    <row r="117" spans="1:7" ht="12.75" x14ac:dyDescent="0.2">
      <c r="A117" s="662">
        <v>113</v>
      </c>
      <c r="B117" s="687">
        <v>0</v>
      </c>
      <c r="C117" s="687">
        <v>0</v>
      </c>
      <c r="D117" s="687">
        <v>0</v>
      </c>
      <c r="E117" s="687">
        <v>0</v>
      </c>
      <c r="F117" s="687">
        <v>2.8796168347876777E-4</v>
      </c>
      <c r="G117" s="687">
        <v>2.8796168347876777E-4</v>
      </c>
    </row>
    <row r="118" spans="1:7" ht="12.75" x14ac:dyDescent="0.2">
      <c r="A118" s="662">
        <v>114</v>
      </c>
      <c r="B118" s="687">
        <v>0</v>
      </c>
      <c r="C118" s="687">
        <v>0</v>
      </c>
      <c r="D118" s="687">
        <v>0</v>
      </c>
      <c r="E118" s="687">
        <v>0</v>
      </c>
      <c r="F118" s="687">
        <v>5.089948869265858E-5</v>
      </c>
      <c r="G118" s="687">
        <v>5.089948869265858E-5</v>
      </c>
    </row>
    <row r="119" spans="1:7" ht="12.75" x14ac:dyDescent="0.2">
      <c r="A119" s="662">
        <v>115</v>
      </c>
      <c r="B119" s="687">
        <v>0</v>
      </c>
      <c r="C119" s="687">
        <v>0</v>
      </c>
      <c r="D119" s="687">
        <v>0</v>
      </c>
      <c r="E119" s="687">
        <v>0</v>
      </c>
      <c r="F119" s="687">
        <v>5.6034963427780966E-5</v>
      </c>
      <c r="G119" s="687">
        <v>5.6034963427780966E-5</v>
      </c>
    </row>
    <row r="120" spans="1:7" ht="12.75" x14ac:dyDescent="0.2">
      <c r="A120" s="662">
        <v>116</v>
      </c>
      <c r="B120" s="687">
        <v>0</v>
      </c>
      <c r="C120" s="687">
        <v>0</v>
      </c>
      <c r="D120" s="687">
        <v>0</v>
      </c>
      <c r="E120" s="687">
        <v>0</v>
      </c>
      <c r="F120" s="687">
        <v>2.4468616142755284E-4</v>
      </c>
      <c r="G120" s="687">
        <v>2.4468616142755284E-4</v>
      </c>
    </row>
    <row r="121" spans="1:7" ht="12.75" x14ac:dyDescent="0.2">
      <c r="A121" s="662">
        <v>117</v>
      </c>
      <c r="B121" s="687">
        <v>0</v>
      </c>
      <c r="C121" s="687">
        <v>0</v>
      </c>
      <c r="D121" s="687">
        <v>0</v>
      </c>
      <c r="E121" s="687">
        <v>0</v>
      </c>
      <c r="F121" s="687">
        <v>5.0618954052102967E-5</v>
      </c>
      <c r="G121" s="687">
        <v>5.0618954052102967E-5</v>
      </c>
    </row>
    <row r="122" spans="1:7" ht="12.75" x14ac:dyDescent="0.2">
      <c r="A122" s="662">
        <v>118</v>
      </c>
      <c r="B122" s="687">
        <v>0</v>
      </c>
      <c r="C122" s="687">
        <v>0</v>
      </c>
      <c r="D122" s="687">
        <v>0</v>
      </c>
      <c r="E122" s="687">
        <v>0</v>
      </c>
      <c r="F122" s="687">
        <v>3.1769252975344008E-5</v>
      </c>
      <c r="G122" s="687">
        <v>3.1769252975344008E-5</v>
      </c>
    </row>
    <row r="123" spans="1:7" ht="12.75" x14ac:dyDescent="0.2">
      <c r="A123" s="662">
        <v>119</v>
      </c>
      <c r="B123" s="687">
        <v>0</v>
      </c>
      <c r="C123" s="687">
        <v>0</v>
      </c>
      <c r="D123" s="687">
        <v>0</v>
      </c>
      <c r="E123" s="687">
        <v>0</v>
      </c>
      <c r="F123" s="687">
        <v>9.7146316158381411E-5</v>
      </c>
      <c r="G123" s="687">
        <v>9.7146316158381411E-5</v>
      </c>
    </row>
    <row r="124" spans="1:7" ht="12.75" x14ac:dyDescent="0.2">
      <c r="A124" s="662">
        <v>120</v>
      </c>
      <c r="B124" s="687">
        <v>0</v>
      </c>
      <c r="C124" s="687">
        <v>0</v>
      </c>
      <c r="D124" s="687">
        <v>0</v>
      </c>
      <c r="E124" s="687">
        <v>0</v>
      </c>
      <c r="F124" s="687">
        <v>5.4812817607152151E-5</v>
      </c>
      <c r="G124" s="687">
        <v>5.4812817607152151E-5</v>
      </c>
    </row>
    <row r="125" spans="1:7" ht="12.75" x14ac:dyDescent="0.2">
      <c r="A125" s="662">
        <v>121</v>
      </c>
      <c r="B125" s="687">
        <v>0</v>
      </c>
      <c r="C125" s="687">
        <v>0</v>
      </c>
      <c r="D125" s="687">
        <v>0</v>
      </c>
      <c r="E125" s="687">
        <v>0</v>
      </c>
      <c r="F125" s="687">
        <v>4.2308612952311007E-5</v>
      </c>
      <c r="G125" s="687">
        <v>4.2308612952311007E-5</v>
      </c>
    </row>
    <row r="126" spans="1:7" ht="12.75" x14ac:dyDescent="0.2">
      <c r="A126" s="662">
        <v>122</v>
      </c>
      <c r="B126" s="687">
        <v>0</v>
      </c>
      <c r="C126" s="687">
        <v>0</v>
      </c>
      <c r="D126" s="687">
        <v>0</v>
      </c>
      <c r="E126" s="687">
        <v>0</v>
      </c>
      <c r="F126" s="687">
        <v>1.1284075793083147E-4</v>
      </c>
      <c r="G126" s="687">
        <v>1.1284075793083147E-4</v>
      </c>
    </row>
    <row r="127" spans="1:7" ht="12.75" x14ac:dyDescent="0.2">
      <c r="A127" s="662">
        <v>123</v>
      </c>
      <c r="B127" s="687">
        <v>0</v>
      </c>
      <c r="C127" s="687">
        <v>0</v>
      </c>
      <c r="D127" s="687">
        <v>0</v>
      </c>
      <c r="E127" s="687">
        <v>0</v>
      </c>
      <c r="F127" s="687">
        <v>7.0528201065314422E-5</v>
      </c>
      <c r="G127" s="687">
        <v>7.0528201065314422E-5</v>
      </c>
    </row>
    <row r="128" spans="1:7" ht="12.75" x14ac:dyDescent="0.2">
      <c r="A128" s="662">
        <v>124</v>
      </c>
      <c r="B128" s="687">
        <v>0</v>
      </c>
      <c r="C128" s="687">
        <v>0</v>
      </c>
      <c r="D128" s="687">
        <v>0</v>
      </c>
      <c r="E128" s="687">
        <v>0</v>
      </c>
      <c r="F128" s="687">
        <v>4.1744469520611916E-5</v>
      </c>
      <c r="G128" s="687">
        <v>4.1744469520611916E-5</v>
      </c>
    </row>
    <row r="129" spans="1:7" ht="12.75" x14ac:dyDescent="0.2">
      <c r="A129" s="662">
        <v>125</v>
      </c>
      <c r="B129" s="687">
        <v>0</v>
      </c>
      <c r="C129" s="687">
        <v>0</v>
      </c>
      <c r="D129" s="687">
        <v>0</v>
      </c>
      <c r="E129" s="687">
        <v>0</v>
      </c>
      <c r="F129" s="687">
        <v>3.986582840492302E-5</v>
      </c>
      <c r="G129" s="687">
        <v>3.986582840492302E-5</v>
      </c>
    </row>
    <row r="130" spans="1:7" ht="12.75" x14ac:dyDescent="0.2">
      <c r="A130" s="662">
        <v>126</v>
      </c>
      <c r="B130" s="687">
        <v>0</v>
      </c>
      <c r="C130" s="687">
        <v>0</v>
      </c>
      <c r="D130" s="687">
        <v>0</v>
      </c>
      <c r="E130" s="687">
        <v>0</v>
      </c>
      <c r="F130" s="687">
        <v>4.1501641906908E-5</v>
      </c>
      <c r="G130" s="687">
        <v>4.1501641906908E-5</v>
      </c>
    </row>
    <row r="131" spans="1:7" ht="12.75" x14ac:dyDescent="0.2">
      <c r="A131" s="662">
        <v>127</v>
      </c>
      <c r="B131" s="687">
        <v>0</v>
      </c>
      <c r="C131" s="687">
        <v>0</v>
      </c>
      <c r="D131" s="687">
        <v>0</v>
      </c>
      <c r="E131" s="687">
        <v>0</v>
      </c>
      <c r="F131" s="687">
        <v>7.9540572350581643E-5</v>
      </c>
      <c r="G131" s="687">
        <v>7.9540572350581643E-5</v>
      </c>
    </row>
    <row r="132" spans="1:7" ht="12.75" x14ac:dyDescent="0.2">
      <c r="A132" s="662">
        <v>128</v>
      </c>
      <c r="B132" s="687">
        <v>0</v>
      </c>
      <c r="C132" s="687">
        <v>0</v>
      </c>
      <c r="D132" s="687">
        <v>0</v>
      </c>
      <c r="E132" s="687">
        <v>0</v>
      </c>
      <c r="F132" s="687">
        <v>3.2980841718857672E-5</v>
      </c>
      <c r="G132" s="687">
        <v>3.2980841718857672E-5</v>
      </c>
    </row>
    <row r="133" spans="1:7" ht="12.75" x14ac:dyDescent="0.2">
      <c r="A133" s="662">
        <v>129</v>
      </c>
      <c r="B133" s="687">
        <v>0</v>
      </c>
      <c r="C133" s="687">
        <v>0</v>
      </c>
      <c r="D133" s="687">
        <v>0</v>
      </c>
      <c r="E133" s="687">
        <v>0</v>
      </c>
      <c r="F133" s="687">
        <v>3.9973146121338572E-5</v>
      </c>
      <c r="G133" s="687">
        <v>3.9973146121338572E-5</v>
      </c>
    </row>
    <row r="134" spans="1:7" ht="12.75" x14ac:dyDescent="0.2">
      <c r="A134" s="662">
        <v>130</v>
      </c>
      <c r="B134" s="687">
        <v>0</v>
      </c>
      <c r="C134" s="687">
        <v>0</v>
      </c>
      <c r="D134" s="687">
        <v>0</v>
      </c>
      <c r="E134" s="687">
        <v>0</v>
      </c>
      <c r="F134" s="687">
        <v>3.0896382722216492E-5</v>
      </c>
      <c r="G134" s="687">
        <v>3.0896382722216492E-5</v>
      </c>
    </row>
    <row r="135" spans="1:7" ht="12.75" x14ac:dyDescent="0.2">
      <c r="A135" s="662">
        <v>131</v>
      </c>
      <c r="B135" s="687">
        <v>0</v>
      </c>
      <c r="C135" s="687">
        <v>0</v>
      </c>
      <c r="D135" s="687">
        <v>0</v>
      </c>
      <c r="E135" s="687">
        <v>0</v>
      </c>
      <c r="F135" s="687">
        <v>1.1010705413429082E-4</v>
      </c>
      <c r="G135" s="687">
        <v>1.1010705413429082E-4</v>
      </c>
    </row>
    <row r="136" spans="1:7" ht="12.75" x14ac:dyDescent="0.2">
      <c r="A136" s="662">
        <v>132</v>
      </c>
      <c r="B136" s="687">
        <v>0</v>
      </c>
      <c r="C136" s="687">
        <v>0</v>
      </c>
      <c r="D136" s="687">
        <v>0</v>
      </c>
      <c r="E136" s="687">
        <v>0</v>
      </c>
      <c r="F136" s="687">
        <v>2.555729449411153E-5</v>
      </c>
      <c r="G136" s="687">
        <v>2.555729449411153E-5</v>
      </c>
    </row>
    <row r="137" spans="1:7" ht="12.75" x14ac:dyDescent="0.2">
      <c r="A137" s="662">
        <v>133</v>
      </c>
      <c r="B137" s="687">
        <v>0</v>
      </c>
      <c r="C137" s="687">
        <v>0</v>
      </c>
      <c r="D137" s="687">
        <v>0</v>
      </c>
      <c r="E137" s="687">
        <v>0</v>
      </c>
      <c r="F137" s="687">
        <v>3.197971206360239E-5</v>
      </c>
      <c r="G137" s="687">
        <v>3.197971206360239E-5</v>
      </c>
    </row>
    <row r="138" spans="1:7" ht="12.75" x14ac:dyDescent="0.2">
      <c r="A138" s="662">
        <v>134</v>
      </c>
      <c r="B138" s="687">
        <v>0</v>
      </c>
      <c r="C138" s="687">
        <v>0</v>
      </c>
      <c r="D138" s="687">
        <v>0</v>
      </c>
      <c r="E138" s="687">
        <v>0</v>
      </c>
      <c r="F138" s="687">
        <v>1.2128811602178144E-4</v>
      </c>
      <c r="G138" s="687">
        <v>1.2128811602178144E-4</v>
      </c>
    </row>
    <row r="139" spans="1:7" ht="12.75" x14ac:dyDescent="0.2">
      <c r="A139" s="662">
        <v>135</v>
      </c>
      <c r="B139" s="687">
        <v>0</v>
      </c>
      <c r="C139" s="687">
        <v>0</v>
      </c>
      <c r="D139" s="687">
        <v>0</v>
      </c>
      <c r="E139" s="687">
        <v>0</v>
      </c>
      <c r="F139" s="687">
        <v>2.4321457482931102E-5</v>
      </c>
      <c r="G139" s="687">
        <v>2.4321457482931102E-5</v>
      </c>
    </row>
    <row r="140" spans="1:7" ht="12.75" x14ac:dyDescent="0.2">
      <c r="A140" s="662">
        <v>136</v>
      </c>
      <c r="B140" s="687">
        <v>0</v>
      </c>
      <c r="C140" s="687">
        <v>0</v>
      </c>
      <c r="D140" s="687">
        <v>0</v>
      </c>
      <c r="E140" s="687">
        <v>0</v>
      </c>
      <c r="F140" s="687">
        <v>2.2720914188461422E-5</v>
      </c>
      <c r="G140" s="687">
        <v>2.2720914188461422E-5</v>
      </c>
    </row>
    <row r="141" spans="1:7" ht="12.75" x14ac:dyDescent="0.2">
      <c r="A141" s="662">
        <v>137</v>
      </c>
      <c r="B141" s="687">
        <v>0</v>
      </c>
      <c r="C141" s="687">
        <v>0</v>
      </c>
      <c r="D141" s="687">
        <v>0</v>
      </c>
      <c r="E141" s="687">
        <v>0</v>
      </c>
      <c r="F141" s="687">
        <v>4.1571485027838543E-5</v>
      </c>
      <c r="G141" s="687">
        <v>4.1571485027838543E-5</v>
      </c>
    </row>
    <row r="142" spans="1:7" ht="12.75" x14ac:dyDescent="0.2">
      <c r="A142" s="662">
        <v>138</v>
      </c>
      <c r="B142" s="687">
        <v>0</v>
      </c>
      <c r="C142" s="687">
        <v>0</v>
      </c>
      <c r="D142" s="687">
        <v>0</v>
      </c>
      <c r="E142" s="687">
        <v>0</v>
      </c>
      <c r="F142" s="687">
        <v>3.5633852923137353E-5</v>
      </c>
      <c r="G142" s="687">
        <v>3.5633852923137353E-5</v>
      </c>
    </row>
    <row r="143" spans="1:7" ht="12.75" x14ac:dyDescent="0.2">
      <c r="A143" s="662">
        <v>139</v>
      </c>
      <c r="B143" s="687">
        <v>0</v>
      </c>
      <c r="C143" s="687">
        <v>0</v>
      </c>
      <c r="D143" s="687">
        <v>0</v>
      </c>
      <c r="E143" s="687">
        <v>0</v>
      </c>
      <c r="F143" s="687">
        <v>2.4798992452560165E-5</v>
      </c>
      <c r="G143" s="687">
        <v>2.4798992452560165E-5</v>
      </c>
    </row>
    <row r="144" spans="1:7" ht="12.75" x14ac:dyDescent="0.2">
      <c r="A144" s="662">
        <v>140</v>
      </c>
      <c r="B144" s="687">
        <v>0</v>
      </c>
      <c r="C144" s="687">
        <v>0</v>
      </c>
      <c r="D144" s="687">
        <v>0</v>
      </c>
      <c r="E144" s="687">
        <v>0</v>
      </c>
      <c r="F144" s="687">
        <v>2.5197866749379859E-5</v>
      </c>
      <c r="G144" s="687">
        <v>2.5197866749379859E-5</v>
      </c>
    </row>
    <row r="145" spans="1:7" ht="12.75" x14ac:dyDescent="0.2">
      <c r="A145" s="662">
        <v>141</v>
      </c>
      <c r="B145" s="687">
        <v>0</v>
      </c>
      <c r="C145" s="687">
        <v>0</v>
      </c>
      <c r="D145" s="687">
        <v>0</v>
      </c>
      <c r="E145" s="687">
        <v>0</v>
      </c>
      <c r="F145" s="687">
        <v>6.2382259337783711E-5</v>
      </c>
      <c r="G145" s="687">
        <v>6.2382259337783711E-5</v>
      </c>
    </row>
    <row r="146" spans="1:7" ht="12.75" x14ac:dyDescent="0.2">
      <c r="A146" s="662">
        <v>142</v>
      </c>
      <c r="B146" s="687">
        <v>0</v>
      </c>
      <c r="C146" s="687">
        <v>0</v>
      </c>
      <c r="D146" s="687">
        <v>0</v>
      </c>
      <c r="E146" s="687">
        <v>0</v>
      </c>
      <c r="F146" s="687">
        <v>3.5658101190804125E-5</v>
      </c>
      <c r="G146" s="687">
        <v>3.5658101190804125E-5</v>
      </c>
    </row>
    <row r="147" spans="1:7" ht="12.75" x14ac:dyDescent="0.2">
      <c r="A147" s="662">
        <v>143</v>
      </c>
      <c r="B147" s="687">
        <v>0</v>
      </c>
      <c r="C147" s="687">
        <v>0</v>
      </c>
      <c r="D147" s="687">
        <v>0</v>
      </c>
      <c r="E147" s="687">
        <v>0</v>
      </c>
      <c r="F147" s="687">
        <v>4.8872748683114557E-5</v>
      </c>
      <c r="G147" s="687">
        <v>4.8872748683114557E-5</v>
      </c>
    </row>
    <row r="148" spans="1:7" ht="12.75" x14ac:dyDescent="0.2">
      <c r="A148" s="662">
        <v>144</v>
      </c>
      <c r="B148" s="687">
        <v>0</v>
      </c>
      <c r="C148" s="687">
        <v>0</v>
      </c>
      <c r="D148" s="687">
        <v>0</v>
      </c>
      <c r="E148" s="687">
        <v>0</v>
      </c>
      <c r="F148" s="687">
        <v>5.2558853168210268E-5</v>
      </c>
      <c r="G148" s="687">
        <v>5.2558853168210268E-5</v>
      </c>
    </row>
    <row r="149" spans="1:7" ht="12.75" x14ac:dyDescent="0.2">
      <c r="A149" s="662">
        <v>145</v>
      </c>
      <c r="B149" s="687">
        <v>0</v>
      </c>
      <c r="C149" s="687">
        <v>0</v>
      </c>
      <c r="D149" s="687">
        <v>0</v>
      </c>
      <c r="E149" s="687">
        <v>0</v>
      </c>
      <c r="F149" s="687">
        <v>3.0515375960521133E-5</v>
      </c>
      <c r="G149" s="687">
        <v>3.0515375960521133E-5</v>
      </c>
    </row>
    <row r="150" spans="1:7" ht="12.75" x14ac:dyDescent="0.2">
      <c r="A150" s="662">
        <v>146</v>
      </c>
      <c r="B150" s="687">
        <v>0</v>
      </c>
      <c r="C150" s="687">
        <v>0</v>
      </c>
      <c r="D150" s="687">
        <v>0</v>
      </c>
      <c r="E150" s="687">
        <v>0</v>
      </c>
      <c r="F150" s="687">
        <v>1.8390670973505711E-5</v>
      </c>
      <c r="G150" s="687">
        <v>1.8390670973505711E-5</v>
      </c>
    </row>
    <row r="151" spans="1:7" ht="12.75" x14ac:dyDescent="0.2">
      <c r="A151" s="662">
        <v>147</v>
      </c>
      <c r="B151" s="687">
        <v>0</v>
      </c>
      <c r="C151" s="687">
        <v>0</v>
      </c>
      <c r="D151" s="687">
        <v>0</v>
      </c>
      <c r="E151" s="687">
        <v>0</v>
      </c>
      <c r="F151" s="687">
        <v>2.1410662578454353E-4</v>
      </c>
      <c r="G151" s="687">
        <v>2.1410662578454353E-4</v>
      </c>
    </row>
    <row r="152" spans="1:7" ht="12.75" x14ac:dyDescent="0.2">
      <c r="A152" s="662">
        <v>148</v>
      </c>
      <c r="B152" s="687">
        <v>0</v>
      </c>
      <c r="C152" s="687">
        <v>0</v>
      </c>
      <c r="D152" s="687">
        <v>0</v>
      </c>
      <c r="E152" s="687">
        <v>0</v>
      </c>
      <c r="F152" s="687">
        <v>4.030855802977016E-5</v>
      </c>
      <c r="G152" s="687">
        <v>4.030855802977016E-5</v>
      </c>
    </row>
    <row r="153" spans="1:7" ht="12.75" x14ac:dyDescent="0.2">
      <c r="A153" s="662">
        <v>149</v>
      </c>
      <c r="B153" s="687">
        <v>0</v>
      </c>
      <c r="C153" s="687">
        <v>0</v>
      </c>
      <c r="D153" s="687">
        <v>0</v>
      </c>
      <c r="E153" s="687">
        <v>0</v>
      </c>
      <c r="F153" s="687">
        <v>2.5906337630246141E-5</v>
      </c>
      <c r="G153" s="687">
        <v>2.5906337630246141E-5</v>
      </c>
    </row>
    <row r="154" spans="1:7" ht="12.75" x14ac:dyDescent="0.2">
      <c r="A154" s="662">
        <v>150</v>
      </c>
      <c r="B154" s="687">
        <v>0</v>
      </c>
      <c r="C154" s="687">
        <v>0</v>
      </c>
      <c r="D154" s="687">
        <v>0</v>
      </c>
      <c r="E154" s="687">
        <v>0</v>
      </c>
      <c r="F154" s="687">
        <v>1.6913643375429249E-3</v>
      </c>
      <c r="G154" s="687">
        <v>1.6913643375429249E-3</v>
      </c>
    </row>
    <row r="155" spans="1:7" ht="12.75" x14ac:dyDescent="0.2">
      <c r="A155" s="662" t="s">
        <v>650</v>
      </c>
      <c r="B155" s="685">
        <v>0.3788343245540971</v>
      </c>
      <c r="C155" s="685">
        <v>1.8383920556972431E-2</v>
      </c>
      <c r="D155" s="685">
        <v>1.4734831265654471E-2</v>
      </c>
      <c r="E155" s="685">
        <v>6.324693212343207E-4</v>
      </c>
      <c r="F155" s="685">
        <v>0.58741445430204176</v>
      </c>
      <c r="G155" s="685">
        <v>0.99999999999999989</v>
      </c>
    </row>
    <row r="156" spans="1:7" ht="12.75" x14ac:dyDescent="0.2">
      <c r="A156" s="662"/>
      <c r="B156" s="685"/>
      <c r="C156" s="685"/>
      <c r="D156" s="685"/>
      <c r="E156" s="685"/>
      <c r="F156" s="685"/>
    </row>
  </sheetData>
  <mergeCells count="1">
    <mergeCell ref="J6:J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56"/>
  <sheetViews>
    <sheetView zoomScale="75" zoomScaleNormal="75" workbookViewId="0">
      <selection activeCell="L42" sqref="L42"/>
    </sheetView>
  </sheetViews>
  <sheetFormatPr defaultRowHeight="12" x14ac:dyDescent="0.2"/>
  <cols>
    <col min="1" max="1" width="14.42578125" customWidth="1"/>
    <col min="2" max="2" width="39.42578125" customWidth="1"/>
    <col min="3" max="6" width="16" customWidth="1"/>
    <col min="10" max="10" width="38" customWidth="1"/>
  </cols>
  <sheetData>
    <row r="1" spans="1:10" ht="18.600000000000001" customHeight="1" x14ac:dyDescent="0.2">
      <c r="A1" s="663" t="s">
        <v>982</v>
      </c>
      <c r="B1" s="660"/>
      <c r="C1" s="660"/>
      <c r="D1" s="660"/>
      <c r="E1" s="660"/>
      <c r="F1" s="660"/>
      <c r="G1" s="660"/>
      <c r="J1" s="677"/>
    </row>
    <row r="2" spans="1:10" ht="18.600000000000001" customHeight="1" x14ac:dyDescent="0.2">
      <c r="A2" s="663"/>
      <c r="B2" s="663"/>
      <c r="C2" s="660"/>
      <c r="D2" s="660"/>
      <c r="E2" s="660"/>
      <c r="F2" s="660"/>
      <c r="G2" s="660"/>
      <c r="J2" s="667"/>
    </row>
    <row r="3" spans="1:10" ht="18.600000000000001" customHeight="1" x14ac:dyDescent="0.2">
      <c r="A3" s="660" t="s">
        <v>458</v>
      </c>
      <c r="B3" s="660" t="s">
        <v>3</v>
      </c>
      <c r="C3" s="660" t="s">
        <v>7</v>
      </c>
      <c r="D3" s="660" t="s">
        <v>8</v>
      </c>
      <c r="E3" s="660" t="s">
        <v>626</v>
      </c>
      <c r="F3" s="660" t="s">
        <v>4</v>
      </c>
      <c r="G3" s="663"/>
      <c r="J3" s="667"/>
    </row>
    <row r="4" spans="1:10" ht="33.75" customHeight="1" x14ac:dyDescent="0.2">
      <c r="A4" s="662">
        <v>0</v>
      </c>
      <c r="B4" s="687">
        <v>2.3253555451881514E-2</v>
      </c>
      <c r="C4" s="687">
        <v>5.4554276900592837E-4</v>
      </c>
      <c r="D4" s="687">
        <v>2.4979788367379208E-3</v>
      </c>
      <c r="E4" s="687">
        <v>5.154026080206953E-4</v>
      </c>
      <c r="F4" s="687">
        <v>1.3625514176884203E-3</v>
      </c>
      <c r="G4" s="660"/>
      <c r="J4" s="1260" t="s">
        <v>968</v>
      </c>
    </row>
    <row r="5" spans="1:10" ht="18.600000000000001" customHeight="1" x14ac:dyDescent="0.2">
      <c r="A5" s="662">
        <v>1</v>
      </c>
      <c r="B5" s="687">
        <v>7.1035551573503386E-2</v>
      </c>
      <c r="C5" s="687">
        <v>2.9019782039012582E-3</v>
      </c>
      <c r="D5" s="687">
        <v>6.6637982674579085E-3</v>
      </c>
      <c r="E5" s="687">
        <v>0</v>
      </c>
      <c r="F5" s="687">
        <v>1.1034209164181866E-2</v>
      </c>
      <c r="G5" s="660"/>
    </row>
    <row r="6" spans="1:10" ht="24" customHeight="1" x14ac:dyDescent="0.2">
      <c r="A6" s="662">
        <v>2</v>
      </c>
      <c r="B6" s="687">
        <v>6.2509833572323231E-2</v>
      </c>
      <c r="C6" s="687">
        <v>1.6187288627498454E-3</v>
      </c>
      <c r="D6" s="687">
        <v>1.6496738767205373E-3</v>
      </c>
      <c r="E6" s="687">
        <v>0</v>
      </c>
      <c r="F6" s="687">
        <v>1.2417248321673045E-2</v>
      </c>
      <c r="G6" s="660"/>
      <c r="J6" s="1378" t="s">
        <v>983</v>
      </c>
    </row>
    <row r="7" spans="1:10" ht="18.600000000000001" customHeight="1" x14ac:dyDescent="0.2">
      <c r="A7" s="662">
        <v>3</v>
      </c>
      <c r="B7" s="687">
        <v>4.049506363106492E-2</v>
      </c>
      <c r="C7" s="687">
        <v>2.5691271656203907E-3</v>
      </c>
      <c r="D7" s="687">
        <v>5.7750925875929842E-4</v>
      </c>
      <c r="E7" s="687">
        <v>0</v>
      </c>
      <c r="F7" s="687">
        <v>4.4242074354742242E-2</v>
      </c>
      <c r="G7" s="660"/>
      <c r="J7" s="1378"/>
    </row>
    <row r="8" spans="1:10" ht="18.600000000000001" customHeight="1" x14ac:dyDescent="0.2">
      <c r="A8" s="662">
        <v>4</v>
      </c>
      <c r="B8" s="687">
        <v>3.7648041952316115E-2</v>
      </c>
      <c r="C8" s="687">
        <v>1.3157050456035031E-3</v>
      </c>
      <c r="D8" s="687">
        <v>6.8945145862352652E-4</v>
      </c>
      <c r="E8" s="687">
        <v>0</v>
      </c>
      <c r="F8" s="687">
        <v>2.0612789959972538E-2</v>
      </c>
      <c r="G8" s="660"/>
    </row>
    <row r="9" spans="1:10" ht="18.600000000000001" customHeight="1" x14ac:dyDescent="0.2">
      <c r="A9" s="662">
        <v>5</v>
      </c>
      <c r="B9" s="687">
        <v>2.5971896937017631E-2</v>
      </c>
      <c r="C9" s="687">
        <v>5.4159222994969733E-4</v>
      </c>
      <c r="D9" s="687">
        <v>7.1689604887170905E-4</v>
      </c>
      <c r="E9" s="687">
        <v>0</v>
      </c>
      <c r="F9" s="687">
        <v>1.937265453936669E-2</v>
      </c>
      <c r="G9" s="660"/>
    </row>
    <row r="10" spans="1:10" ht="18.600000000000001" customHeight="1" x14ac:dyDescent="0.2">
      <c r="A10" s="662">
        <v>6</v>
      </c>
      <c r="B10" s="687">
        <v>2.0549437510018035E-2</v>
      </c>
      <c r="C10" s="687">
        <v>8.771877448446575E-4</v>
      </c>
      <c r="D10" s="687">
        <v>1.0430464732199404E-3</v>
      </c>
      <c r="E10" s="687">
        <v>0</v>
      </c>
      <c r="F10" s="687">
        <v>3.7700440402915356E-2</v>
      </c>
      <c r="G10" s="660"/>
    </row>
    <row r="11" spans="1:10" ht="18.600000000000001" customHeight="1" x14ac:dyDescent="0.2">
      <c r="A11" s="662">
        <v>7</v>
      </c>
      <c r="B11" s="687">
        <v>1.4782614790059292E-2</v>
      </c>
      <c r="C11" s="687">
        <v>3.4025525340261148E-4</v>
      </c>
      <c r="D11" s="687">
        <v>0</v>
      </c>
      <c r="E11" s="687">
        <v>0</v>
      </c>
      <c r="F11" s="687">
        <v>1.4032170377221575E-2</v>
      </c>
      <c r="G11" s="660"/>
    </row>
    <row r="12" spans="1:10" ht="18.600000000000001" customHeight="1" x14ac:dyDescent="0.2">
      <c r="A12" s="662">
        <v>8</v>
      </c>
      <c r="B12" s="687">
        <v>1.0510438530206605E-2</v>
      </c>
      <c r="C12" s="687">
        <v>5.2528933430536699E-4</v>
      </c>
      <c r="D12" s="687">
        <v>0</v>
      </c>
      <c r="E12" s="687">
        <v>0</v>
      </c>
      <c r="F12" s="687">
        <v>2.1664119186069593E-2</v>
      </c>
      <c r="G12" s="660"/>
    </row>
    <row r="13" spans="1:10" ht="12.75" x14ac:dyDescent="0.2">
      <c r="A13" s="662">
        <v>9</v>
      </c>
      <c r="B13" s="687">
        <v>7.8185985295526634E-3</v>
      </c>
      <c r="C13" s="687">
        <v>5.3055188044019517E-3</v>
      </c>
      <c r="D13" s="687">
        <v>0</v>
      </c>
      <c r="E13" s="687">
        <v>0</v>
      </c>
      <c r="F13" s="687">
        <v>2.2476940031173405E-2</v>
      </c>
      <c r="G13" s="660"/>
    </row>
    <row r="14" spans="1:10" ht="12.75" x14ac:dyDescent="0.2">
      <c r="A14" s="662">
        <v>10</v>
      </c>
      <c r="B14" s="687">
        <v>6.7421829303825967E-3</v>
      </c>
      <c r="C14" s="687">
        <v>1.7031943319080256E-4</v>
      </c>
      <c r="D14" s="687">
        <v>0</v>
      </c>
      <c r="E14" s="687">
        <v>0</v>
      </c>
      <c r="F14" s="687">
        <v>1.7119494636516741E-2</v>
      </c>
      <c r="G14" s="660"/>
    </row>
    <row r="15" spans="1:10" ht="12.75" x14ac:dyDescent="0.2">
      <c r="A15" s="662">
        <v>11</v>
      </c>
      <c r="B15" s="687">
        <v>5.4204198187742707E-3</v>
      </c>
      <c r="C15" s="687">
        <v>2.2686687509863371E-4</v>
      </c>
      <c r="D15" s="687">
        <v>0</v>
      </c>
      <c r="E15" s="687">
        <v>0</v>
      </c>
      <c r="F15" s="687">
        <v>2.4724890021000846E-2</v>
      </c>
      <c r="G15" s="660"/>
    </row>
    <row r="16" spans="1:10" ht="12.75" x14ac:dyDescent="0.2">
      <c r="A16" s="662">
        <v>12</v>
      </c>
      <c r="B16" s="687">
        <v>5.1865347158883812E-3</v>
      </c>
      <c r="C16" s="687">
        <v>4.7906816341194562E-4</v>
      </c>
      <c r="D16" s="687">
        <v>0</v>
      </c>
      <c r="E16" s="687">
        <v>0</v>
      </c>
      <c r="F16" s="687">
        <v>1.664597996798766E-2</v>
      </c>
      <c r="G16" s="660"/>
    </row>
    <row r="17" spans="1:7" ht="12.75" x14ac:dyDescent="0.2">
      <c r="A17" s="662">
        <v>13</v>
      </c>
      <c r="B17" s="687">
        <v>2.8874229986515718E-3</v>
      </c>
      <c r="C17" s="687">
        <v>1.8484185694887755E-5</v>
      </c>
      <c r="D17" s="687">
        <v>0</v>
      </c>
      <c r="E17" s="687">
        <v>0</v>
      </c>
      <c r="F17" s="687">
        <v>1.8881480020721476E-2</v>
      </c>
      <c r="G17" s="660"/>
    </row>
    <row r="18" spans="1:7" ht="12.75" x14ac:dyDescent="0.2">
      <c r="A18" s="662">
        <v>14</v>
      </c>
      <c r="B18" s="687">
        <v>3.9485943577260915E-3</v>
      </c>
      <c r="C18" s="687">
        <v>6.4923216849519727E-6</v>
      </c>
      <c r="D18" s="687">
        <v>0</v>
      </c>
      <c r="E18" s="687">
        <v>0</v>
      </c>
      <c r="F18" s="687">
        <v>2.5460241376492571E-2</v>
      </c>
      <c r="G18" s="660"/>
    </row>
    <row r="19" spans="1:7" ht="12.75" x14ac:dyDescent="0.2">
      <c r="A19" s="662">
        <v>15</v>
      </c>
      <c r="B19" s="687">
        <v>1.7149473062641253E-3</v>
      </c>
      <c r="C19" s="687">
        <v>3.7244392335962923E-5</v>
      </c>
      <c r="D19" s="687">
        <v>0</v>
      </c>
      <c r="E19" s="687">
        <v>0</v>
      </c>
      <c r="F19" s="687">
        <v>1.296046682911782E-2</v>
      </c>
      <c r="G19" s="660"/>
    </row>
    <row r="20" spans="1:7" ht="12.75" x14ac:dyDescent="0.2">
      <c r="A20" s="662">
        <v>16</v>
      </c>
      <c r="B20" s="687">
        <v>1.5156662373620889E-3</v>
      </c>
      <c r="C20" s="687">
        <v>8.6218482085717585E-5</v>
      </c>
      <c r="D20" s="687">
        <v>0</v>
      </c>
      <c r="E20" s="687">
        <v>0</v>
      </c>
      <c r="F20" s="687">
        <v>1.5557730247554099E-2</v>
      </c>
      <c r="G20" s="660"/>
    </row>
    <row r="21" spans="1:7" ht="12.75" x14ac:dyDescent="0.2">
      <c r="A21" s="662">
        <v>17</v>
      </c>
      <c r="B21" s="687">
        <v>1.8740700560968173E-3</v>
      </c>
      <c r="C21" s="687">
        <v>6.5108985126619125E-6</v>
      </c>
      <c r="D21" s="687">
        <v>0</v>
      </c>
      <c r="E21" s="687">
        <v>0</v>
      </c>
      <c r="F21" s="687">
        <v>1.2348108615942353E-2</v>
      </c>
      <c r="G21" s="660"/>
    </row>
    <row r="22" spans="1:7" ht="12.75" x14ac:dyDescent="0.2">
      <c r="A22" s="662">
        <v>18</v>
      </c>
      <c r="B22" s="687">
        <v>1.0574317735937374E-3</v>
      </c>
      <c r="C22" s="687">
        <v>2.2161357637461401E-5</v>
      </c>
      <c r="D22" s="687">
        <v>0</v>
      </c>
      <c r="E22" s="687">
        <v>0</v>
      </c>
      <c r="F22" s="687">
        <v>1.8407032056686048E-2</v>
      </c>
      <c r="G22" s="660"/>
    </row>
    <row r="23" spans="1:7" ht="12.75" x14ac:dyDescent="0.2">
      <c r="A23" s="662">
        <v>19</v>
      </c>
      <c r="B23" s="687">
        <v>2.2008297810044335E-3</v>
      </c>
      <c r="C23" s="687">
        <v>2.904392688273195E-5</v>
      </c>
      <c r="D23" s="687">
        <v>0</v>
      </c>
      <c r="E23" s="687">
        <v>0</v>
      </c>
      <c r="F23" s="687">
        <v>1.7186336663737721E-2</v>
      </c>
      <c r="G23" s="660"/>
    </row>
    <row r="24" spans="1:7" ht="12.75" x14ac:dyDescent="0.2">
      <c r="A24" s="662">
        <v>20</v>
      </c>
      <c r="B24" s="687">
        <v>1.6792598786945052E-3</v>
      </c>
      <c r="C24" s="687">
        <v>0</v>
      </c>
      <c r="D24" s="687">
        <v>0</v>
      </c>
      <c r="E24" s="687">
        <v>0</v>
      </c>
      <c r="F24" s="687">
        <v>1.171382598170108E-2</v>
      </c>
      <c r="G24" s="660"/>
    </row>
    <row r="25" spans="1:7" ht="12.75" x14ac:dyDescent="0.2">
      <c r="A25" s="662">
        <v>21</v>
      </c>
      <c r="B25" s="687">
        <v>1.4082288659961499E-3</v>
      </c>
      <c r="C25" s="687">
        <v>6.6894470210429095E-7</v>
      </c>
      <c r="D25" s="687">
        <v>0</v>
      </c>
      <c r="E25" s="687">
        <v>0</v>
      </c>
      <c r="F25" s="687">
        <v>1.5866782800621405E-2</v>
      </c>
      <c r="G25" s="660"/>
    </row>
    <row r="26" spans="1:7" ht="12.75" x14ac:dyDescent="0.2">
      <c r="A26" s="662">
        <v>22</v>
      </c>
      <c r="B26" s="687">
        <v>2.3928141262450422E-3</v>
      </c>
      <c r="C26" s="687">
        <v>8.8117004793421001E-6</v>
      </c>
      <c r="D26" s="687">
        <v>0</v>
      </c>
      <c r="E26" s="687">
        <v>0</v>
      </c>
      <c r="F26" s="687">
        <v>1.1501113963434902E-2</v>
      </c>
      <c r="G26" s="660"/>
    </row>
    <row r="27" spans="1:7" ht="12.75" x14ac:dyDescent="0.2">
      <c r="A27" s="662">
        <v>23</v>
      </c>
      <c r="B27" s="687">
        <v>2.0883210326211885E-3</v>
      </c>
      <c r="C27" s="687">
        <v>0</v>
      </c>
      <c r="D27" s="687">
        <v>0</v>
      </c>
      <c r="E27" s="687">
        <v>0</v>
      </c>
      <c r="F27" s="687">
        <v>1.3978468622745668E-2</v>
      </c>
      <c r="G27" s="660"/>
    </row>
    <row r="28" spans="1:7" ht="12.75" x14ac:dyDescent="0.2">
      <c r="A28" s="662">
        <v>24</v>
      </c>
      <c r="B28" s="687">
        <v>1.2115363572381336E-3</v>
      </c>
      <c r="C28" s="687">
        <v>2.9266330717062733E-7</v>
      </c>
      <c r="D28" s="687">
        <v>0</v>
      </c>
      <c r="E28" s="687">
        <v>0</v>
      </c>
      <c r="F28" s="687">
        <v>1.1246375715543024E-2</v>
      </c>
      <c r="G28" s="660"/>
    </row>
    <row r="29" spans="1:7" ht="12.75" x14ac:dyDescent="0.2">
      <c r="A29" s="662">
        <v>25</v>
      </c>
      <c r="B29" s="687">
        <v>6.371231072080266E-4</v>
      </c>
      <c r="C29" s="687">
        <v>1.2688673953604983E-6</v>
      </c>
      <c r="D29" s="687">
        <v>0</v>
      </c>
      <c r="E29" s="687">
        <v>0</v>
      </c>
      <c r="F29" s="687">
        <v>1.0326717649144829E-2</v>
      </c>
      <c r="G29" s="660"/>
    </row>
    <row r="30" spans="1:7" ht="12.75" x14ac:dyDescent="0.2">
      <c r="A30" s="662">
        <v>26</v>
      </c>
      <c r="B30" s="687">
        <v>5.7432288554567753E-4</v>
      </c>
      <c r="C30" s="687">
        <v>0</v>
      </c>
      <c r="D30" s="687">
        <v>0</v>
      </c>
      <c r="E30" s="687">
        <v>0</v>
      </c>
      <c r="F30" s="687">
        <v>1.5890378006784837E-2</v>
      </c>
      <c r="G30" s="660"/>
    </row>
    <row r="31" spans="1:7" ht="12.75" x14ac:dyDescent="0.2">
      <c r="A31" s="662">
        <v>27</v>
      </c>
      <c r="B31" s="687">
        <v>5.7829418189009676E-4</v>
      </c>
      <c r="C31" s="687">
        <v>0</v>
      </c>
      <c r="D31" s="687">
        <v>0</v>
      </c>
      <c r="E31" s="687">
        <v>0</v>
      </c>
      <c r="F31" s="687">
        <v>7.321642692709851E-3</v>
      </c>
      <c r="G31" s="660"/>
    </row>
    <row r="32" spans="1:7" ht="12.75" x14ac:dyDescent="0.2">
      <c r="A32" s="662">
        <v>28</v>
      </c>
      <c r="B32" s="687">
        <v>8.4291109762154736E-4</v>
      </c>
      <c r="C32" s="687">
        <v>0</v>
      </c>
      <c r="D32" s="687">
        <v>0</v>
      </c>
      <c r="E32" s="687">
        <v>0</v>
      </c>
      <c r="F32" s="687">
        <v>8.4943579046646636E-3</v>
      </c>
      <c r="G32" s="660"/>
    </row>
    <row r="33" spans="1:7" ht="12.75" x14ac:dyDescent="0.2">
      <c r="A33" s="662">
        <v>29</v>
      </c>
      <c r="B33" s="687">
        <v>5.384784532108727E-4</v>
      </c>
      <c r="C33" s="687">
        <v>0</v>
      </c>
      <c r="D33" s="687">
        <v>0</v>
      </c>
      <c r="E33" s="687">
        <v>0</v>
      </c>
      <c r="F33" s="687">
        <v>8.0675589666236863E-3</v>
      </c>
      <c r="G33" s="660"/>
    </row>
    <row r="34" spans="1:7" ht="12.75" x14ac:dyDescent="0.2">
      <c r="A34" s="662">
        <v>30</v>
      </c>
      <c r="B34" s="687">
        <v>8.1842245553845848E-4</v>
      </c>
      <c r="C34" s="687">
        <v>0</v>
      </c>
      <c r="D34" s="687">
        <v>0</v>
      </c>
      <c r="E34" s="687">
        <v>0</v>
      </c>
      <c r="F34" s="687">
        <v>5.7285494531668386E-3</v>
      </c>
      <c r="G34" s="660"/>
    </row>
    <row r="35" spans="1:7" ht="12.75" x14ac:dyDescent="0.2">
      <c r="A35" s="662">
        <v>31</v>
      </c>
      <c r="B35" s="687">
        <v>4.2326757034607485E-4</v>
      </c>
      <c r="C35" s="687">
        <v>0</v>
      </c>
      <c r="D35" s="687">
        <v>0</v>
      </c>
      <c r="E35" s="687">
        <v>0</v>
      </c>
      <c r="F35" s="687">
        <v>8.3308200385415129E-3</v>
      </c>
      <c r="G35" s="660"/>
    </row>
    <row r="36" spans="1:7" ht="12.75" x14ac:dyDescent="0.2">
      <c r="A36" s="662">
        <v>32</v>
      </c>
      <c r="B36" s="687">
        <v>4.0825400491778757E-4</v>
      </c>
      <c r="C36" s="687">
        <v>0</v>
      </c>
      <c r="D36" s="687">
        <v>0</v>
      </c>
      <c r="E36" s="687">
        <v>0</v>
      </c>
      <c r="F36" s="687">
        <v>6.7873655619816765E-3</v>
      </c>
      <c r="G36" s="660"/>
    </row>
    <row r="37" spans="1:7" ht="12.75" x14ac:dyDescent="0.2">
      <c r="A37" s="662">
        <v>33</v>
      </c>
      <c r="B37" s="687">
        <v>8.3630548107609833E-5</v>
      </c>
      <c r="C37" s="687">
        <v>0</v>
      </c>
      <c r="D37" s="687">
        <v>0</v>
      </c>
      <c r="E37" s="687">
        <v>0</v>
      </c>
      <c r="F37" s="687">
        <v>6.1363225143414701E-3</v>
      </c>
      <c r="G37" s="660"/>
    </row>
    <row r="38" spans="1:7" ht="12.75" x14ac:dyDescent="0.2">
      <c r="A38" s="662">
        <v>34</v>
      </c>
      <c r="B38" s="687">
        <v>5.1178093918295087E-5</v>
      </c>
      <c r="C38" s="687">
        <v>0</v>
      </c>
      <c r="D38" s="687">
        <v>0</v>
      </c>
      <c r="E38" s="687">
        <v>0</v>
      </c>
      <c r="F38" s="687">
        <v>5.5712097134899725E-3</v>
      </c>
      <c r="G38" s="660"/>
    </row>
    <row r="39" spans="1:7" ht="12.75" x14ac:dyDescent="0.2">
      <c r="A39" s="662">
        <v>35</v>
      </c>
      <c r="B39" s="687">
        <v>2.3163470137421149E-5</v>
      </c>
      <c r="C39" s="687">
        <v>0</v>
      </c>
      <c r="D39" s="687">
        <v>0</v>
      </c>
      <c r="E39" s="687">
        <v>0</v>
      </c>
      <c r="F39" s="687">
        <v>4.8973145514101847E-3</v>
      </c>
      <c r="G39" s="660"/>
    </row>
    <row r="40" spans="1:7" ht="12.75" x14ac:dyDescent="0.2">
      <c r="A40" s="662">
        <v>36</v>
      </c>
      <c r="B40" s="687">
        <v>2.000125352100737E-5</v>
      </c>
      <c r="C40" s="687">
        <v>0</v>
      </c>
      <c r="D40" s="687">
        <v>0</v>
      </c>
      <c r="E40" s="687">
        <v>0</v>
      </c>
      <c r="F40" s="687">
        <v>5.1972546636304311E-3</v>
      </c>
      <c r="G40" s="660"/>
    </row>
    <row r="41" spans="1:7" ht="12.75" x14ac:dyDescent="0.2">
      <c r="A41" s="662">
        <v>37</v>
      </c>
      <c r="B41" s="687">
        <v>3.8225274175682735E-5</v>
      </c>
      <c r="C41" s="687">
        <v>0</v>
      </c>
      <c r="D41" s="687">
        <v>0</v>
      </c>
      <c r="E41" s="687">
        <v>0</v>
      </c>
      <c r="F41" s="687">
        <v>2.0948045020334361E-3</v>
      </c>
      <c r="G41" s="660"/>
    </row>
    <row r="42" spans="1:7" ht="12.75" x14ac:dyDescent="0.2">
      <c r="A42" s="662">
        <v>38</v>
      </c>
      <c r="B42" s="687">
        <v>1.0516794201756694E-4</v>
      </c>
      <c r="C42" s="687">
        <v>0</v>
      </c>
      <c r="D42" s="687">
        <v>0</v>
      </c>
      <c r="E42" s="687">
        <v>0</v>
      </c>
      <c r="F42" s="687">
        <v>6.1567722319541256E-3</v>
      </c>
      <c r="G42" s="660"/>
    </row>
    <row r="43" spans="1:7" ht="12.75" x14ac:dyDescent="0.2">
      <c r="A43" s="662">
        <v>39</v>
      </c>
      <c r="B43" s="687">
        <v>2.2336577673645753E-5</v>
      </c>
      <c r="C43" s="687">
        <v>0</v>
      </c>
      <c r="D43" s="687">
        <v>0</v>
      </c>
      <c r="E43" s="687">
        <v>0</v>
      </c>
      <c r="F43" s="687">
        <v>2.3829478292977692E-3</v>
      </c>
      <c r="G43" s="660"/>
    </row>
    <row r="44" spans="1:7" ht="12.75" x14ac:dyDescent="0.2">
      <c r="A44" s="662">
        <v>40</v>
      </c>
      <c r="B44" s="687">
        <v>3.1647985123634425E-5</v>
      </c>
      <c r="C44" s="687">
        <v>0</v>
      </c>
      <c r="D44" s="687">
        <v>0</v>
      </c>
      <c r="E44" s="687">
        <v>0</v>
      </c>
      <c r="F44" s="687">
        <v>3.3834652649501048E-3</v>
      </c>
      <c r="G44" s="660"/>
    </row>
    <row r="45" spans="1:7" ht="12.75" x14ac:dyDescent="0.2">
      <c r="A45" s="662">
        <v>41</v>
      </c>
      <c r="B45" s="687">
        <v>1.4917147802308752E-5</v>
      </c>
      <c r="C45" s="687">
        <v>0</v>
      </c>
      <c r="D45" s="687">
        <v>0</v>
      </c>
      <c r="E45" s="687">
        <v>0</v>
      </c>
      <c r="F45" s="687">
        <v>2.5952399233535308E-3</v>
      </c>
      <c r="G45" s="660"/>
    </row>
    <row r="46" spans="1:7" ht="12.75" x14ac:dyDescent="0.2">
      <c r="A46" s="662">
        <v>42</v>
      </c>
      <c r="B46" s="687">
        <v>1.1867741431487915E-5</v>
      </c>
      <c r="C46" s="687">
        <v>0</v>
      </c>
      <c r="D46" s="687">
        <v>0</v>
      </c>
      <c r="E46" s="687">
        <v>0</v>
      </c>
      <c r="F46" s="687">
        <v>1.6082325675489694E-3</v>
      </c>
      <c r="G46" s="660"/>
    </row>
    <row r="47" spans="1:7" ht="12.75" x14ac:dyDescent="0.2">
      <c r="A47" s="662">
        <v>43</v>
      </c>
      <c r="B47" s="687">
        <v>9.2696207691754591E-6</v>
      </c>
      <c r="C47" s="687">
        <v>0</v>
      </c>
      <c r="D47" s="687">
        <v>0</v>
      </c>
      <c r="E47" s="687">
        <v>0</v>
      </c>
      <c r="F47" s="687">
        <v>3.2953007856386489E-3</v>
      </c>
      <c r="G47" s="660"/>
    </row>
    <row r="48" spans="1:7" ht="12.75" x14ac:dyDescent="0.2">
      <c r="A48" s="662">
        <v>44</v>
      </c>
      <c r="B48" s="687">
        <v>8.0186779249265583E-6</v>
      </c>
      <c r="C48" s="687">
        <v>0</v>
      </c>
      <c r="D48" s="687">
        <v>0</v>
      </c>
      <c r="E48" s="687">
        <v>0</v>
      </c>
      <c r="F48" s="687">
        <v>2.6199700529539972E-3</v>
      </c>
      <c r="G48" s="660"/>
    </row>
    <row r="49" spans="1:7" ht="12.75" x14ac:dyDescent="0.2">
      <c r="A49" s="662">
        <v>45</v>
      </c>
      <c r="B49" s="687">
        <v>5.3203415400044673E-6</v>
      </c>
      <c r="C49" s="687">
        <v>0</v>
      </c>
      <c r="D49" s="687">
        <v>0</v>
      </c>
      <c r="E49" s="687">
        <v>0</v>
      </c>
      <c r="F49" s="687">
        <v>2.5155781034624661E-3</v>
      </c>
      <c r="G49" s="660"/>
    </row>
    <row r="50" spans="1:7" ht="12.75" x14ac:dyDescent="0.2">
      <c r="A50" s="662">
        <v>46</v>
      </c>
      <c r="B50" s="687">
        <v>5.0847579952969623E-6</v>
      </c>
      <c r="C50" s="687">
        <v>0</v>
      </c>
      <c r="D50" s="687">
        <v>0</v>
      </c>
      <c r="E50" s="687">
        <v>0</v>
      </c>
      <c r="F50" s="687">
        <v>1.969845272347687E-3</v>
      </c>
      <c r="G50" s="660"/>
    </row>
    <row r="51" spans="1:7" ht="12.75" x14ac:dyDescent="0.2">
      <c r="A51" s="662">
        <v>47</v>
      </c>
      <c r="B51" s="687">
        <v>2.6671426711605379E-6</v>
      </c>
      <c r="C51" s="687">
        <v>0</v>
      </c>
      <c r="D51" s="687">
        <v>0</v>
      </c>
      <c r="E51" s="687">
        <v>0</v>
      </c>
      <c r="F51" s="687">
        <v>3.316227522214654E-3</v>
      </c>
      <c r="G51" s="660"/>
    </row>
    <row r="52" spans="1:7" ht="12.75" x14ac:dyDescent="0.2">
      <c r="A52" s="662">
        <v>48</v>
      </c>
      <c r="B52" s="687">
        <v>2.6346220411339896E-6</v>
      </c>
      <c r="C52" s="687">
        <v>0</v>
      </c>
      <c r="D52" s="687">
        <v>0</v>
      </c>
      <c r="E52" s="687">
        <v>0</v>
      </c>
      <c r="F52" s="687">
        <v>7.6542166703458085E-4</v>
      </c>
      <c r="G52" s="660"/>
    </row>
    <row r="53" spans="1:7" ht="12.75" x14ac:dyDescent="0.2">
      <c r="A53" s="662">
        <v>49</v>
      </c>
      <c r="B53" s="687">
        <v>2.1183174356408189E-6</v>
      </c>
      <c r="C53" s="687">
        <v>0</v>
      </c>
      <c r="D53" s="687">
        <v>0</v>
      </c>
      <c r="E53" s="687">
        <v>0</v>
      </c>
      <c r="F53" s="687">
        <v>3.3450586430122491E-3</v>
      </c>
      <c r="G53" s="660"/>
    </row>
    <row r="54" spans="1:7" ht="12.75" x14ac:dyDescent="0.2">
      <c r="A54" s="662">
        <v>50</v>
      </c>
      <c r="B54" s="687">
        <v>3.8556980878863354E-7</v>
      </c>
      <c r="C54" s="687">
        <v>0</v>
      </c>
      <c r="D54" s="687">
        <v>0</v>
      </c>
      <c r="E54" s="687">
        <v>0</v>
      </c>
      <c r="F54" s="687">
        <v>1.5771664463890699E-3</v>
      </c>
      <c r="G54" s="660"/>
    </row>
    <row r="55" spans="1:7" ht="12.75" x14ac:dyDescent="0.2">
      <c r="A55" s="662">
        <v>51</v>
      </c>
      <c r="B55" s="687">
        <v>8.5343078907530773E-7</v>
      </c>
      <c r="C55" s="687">
        <v>0</v>
      </c>
      <c r="D55" s="687">
        <v>0</v>
      </c>
      <c r="E55" s="687">
        <v>0</v>
      </c>
      <c r="F55" s="687">
        <v>4.1273185157702786E-4</v>
      </c>
      <c r="G55" s="660"/>
    </row>
    <row r="56" spans="1:7" ht="12.75" x14ac:dyDescent="0.2">
      <c r="A56" s="662">
        <v>52</v>
      </c>
      <c r="B56" s="687">
        <v>5.8798044687124605E-7</v>
      </c>
      <c r="C56" s="687">
        <v>0</v>
      </c>
      <c r="D56" s="687">
        <v>0</v>
      </c>
      <c r="E56" s="687">
        <v>0</v>
      </c>
      <c r="F56" s="687">
        <v>1.1480795878766664E-3</v>
      </c>
      <c r="G56" s="660"/>
    </row>
    <row r="57" spans="1:7" ht="12.75" x14ac:dyDescent="0.2">
      <c r="A57" s="662">
        <v>53</v>
      </c>
      <c r="B57" s="687">
        <v>6.3775098834273837E-7</v>
      </c>
      <c r="C57" s="687">
        <v>0</v>
      </c>
      <c r="D57" s="687">
        <v>0</v>
      </c>
      <c r="E57" s="687">
        <v>0</v>
      </c>
      <c r="F57" s="687">
        <v>7.7180304210384433E-4</v>
      </c>
      <c r="G57" s="660"/>
    </row>
    <row r="58" spans="1:7" ht="12.75" x14ac:dyDescent="0.2">
      <c r="A58" s="662">
        <v>54</v>
      </c>
      <c r="B58" s="687">
        <v>1.6723617552607274E-7</v>
      </c>
      <c r="C58" s="687">
        <v>0</v>
      </c>
      <c r="D58" s="687">
        <v>0</v>
      </c>
      <c r="E58" s="687">
        <v>0</v>
      </c>
      <c r="F58" s="687">
        <v>4.1379489040983586E-4</v>
      </c>
      <c r="G58" s="660"/>
    </row>
    <row r="59" spans="1:7" ht="12.75" x14ac:dyDescent="0.2">
      <c r="A59" s="662">
        <v>55</v>
      </c>
      <c r="B59" s="687">
        <v>3.8158905999364645E-7</v>
      </c>
      <c r="C59" s="687">
        <v>0</v>
      </c>
      <c r="D59" s="687">
        <v>0</v>
      </c>
      <c r="E59" s="687">
        <v>0</v>
      </c>
      <c r="F59" s="687">
        <v>1.8020735146380591E-3</v>
      </c>
      <c r="G59" s="660"/>
    </row>
    <row r="60" spans="1:7" ht="12.75" x14ac:dyDescent="0.2">
      <c r="A60" s="662">
        <v>56</v>
      </c>
      <c r="B60" s="687">
        <v>0</v>
      </c>
      <c r="C60" s="687">
        <v>0</v>
      </c>
      <c r="D60" s="687">
        <v>0</v>
      </c>
      <c r="E60" s="687">
        <v>0</v>
      </c>
      <c r="F60" s="687">
        <v>5.6879320806637744E-4</v>
      </c>
      <c r="G60" s="660"/>
    </row>
    <row r="61" spans="1:7" ht="12.75" x14ac:dyDescent="0.2">
      <c r="A61" s="662">
        <v>57</v>
      </c>
      <c r="B61" s="687">
        <v>0</v>
      </c>
      <c r="C61" s="687">
        <v>0</v>
      </c>
      <c r="D61" s="687">
        <v>0</v>
      </c>
      <c r="E61" s="687">
        <v>0</v>
      </c>
      <c r="F61" s="687">
        <v>5.3836022723249561E-4</v>
      </c>
      <c r="G61" s="660"/>
    </row>
    <row r="62" spans="1:7" ht="12.75" x14ac:dyDescent="0.2">
      <c r="A62" s="662">
        <v>58</v>
      </c>
      <c r="B62" s="687">
        <v>1.2542713164455457E-7</v>
      </c>
      <c r="C62" s="687">
        <v>0</v>
      </c>
      <c r="D62" s="687">
        <v>0</v>
      </c>
      <c r="E62" s="687">
        <v>0</v>
      </c>
      <c r="F62" s="687">
        <v>1.90224767069522E-3</v>
      </c>
      <c r="G62" s="660"/>
    </row>
    <row r="63" spans="1:7" ht="12.75" x14ac:dyDescent="0.2">
      <c r="A63" s="662">
        <v>59</v>
      </c>
      <c r="B63" s="687">
        <v>0</v>
      </c>
      <c r="C63" s="687">
        <v>0</v>
      </c>
      <c r="D63" s="687">
        <v>0</v>
      </c>
      <c r="E63" s="687">
        <v>0</v>
      </c>
      <c r="F63" s="687">
        <v>2.8583856691192627E-4</v>
      </c>
      <c r="G63" s="660"/>
    </row>
    <row r="64" spans="1:7" ht="12.75" x14ac:dyDescent="0.2">
      <c r="A64" s="662">
        <v>60</v>
      </c>
      <c r="B64" s="687">
        <v>0</v>
      </c>
      <c r="C64" s="687">
        <v>0</v>
      </c>
      <c r="D64" s="687">
        <v>0</v>
      </c>
      <c r="E64" s="687">
        <v>0</v>
      </c>
      <c r="F64" s="687">
        <v>8.1193223610456365E-4</v>
      </c>
      <c r="G64" s="660"/>
    </row>
    <row r="65" spans="1:7" ht="12.75" x14ac:dyDescent="0.2">
      <c r="A65" s="662">
        <v>61</v>
      </c>
      <c r="B65" s="687">
        <v>4.313596014651388E-8</v>
      </c>
      <c r="C65" s="687">
        <v>0</v>
      </c>
      <c r="D65" s="687">
        <v>0</v>
      </c>
      <c r="E65" s="687">
        <v>0</v>
      </c>
      <c r="F65" s="687">
        <v>9.6223042257811064E-4</v>
      </c>
      <c r="G65" s="660"/>
    </row>
    <row r="66" spans="1:7" ht="12.75" x14ac:dyDescent="0.2">
      <c r="A66" s="662">
        <v>62</v>
      </c>
      <c r="B66" s="687">
        <v>0</v>
      </c>
      <c r="C66" s="687">
        <v>0</v>
      </c>
      <c r="D66" s="687">
        <v>0</v>
      </c>
      <c r="E66" s="687">
        <v>0</v>
      </c>
      <c r="F66" s="687">
        <v>2.097437662979895E-4</v>
      </c>
      <c r="G66" s="660"/>
    </row>
    <row r="67" spans="1:7" ht="12.75" x14ac:dyDescent="0.2">
      <c r="A67" s="662">
        <v>63</v>
      </c>
      <c r="B67" s="687">
        <v>0</v>
      </c>
      <c r="C67" s="687">
        <v>0</v>
      </c>
      <c r="D67" s="687">
        <v>0</v>
      </c>
      <c r="E67" s="687">
        <v>0</v>
      </c>
      <c r="F67" s="687">
        <v>4.9100472558466686E-4</v>
      </c>
      <c r="G67" s="660"/>
    </row>
    <row r="68" spans="1:7" ht="12.75" x14ac:dyDescent="0.2">
      <c r="A68" s="662">
        <v>64</v>
      </c>
      <c r="B68" s="687">
        <v>0</v>
      </c>
      <c r="C68" s="687">
        <v>0</v>
      </c>
      <c r="D68" s="687">
        <v>0</v>
      </c>
      <c r="E68" s="687">
        <v>0</v>
      </c>
      <c r="F68" s="687">
        <v>3.8300510327907991E-4</v>
      </c>
      <c r="G68" s="660"/>
    </row>
    <row r="69" spans="1:7" ht="12.75" x14ac:dyDescent="0.2">
      <c r="A69" s="662">
        <v>65</v>
      </c>
      <c r="B69" s="687">
        <v>0</v>
      </c>
      <c r="C69" s="687">
        <v>0</v>
      </c>
      <c r="D69" s="687">
        <v>0</v>
      </c>
      <c r="E69" s="687">
        <v>0</v>
      </c>
      <c r="F69" s="687">
        <v>1.1038850430181912E-3</v>
      </c>
      <c r="G69" s="660"/>
    </row>
    <row r="70" spans="1:7" ht="12.75" x14ac:dyDescent="0.2">
      <c r="A70" s="662">
        <v>66</v>
      </c>
      <c r="B70" s="687">
        <v>4.1809043881518184E-8</v>
      </c>
      <c r="C70" s="687">
        <v>0</v>
      </c>
      <c r="D70" s="687">
        <v>0</v>
      </c>
      <c r="E70" s="687">
        <v>0</v>
      </c>
      <c r="F70" s="687">
        <v>3.9802320853286985E-4</v>
      </c>
      <c r="G70" s="660"/>
    </row>
    <row r="71" spans="1:7" ht="12.75" x14ac:dyDescent="0.2">
      <c r="A71" s="662">
        <v>67</v>
      </c>
      <c r="B71" s="687">
        <v>0</v>
      </c>
      <c r="C71" s="687">
        <v>0</v>
      </c>
      <c r="D71" s="687">
        <v>0</v>
      </c>
      <c r="E71" s="687">
        <v>0</v>
      </c>
      <c r="F71" s="687">
        <v>6.5702506938745975E-4</v>
      </c>
      <c r="G71" s="660"/>
    </row>
    <row r="72" spans="1:7" ht="12.75" x14ac:dyDescent="0.2">
      <c r="A72" s="662">
        <v>68</v>
      </c>
      <c r="B72" s="687">
        <v>1.2542713164455457E-7</v>
      </c>
      <c r="C72" s="687">
        <v>0</v>
      </c>
      <c r="D72" s="687">
        <v>0</v>
      </c>
      <c r="E72" s="687">
        <v>0</v>
      </c>
      <c r="F72" s="687">
        <v>2.3335454139512403E-4</v>
      </c>
      <c r="G72" s="660"/>
    </row>
    <row r="73" spans="1:7" ht="12.75" x14ac:dyDescent="0.2">
      <c r="A73" s="662">
        <v>69</v>
      </c>
      <c r="B73" s="687">
        <v>0</v>
      </c>
      <c r="C73" s="687">
        <v>0</v>
      </c>
      <c r="D73" s="687">
        <v>0</v>
      </c>
      <c r="E73" s="687">
        <v>0</v>
      </c>
      <c r="F73" s="687">
        <v>2.2511687756033658E-4</v>
      </c>
      <c r="G73" s="660"/>
    </row>
    <row r="74" spans="1:7" ht="12.75" x14ac:dyDescent="0.2">
      <c r="A74" s="662">
        <v>70</v>
      </c>
      <c r="B74" s="687">
        <v>4.313596014651388E-8</v>
      </c>
      <c r="C74" s="687">
        <v>0</v>
      </c>
      <c r="D74" s="687">
        <v>0</v>
      </c>
      <c r="E74" s="687">
        <v>0</v>
      </c>
      <c r="F74" s="687">
        <v>9.2541219399389454E-4</v>
      </c>
      <c r="G74" s="660"/>
    </row>
    <row r="75" spans="1:7" ht="12.75" x14ac:dyDescent="0.2">
      <c r="A75" s="662">
        <v>71</v>
      </c>
      <c r="B75" s="687">
        <v>0</v>
      </c>
      <c r="C75" s="687">
        <v>0</v>
      </c>
      <c r="D75" s="687">
        <v>0</v>
      </c>
      <c r="E75" s="687">
        <v>0</v>
      </c>
      <c r="F75" s="687">
        <v>2.5150956240401964E-4</v>
      </c>
      <c r="G75" s="660"/>
    </row>
    <row r="76" spans="1:7" ht="12.75" x14ac:dyDescent="0.2">
      <c r="A76" s="662">
        <v>72</v>
      </c>
      <c r="B76" s="687">
        <v>0</v>
      </c>
      <c r="C76" s="687">
        <v>0</v>
      </c>
      <c r="D76" s="687">
        <v>0</v>
      </c>
      <c r="E76" s="687">
        <v>0</v>
      </c>
      <c r="F76" s="687">
        <v>2.614149326056062E-4</v>
      </c>
      <c r="G76" s="660"/>
    </row>
    <row r="77" spans="1:7" ht="12.75" x14ac:dyDescent="0.2">
      <c r="A77" s="662">
        <v>73</v>
      </c>
      <c r="B77" s="687">
        <v>0</v>
      </c>
      <c r="C77" s="687">
        <v>0</v>
      </c>
      <c r="D77" s="687">
        <v>0</v>
      </c>
      <c r="E77" s="687">
        <v>0</v>
      </c>
      <c r="F77" s="687">
        <v>1.4768063617657135E-3</v>
      </c>
      <c r="G77" s="660"/>
    </row>
    <row r="78" spans="1:7" ht="12.75" x14ac:dyDescent="0.2">
      <c r="A78" s="662">
        <v>74</v>
      </c>
      <c r="B78" s="687">
        <v>0</v>
      </c>
      <c r="C78" s="687">
        <v>0</v>
      </c>
      <c r="D78" s="687">
        <v>0</v>
      </c>
      <c r="E78" s="687">
        <v>0</v>
      </c>
      <c r="F78" s="687">
        <v>3.348159851338776E-4</v>
      </c>
      <c r="G78" s="660"/>
    </row>
    <row r="79" spans="1:7" ht="12.75" x14ac:dyDescent="0.2">
      <c r="A79" s="662">
        <v>75</v>
      </c>
      <c r="B79" s="687">
        <v>0</v>
      </c>
      <c r="C79" s="687">
        <v>0</v>
      </c>
      <c r="D79" s="687">
        <v>0</v>
      </c>
      <c r="E79" s="687">
        <v>0</v>
      </c>
      <c r="F79" s="687">
        <v>1.6828399211405318E-4</v>
      </c>
      <c r="G79" s="660"/>
    </row>
    <row r="80" spans="1:7" ht="12.75" x14ac:dyDescent="0.2">
      <c r="A80" s="662">
        <v>76</v>
      </c>
      <c r="B80" s="687">
        <v>0</v>
      </c>
      <c r="C80" s="687">
        <v>0</v>
      </c>
      <c r="D80" s="687">
        <v>0</v>
      </c>
      <c r="E80" s="687">
        <v>0</v>
      </c>
      <c r="F80" s="687">
        <v>2.7721204952229012E-4</v>
      </c>
      <c r="G80" s="660"/>
    </row>
    <row r="81" spans="1:7" ht="12.75" x14ac:dyDescent="0.2">
      <c r="A81" s="662">
        <v>77</v>
      </c>
      <c r="B81" s="687">
        <v>0</v>
      </c>
      <c r="C81" s="687">
        <v>0</v>
      </c>
      <c r="D81" s="687">
        <v>0</v>
      </c>
      <c r="E81" s="687">
        <v>0</v>
      </c>
      <c r="F81" s="687">
        <v>2.3309244188818494E-4</v>
      </c>
      <c r="G81" s="660"/>
    </row>
    <row r="82" spans="1:7" ht="12.75" x14ac:dyDescent="0.2">
      <c r="A82" s="662">
        <v>78</v>
      </c>
      <c r="B82" s="687">
        <v>0</v>
      </c>
      <c r="C82" s="687">
        <v>0</v>
      </c>
      <c r="D82" s="687">
        <v>0</v>
      </c>
      <c r="E82" s="687">
        <v>0</v>
      </c>
      <c r="F82" s="687">
        <v>2.5977313465057696E-4</v>
      </c>
      <c r="G82" s="660"/>
    </row>
    <row r="83" spans="1:7" ht="12.75" x14ac:dyDescent="0.2">
      <c r="A83" s="662">
        <v>79</v>
      </c>
      <c r="B83" s="687">
        <v>0</v>
      </c>
      <c r="C83" s="687">
        <v>0</v>
      </c>
      <c r="D83" s="687">
        <v>0</v>
      </c>
      <c r="E83" s="687">
        <v>0</v>
      </c>
      <c r="F83" s="687">
        <v>3.6633258318420912E-4</v>
      </c>
      <c r="G83" s="660"/>
    </row>
    <row r="84" spans="1:7" ht="12.75" x14ac:dyDescent="0.2">
      <c r="A84" s="662">
        <v>80</v>
      </c>
      <c r="B84" s="687">
        <v>0</v>
      </c>
      <c r="C84" s="687">
        <v>0</v>
      </c>
      <c r="D84" s="687">
        <v>0</v>
      </c>
      <c r="E84" s="687">
        <v>0</v>
      </c>
      <c r="F84" s="687">
        <v>3.9243532564245647E-4</v>
      </c>
      <c r="G84" s="660"/>
    </row>
    <row r="85" spans="1:7" ht="12.75" x14ac:dyDescent="0.2">
      <c r="A85" s="662">
        <v>81</v>
      </c>
      <c r="B85" s="687">
        <v>0</v>
      </c>
      <c r="C85" s="687">
        <v>0</v>
      </c>
      <c r="D85" s="687">
        <v>0</v>
      </c>
      <c r="E85" s="687">
        <v>0</v>
      </c>
      <c r="F85" s="687">
        <v>4.1624511581627203E-4</v>
      </c>
      <c r="G85" s="660"/>
    </row>
    <row r="86" spans="1:7" ht="12.75" x14ac:dyDescent="0.2">
      <c r="A86" s="662">
        <v>82</v>
      </c>
      <c r="B86" s="687">
        <v>0</v>
      </c>
      <c r="C86" s="687">
        <v>0</v>
      </c>
      <c r="D86" s="687">
        <v>0</v>
      </c>
      <c r="E86" s="687">
        <v>0</v>
      </c>
      <c r="F86" s="687">
        <v>5.5882931937072133E-4</v>
      </c>
      <c r="G86" s="660"/>
    </row>
    <row r="87" spans="1:7" ht="12.75" x14ac:dyDescent="0.2">
      <c r="A87" s="662">
        <v>83</v>
      </c>
      <c r="B87" s="687">
        <v>0</v>
      </c>
      <c r="C87" s="687">
        <v>0</v>
      </c>
      <c r="D87" s="687">
        <v>0</v>
      </c>
      <c r="E87" s="687">
        <v>0</v>
      </c>
      <c r="F87" s="687">
        <v>1.4688650959931404E-4</v>
      </c>
      <c r="G87" s="660"/>
    </row>
    <row r="88" spans="1:7" ht="12.75" x14ac:dyDescent="0.2">
      <c r="A88" s="662">
        <v>84</v>
      </c>
      <c r="B88" s="687">
        <v>0</v>
      </c>
      <c r="C88" s="687">
        <v>0</v>
      </c>
      <c r="D88" s="687">
        <v>0</v>
      </c>
      <c r="E88" s="687">
        <v>0</v>
      </c>
      <c r="F88" s="687">
        <v>5.372706277113194E-4</v>
      </c>
      <c r="G88" s="660"/>
    </row>
    <row r="89" spans="1:7" ht="12.75" x14ac:dyDescent="0.2">
      <c r="A89" s="662">
        <v>85</v>
      </c>
      <c r="B89" s="687">
        <v>0</v>
      </c>
      <c r="C89" s="687">
        <v>0</v>
      </c>
      <c r="D89" s="687">
        <v>0</v>
      </c>
      <c r="E89" s="687">
        <v>0</v>
      </c>
      <c r="F89" s="687">
        <v>9.9667702689848183E-5</v>
      </c>
      <c r="G89" s="660"/>
    </row>
    <row r="90" spans="1:7" ht="12.75" x14ac:dyDescent="0.2">
      <c r="A90" s="662">
        <v>86</v>
      </c>
      <c r="B90" s="687">
        <v>0</v>
      </c>
      <c r="C90" s="687">
        <v>0</v>
      </c>
      <c r="D90" s="687">
        <v>0</v>
      </c>
      <c r="E90" s="687">
        <v>0</v>
      </c>
      <c r="F90" s="687">
        <v>5.3910948391323464E-4</v>
      </c>
      <c r="G90" s="660"/>
    </row>
    <row r="91" spans="1:7" ht="12.75" x14ac:dyDescent="0.2">
      <c r="A91" s="662">
        <v>87</v>
      </c>
      <c r="B91" s="687">
        <v>0</v>
      </c>
      <c r="C91" s="687">
        <v>0</v>
      </c>
      <c r="D91" s="687">
        <v>0</v>
      </c>
      <c r="E91" s="687">
        <v>0</v>
      </c>
      <c r="F91" s="687">
        <v>2.9460987471592506E-4</v>
      </c>
      <c r="G91" s="660"/>
    </row>
    <row r="92" spans="1:7" ht="12.75" x14ac:dyDescent="0.2">
      <c r="A92" s="662">
        <v>88</v>
      </c>
      <c r="B92" s="687">
        <v>0</v>
      </c>
      <c r="C92" s="687">
        <v>0</v>
      </c>
      <c r="D92" s="687">
        <v>0</v>
      </c>
      <c r="E92" s="687">
        <v>0</v>
      </c>
      <c r="F92" s="687">
        <v>1.2248008047830228E-4</v>
      </c>
      <c r="G92" s="660"/>
    </row>
    <row r="93" spans="1:7" ht="12.75" x14ac:dyDescent="0.2">
      <c r="A93" s="662">
        <v>89</v>
      </c>
      <c r="B93" s="687">
        <v>0</v>
      </c>
      <c r="C93" s="687">
        <v>0</v>
      </c>
      <c r="D93" s="687">
        <v>0</v>
      </c>
      <c r="E93" s="687">
        <v>0</v>
      </c>
      <c r="F93" s="687">
        <v>1.5949287001835267E-4</v>
      </c>
      <c r="G93" s="660"/>
    </row>
    <row r="94" spans="1:7" ht="12.75" x14ac:dyDescent="0.2">
      <c r="A94" s="662">
        <v>90</v>
      </c>
      <c r="B94" s="687">
        <v>0</v>
      </c>
      <c r="C94" s="687">
        <v>0</v>
      </c>
      <c r="D94" s="687">
        <v>0</v>
      </c>
      <c r="E94" s="687">
        <v>0</v>
      </c>
      <c r="F94" s="687">
        <v>1.8201723988809778E-4</v>
      </c>
      <c r="G94" s="660"/>
    </row>
    <row r="95" spans="1:7" ht="12.75" x14ac:dyDescent="0.2">
      <c r="A95" s="662">
        <v>91</v>
      </c>
      <c r="B95" s="687">
        <v>0</v>
      </c>
      <c r="C95" s="687">
        <v>0</v>
      </c>
      <c r="D95" s="687">
        <v>0</v>
      </c>
      <c r="E95" s="687">
        <v>0</v>
      </c>
      <c r="F95" s="687">
        <v>4.2366931289141221E-4</v>
      </c>
      <c r="G95" s="660"/>
    </row>
    <row r="96" spans="1:7" ht="12.75" x14ac:dyDescent="0.2">
      <c r="A96" s="662">
        <v>92</v>
      </c>
      <c r="B96" s="687">
        <v>0</v>
      </c>
      <c r="C96" s="687">
        <v>0</v>
      </c>
      <c r="D96" s="687">
        <v>0</v>
      </c>
      <c r="E96" s="687">
        <v>0</v>
      </c>
      <c r="F96" s="687">
        <v>1.0644872929624409E-4</v>
      </c>
      <c r="G96" s="660"/>
    </row>
    <row r="97" spans="1:7" ht="12.75" x14ac:dyDescent="0.2">
      <c r="A97" s="662">
        <v>93</v>
      </c>
      <c r="B97" s="687">
        <v>0</v>
      </c>
      <c r="C97" s="687">
        <v>0</v>
      </c>
      <c r="D97" s="687">
        <v>0</v>
      </c>
      <c r="E97" s="687">
        <v>0</v>
      </c>
      <c r="F97" s="687">
        <v>3.8530268858890499E-4</v>
      </c>
      <c r="G97" s="660"/>
    </row>
    <row r="98" spans="1:7" ht="12.75" x14ac:dyDescent="0.2">
      <c r="A98" s="662">
        <v>94</v>
      </c>
      <c r="B98" s="687">
        <v>0</v>
      </c>
      <c r="C98" s="687">
        <v>0</v>
      </c>
      <c r="D98" s="687">
        <v>0</v>
      </c>
      <c r="E98" s="687">
        <v>0</v>
      </c>
      <c r="F98" s="687">
        <v>9.8353697778409514E-5</v>
      </c>
      <c r="G98" s="660"/>
    </row>
    <row r="99" spans="1:7" ht="12.75" x14ac:dyDescent="0.2">
      <c r="A99" s="662">
        <v>95</v>
      </c>
      <c r="B99" s="687">
        <v>0</v>
      </c>
      <c r="C99" s="687">
        <v>0</v>
      </c>
      <c r="D99" s="687">
        <v>0</v>
      </c>
      <c r="E99" s="687">
        <v>0</v>
      </c>
      <c r="F99" s="687">
        <v>1.3616684145693539E-4</v>
      </c>
      <c r="G99" s="660"/>
    </row>
    <row r="100" spans="1:7" ht="12.75" x14ac:dyDescent="0.2">
      <c r="A100" s="662">
        <v>96</v>
      </c>
      <c r="B100" s="687">
        <v>0</v>
      </c>
      <c r="C100" s="687">
        <v>0</v>
      </c>
      <c r="D100" s="687">
        <v>0</v>
      </c>
      <c r="E100" s="687">
        <v>0</v>
      </c>
      <c r="F100" s="687">
        <v>1.223393602650078E-4</v>
      </c>
      <c r="G100" s="660"/>
    </row>
    <row r="101" spans="1:7" ht="12.75" x14ac:dyDescent="0.2">
      <c r="A101" s="662">
        <v>97</v>
      </c>
      <c r="B101" s="687">
        <v>0</v>
      </c>
      <c r="C101" s="687">
        <v>0</v>
      </c>
      <c r="D101" s="687">
        <v>0</v>
      </c>
      <c r="E101" s="687">
        <v>0</v>
      </c>
      <c r="F101" s="687">
        <v>9.3953177566866755E-5</v>
      </c>
      <c r="G101" s="660"/>
    </row>
    <row r="102" spans="1:7" ht="12.75" x14ac:dyDescent="0.2">
      <c r="A102" s="662">
        <v>98</v>
      </c>
      <c r="B102" s="687">
        <v>0</v>
      </c>
      <c r="C102" s="687">
        <v>0</v>
      </c>
      <c r="D102" s="687">
        <v>0</v>
      </c>
      <c r="E102" s="687">
        <v>0</v>
      </c>
      <c r="F102" s="687">
        <v>2.304073299397762E-4</v>
      </c>
      <c r="G102" s="660"/>
    </row>
    <row r="103" spans="1:7" ht="12.75" x14ac:dyDescent="0.2">
      <c r="A103" s="662">
        <v>99</v>
      </c>
      <c r="B103" s="687">
        <v>0</v>
      </c>
      <c r="C103" s="687">
        <v>0</v>
      </c>
      <c r="D103" s="687">
        <v>0</v>
      </c>
      <c r="E103" s="687">
        <v>0</v>
      </c>
      <c r="F103" s="687">
        <v>8.2693275600088408E-5</v>
      </c>
      <c r="G103" s="660"/>
    </row>
    <row r="104" spans="1:7" ht="12.75" x14ac:dyDescent="0.2">
      <c r="A104" s="662">
        <v>100</v>
      </c>
      <c r="B104" s="687">
        <v>0</v>
      </c>
      <c r="C104" s="687">
        <v>0</v>
      </c>
      <c r="D104" s="687">
        <v>0</v>
      </c>
      <c r="E104" s="687">
        <v>0</v>
      </c>
      <c r="F104" s="687">
        <v>9.5910196405571516E-5</v>
      </c>
      <c r="G104" s="660"/>
    </row>
    <row r="105" spans="1:7" ht="12.75" x14ac:dyDescent="0.2">
      <c r="A105" s="662">
        <v>101</v>
      </c>
      <c r="B105" s="687">
        <v>0</v>
      </c>
      <c r="C105" s="687">
        <v>0</v>
      </c>
      <c r="D105" s="687">
        <v>0</v>
      </c>
      <c r="E105" s="687">
        <v>0</v>
      </c>
      <c r="F105" s="687">
        <v>1.0097502829382524E-4</v>
      </c>
      <c r="G105" s="660"/>
    </row>
    <row r="106" spans="1:7" ht="12.75" x14ac:dyDescent="0.2">
      <c r="A106" s="662">
        <v>102</v>
      </c>
      <c r="B106" s="687">
        <v>0</v>
      </c>
      <c r="C106" s="687">
        <v>0</v>
      </c>
      <c r="D106" s="687">
        <v>0</v>
      </c>
      <c r="E106" s="687">
        <v>0</v>
      </c>
      <c r="F106" s="687">
        <v>1.1081603187502534E-4</v>
      </c>
      <c r="G106" s="660"/>
    </row>
    <row r="107" spans="1:7" ht="12.75" x14ac:dyDescent="0.2">
      <c r="A107" s="662">
        <v>103</v>
      </c>
      <c r="B107" s="687">
        <v>0</v>
      </c>
      <c r="C107" s="687">
        <v>0</v>
      </c>
      <c r="D107" s="687">
        <v>0</v>
      </c>
      <c r="E107" s="687">
        <v>0</v>
      </c>
      <c r="F107" s="687">
        <v>1.14750759751418E-4</v>
      </c>
      <c r="G107" s="660"/>
    </row>
    <row r="108" spans="1:7" ht="12.75" x14ac:dyDescent="0.2">
      <c r="A108" s="662">
        <v>104</v>
      </c>
      <c r="B108" s="687">
        <v>0</v>
      </c>
      <c r="C108" s="687">
        <v>0</v>
      </c>
      <c r="D108" s="687">
        <v>0</v>
      </c>
      <c r="E108" s="687">
        <v>0</v>
      </c>
      <c r="F108" s="687">
        <v>7.8274156197767397E-5</v>
      </c>
      <c r="G108" s="660"/>
    </row>
    <row r="109" spans="1:7" ht="12.75" x14ac:dyDescent="0.2">
      <c r="A109" s="662">
        <v>105</v>
      </c>
      <c r="B109" s="687">
        <v>0</v>
      </c>
      <c r="C109" s="687">
        <v>0</v>
      </c>
      <c r="D109" s="687">
        <v>0</v>
      </c>
      <c r="E109" s="687">
        <v>0</v>
      </c>
      <c r="F109" s="687">
        <v>1.3335169171455708E-4</v>
      </c>
      <c r="G109" s="660"/>
    </row>
    <row r="110" spans="1:7" ht="12.75" x14ac:dyDescent="0.2">
      <c r="A110" s="662">
        <v>106</v>
      </c>
      <c r="B110" s="687">
        <v>0</v>
      </c>
      <c r="C110" s="687">
        <v>0</v>
      </c>
      <c r="D110" s="687">
        <v>0</v>
      </c>
      <c r="E110" s="687">
        <v>0</v>
      </c>
      <c r="F110" s="687">
        <v>7.9195304442494113E-5</v>
      </c>
      <c r="G110" s="660"/>
    </row>
    <row r="111" spans="1:7" ht="12.75" x14ac:dyDescent="0.2">
      <c r="A111" s="662">
        <v>107</v>
      </c>
      <c r="B111" s="687">
        <v>0</v>
      </c>
      <c r="C111" s="687">
        <v>0</v>
      </c>
      <c r="D111" s="687">
        <v>0</v>
      </c>
      <c r="E111" s="687">
        <v>0</v>
      </c>
      <c r="F111" s="687">
        <v>1.6268027568073305E-4</v>
      </c>
      <c r="G111" s="660"/>
    </row>
    <row r="112" spans="1:7" ht="12.75" x14ac:dyDescent="0.2">
      <c r="A112" s="662">
        <v>108</v>
      </c>
      <c r="B112" s="687">
        <v>0</v>
      </c>
      <c r="C112" s="687">
        <v>0</v>
      </c>
      <c r="D112" s="687">
        <v>0</v>
      </c>
      <c r="E112" s="687">
        <v>0</v>
      </c>
      <c r="F112" s="687">
        <v>1.1727520301642074E-4</v>
      </c>
      <c r="G112" s="660"/>
    </row>
    <row r="113" spans="1:7" ht="12.75" x14ac:dyDescent="0.2">
      <c r="A113" s="662">
        <v>109</v>
      </c>
      <c r="B113" s="687">
        <v>0</v>
      </c>
      <c r="C113" s="687">
        <v>0</v>
      </c>
      <c r="D113" s="687">
        <v>0</v>
      </c>
      <c r="E113" s="687">
        <v>0</v>
      </c>
      <c r="F113" s="687">
        <v>3.7456197243845033E-4</v>
      </c>
      <c r="G113" s="660"/>
    </row>
    <row r="114" spans="1:7" ht="12.75" x14ac:dyDescent="0.2">
      <c r="A114" s="662">
        <v>110</v>
      </c>
      <c r="B114" s="687">
        <v>0</v>
      </c>
      <c r="C114" s="687">
        <v>0</v>
      </c>
      <c r="D114" s="687">
        <v>0</v>
      </c>
      <c r="E114" s="687">
        <v>0</v>
      </c>
      <c r="F114" s="687">
        <v>9.2388948305669027E-5</v>
      </c>
      <c r="G114" s="660"/>
    </row>
    <row r="115" spans="1:7" ht="12.75" x14ac:dyDescent="0.2">
      <c r="A115" s="662">
        <v>111</v>
      </c>
      <c r="B115" s="687">
        <v>0</v>
      </c>
      <c r="C115" s="687">
        <v>0</v>
      </c>
      <c r="D115" s="687">
        <v>0</v>
      </c>
      <c r="E115" s="687">
        <v>0</v>
      </c>
      <c r="F115" s="687">
        <v>3.7597441514725008E-5</v>
      </c>
      <c r="G115" s="660"/>
    </row>
    <row r="116" spans="1:7" ht="12.75" x14ac:dyDescent="0.2">
      <c r="A116" s="662">
        <v>112</v>
      </c>
      <c r="B116" s="687">
        <v>0</v>
      </c>
      <c r="C116" s="687">
        <v>0</v>
      </c>
      <c r="D116" s="687">
        <v>0</v>
      </c>
      <c r="E116" s="687">
        <v>0</v>
      </c>
      <c r="F116" s="687">
        <v>6.6094499991732269E-5</v>
      </c>
      <c r="G116" s="660"/>
    </row>
    <row r="117" spans="1:7" ht="12.75" x14ac:dyDescent="0.2">
      <c r="A117" s="662">
        <v>113</v>
      </c>
      <c r="B117" s="687">
        <v>0</v>
      </c>
      <c r="C117" s="687">
        <v>0</v>
      </c>
      <c r="D117" s="687">
        <v>0</v>
      </c>
      <c r="E117" s="687">
        <v>0</v>
      </c>
      <c r="F117" s="687">
        <v>2.7695107566400127E-4</v>
      </c>
      <c r="G117" s="660"/>
    </row>
    <row r="118" spans="1:7" ht="12.75" x14ac:dyDescent="0.2">
      <c r="A118" s="662">
        <v>114</v>
      </c>
      <c r="B118" s="687">
        <v>0</v>
      </c>
      <c r="C118" s="687">
        <v>0</v>
      </c>
      <c r="D118" s="687">
        <v>0</v>
      </c>
      <c r="E118" s="687">
        <v>0</v>
      </c>
      <c r="F118" s="687">
        <v>4.1660205629155594E-5</v>
      </c>
      <c r="G118" s="660"/>
    </row>
    <row r="119" spans="1:7" ht="12.75" x14ac:dyDescent="0.2">
      <c r="A119" s="662">
        <v>115</v>
      </c>
      <c r="B119" s="687">
        <v>0</v>
      </c>
      <c r="C119" s="687">
        <v>0</v>
      </c>
      <c r="D119" s="687">
        <v>0</v>
      </c>
      <c r="E119" s="687">
        <v>0</v>
      </c>
      <c r="F119" s="687">
        <v>4.8000561857163091E-5</v>
      </c>
      <c r="G119" s="660"/>
    </row>
    <row r="120" spans="1:7" ht="12.75" x14ac:dyDescent="0.2">
      <c r="A120" s="662">
        <v>116</v>
      </c>
      <c r="B120" s="687">
        <v>0</v>
      </c>
      <c r="C120" s="687">
        <v>0</v>
      </c>
      <c r="D120" s="687">
        <v>0</v>
      </c>
      <c r="E120" s="687">
        <v>0</v>
      </c>
      <c r="F120" s="687">
        <v>2.0745558121736091E-4</v>
      </c>
      <c r="G120" s="660"/>
    </row>
    <row r="121" spans="1:7" ht="12.75" x14ac:dyDescent="0.2">
      <c r="A121" s="662">
        <v>117</v>
      </c>
      <c r="B121" s="687">
        <v>0</v>
      </c>
      <c r="C121" s="687">
        <v>0</v>
      </c>
      <c r="D121" s="687">
        <v>0</v>
      </c>
      <c r="E121" s="687">
        <v>0</v>
      </c>
      <c r="F121" s="687">
        <v>4.2783742148896598E-5</v>
      </c>
      <c r="G121" s="660"/>
    </row>
    <row r="122" spans="1:7" ht="12.75" x14ac:dyDescent="0.2">
      <c r="A122" s="662">
        <v>118</v>
      </c>
      <c r="B122" s="687">
        <v>0</v>
      </c>
      <c r="C122" s="687">
        <v>0</v>
      </c>
      <c r="D122" s="687">
        <v>0</v>
      </c>
      <c r="E122" s="687">
        <v>0</v>
      </c>
      <c r="F122" s="687">
        <v>2.7350964380761328E-5</v>
      </c>
      <c r="G122" s="660"/>
    </row>
    <row r="123" spans="1:7" ht="12.75" x14ac:dyDescent="0.2">
      <c r="A123" s="662">
        <v>119</v>
      </c>
      <c r="B123" s="687">
        <v>0</v>
      </c>
      <c r="C123" s="687">
        <v>0</v>
      </c>
      <c r="D123" s="687">
        <v>0</v>
      </c>
      <c r="E123" s="687">
        <v>0</v>
      </c>
      <c r="F123" s="687">
        <v>7.7842796596302259E-5</v>
      </c>
      <c r="G123" s="660"/>
    </row>
    <row r="124" spans="1:7" ht="12.75" x14ac:dyDescent="0.2">
      <c r="A124" s="662">
        <v>120</v>
      </c>
      <c r="B124" s="687">
        <v>0</v>
      </c>
      <c r="C124" s="687">
        <v>0</v>
      </c>
      <c r="D124" s="687">
        <v>0</v>
      </c>
      <c r="E124" s="687">
        <v>0</v>
      </c>
      <c r="F124" s="687">
        <v>4.3939776935595842E-5</v>
      </c>
      <c r="G124" s="660"/>
    </row>
    <row r="125" spans="1:7" ht="12.75" x14ac:dyDescent="0.2">
      <c r="A125" s="662">
        <v>121</v>
      </c>
      <c r="B125" s="687">
        <v>0</v>
      </c>
      <c r="C125" s="687">
        <v>0</v>
      </c>
      <c r="D125" s="687">
        <v>0</v>
      </c>
      <c r="E125" s="687">
        <v>0</v>
      </c>
      <c r="F125" s="687">
        <v>3.2186195029034175E-5</v>
      </c>
      <c r="G125" s="660"/>
    </row>
    <row r="126" spans="1:7" ht="12.75" x14ac:dyDescent="0.2">
      <c r="A126" s="662">
        <v>122</v>
      </c>
      <c r="B126" s="687">
        <v>0</v>
      </c>
      <c r="C126" s="687">
        <v>0</v>
      </c>
      <c r="D126" s="687">
        <v>0</v>
      </c>
      <c r="E126" s="687">
        <v>0</v>
      </c>
      <c r="F126" s="687">
        <v>8.9375413400139686E-5</v>
      </c>
      <c r="G126" s="660"/>
    </row>
    <row r="127" spans="1:7" ht="12.75" x14ac:dyDescent="0.2">
      <c r="A127" s="662">
        <v>123</v>
      </c>
      <c r="B127" s="687">
        <v>0</v>
      </c>
      <c r="C127" s="687">
        <v>0</v>
      </c>
      <c r="D127" s="687">
        <v>0</v>
      </c>
      <c r="E127" s="687">
        <v>0</v>
      </c>
      <c r="F127" s="687">
        <v>5.599267909372143E-5</v>
      </c>
      <c r="G127" s="660"/>
    </row>
    <row r="128" spans="1:7" ht="12.75" x14ac:dyDescent="0.2">
      <c r="A128" s="662">
        <v>124</v>
      </c>
      <c r="B128" s="687">
        <v>0</v>
      </c>
      <c r="C128" s="687">
        <v>0</v>
      </c>
      <c r="D128" s="687">
        <v>0</v>
      </c>
      <c r="E128" s="687">
        <v>0</v>
      </c>
      <c r="F128" s="687">
        <v>3.1862338008101998E-5</v>
      </c>
      <c r="G128" s="660"/>
    </row>
    <row r="129" spans="1:7" ht="12.75" x14ac:dyDescent="0.2">
      <c r="A129" s="662">
        <v>125</v>
      </c>
      <c r="B129" s="687">
        <v>0</v>
      </c>
      <c r="C129" s="687">
        <v>0</v>
      </c>
      <c r="D129" s="687">
        <v>0</v>
      </c>
      <c r="E129" s="687">
        <v>0</v>
      </c>
      <c r="F129" s="687">
        <v>2.9049864461321969E-5</v>
      </c>
      <c r="G129" s="660"/>
    </row>
    <row r="130" spans="1:7" ht="12.75" x14ac:dyDescent="0.2">
      <c r="A130" s="662">
        <v>126</v>
      </c>
      <c r="B130" s="687">
        <v>0</v>
      </c>
      <c r="C130" s="687">
        <v>0</v>
      </c>
      <c r="D130" s="687">
        <v>0</v>
      </c>
      <c r="E130" s="687">
        <v>0</v>
      </c>
      <c r="F130" s="687">
        <v>3.2263830812070581E-5</v>
      </c>
      <c r="G130" s="660"/>
    </row>
    <row r="131" spans="1:7" ht="12.75" x14ac:dyDescent="0.2">
      <c r="A131" s="662">
        <v>127</v>
      </c>
      <c r="B131" s="687">
        <v>0</v>
      </c>
      <c r="C131" s="687">
        <v>0</v>
      </c>
      <c r="D131" s="687">
        <v>0</v>
      </c>
      <c r="E131" s="687">
        <v>0</v>
      </c>
      <c r="F131" s="687">
        <v>6.1654172292239642E-5</v>
      </c>
      <c r="G131" s="660"/>
    </row>
    <row r="132" spans="1:7" ht="12.75" x14ac:dyDescent="0.2">
      <c r="A132" s="662">
        <v>128</v>
      </c>
      <c r="B132" s="687">
        <v>0</v>
      </c>
      <c r="C132" s="687">
        <v>0</v>
      </c>
      <c r="D132" s="687">
        <v>0</v>
      </c>
      <c r="E132" s="687">
        <v>0</v>
      </c>
      <c r="F132" s="687">
        <v>2.4043416888728061E-5</v>
      </c>
      <c r="G132" s="660"/>
    </row>
    <row r="133" spans="1:7" ht="12.75" x14ac:dyDescent="0.2">
      <c r="A133" s="662">
        <v>129</v>
      </c>
      <c r="B133" s="687">
        <v>0</v>
      </c>
      <c r="C133" s="687">
        <v>0</v>
      </c>
      <c r="D133" s="687">
        <v>0</v>
      </c>
      <c r="E133" s="687">
        <v>0</v>
      </c>
      <c r="F133" s="687">
        <v>3.1227240852289248E-5</v>
      </c>
      <c r="G133" s="660"/>
    </row>
    <row r="134" spans="1:7" ht="12.75" x14ac:dyDescent="0.2">
      <c r="A134" s="662">
        <v>130</v>
      </c>
      <c r="B134" s="687">
        <v>0</v>
      </c>
      <c r="C134" s="687">
        <v>0</v>
      </c>
      <c r="D134" s="687">
        <v>0</v>
      </c>
      <c r="E134" s="687">
        <v>0</v>
      </c>
      <c r="F134" s="687">
        <v>2.3744119000232457E-5</v>
      </c>
      <c r="G134" s="660"/>
    </row>
    <row r="135" spans="1:7" ht="12.75" x14ac:dyDescent="0.2">
      <c r="A135" s="662">
        <v>131</v>
      </c>
      <c r="B135" s="687">
        <v>0</v>
      </c>
      <c r="C135" s="687">
        <v>0</v>
      </c>
      <c r="D135" s="687">
        <v>0</v>
      </c>
      <c r="E135" s="687">
        <v>0</v>
      </c>
      <c r="F135" s="687">
        <v>8.6314087146002207E-5</v>
      </c>
      <c r="G135" s="660"/>
    </row>
    <row r="136" spans="1:7" ht="12.75" x14ac:dyDescent="0.2">
      <c r="A136" s="662">
        <v>132</v>
      </c>
      <c r="B136" s="687">
        <v>0</v>
      </c>
      <c r="C136" s="687">
        <v>0</v>
      </c>
      <c r="D136" s="687">
        <v>0</v>
      </c>
      <c r="E136" s="687">
        <v>0</v>
      </c>
      <c r="F136" s="687">
        <v>1.8512028573384356E-5</v>
      </c>
      <c r="G136" s="660"/>
    </row>
    <row r="137" spans="1:7" ht="12.75" x14ac:dyDescent="0.2">
      <c r="A137" s="662">
        <v>133</v>
      </c>
      <c r="B137" s="687">
        <v>0</v>
      </c>
      <c r="C137" s="687">
        <v>0</v>
      </c>
      <c r="D137" s="687">
        <v>0</v>
      </c>
      <c r="E137" s="687">
        <v>0</v>
      </c>
      <c r="F137" s="687">
        <v>2.2927189589978685E-5</v>
      </c>
      <c r="G137" s="660"/>
    </row>
    <row r="138" spans="1:7" ht="12.75" x14ac:dyDescent="0.2">
      <c r="A138" s="662">
        <v>134</v>
      </c>
      <c r="B138" s="687">
        <v>0</v>
      </c>
      <c r="C138" s="687">
        <v>0</v>
      </c>
      <c r="D138" s="687">
        <v>0</v>
      </c>
      <c r="E138" s="687">
        <v>0</v>
      </c>
      <c r="F138" s="687">
        <v>8.6917338311455044E-5</v>
      </c>
      <c r="G138" s="660"/>
    </row>
    <row r="139" spans="1:7" ht="12.75" x14ac:dyDescent="0.2">
      <c r="A139" s="662">
        <v>135</v>
      </c>
      <c r="B139" s="687">
        <v>0</v>
      </c>
      <c r="C139" s="687">
        <v>0</v>
      </c>
      <c r="D139" s="687">
        <v>0</v>
      </c>
      <c r="E139" s="687">
        <v>0</v>
      </c>
      <c r="F139" s="687">
        <v>2.0788293770696278E-5</v>
      </c>
      <c r="G139" s="660"/>
    </row>
    <row r="140" spans="1:7" ht="12.75" x14ac:dyDescent="0.2">
      <c r="A140" s="662">
        <v>136</v>
      </c>
      <c r="B140" s="687">
        <v>0</v>
      </c>
      <c r="C140" s="687">
        <v>0</v>
      </c>
      <c r="D140" s="687">
        <v>0</v>
      </c>
      <c r="E140" s="687">
        <v>0</v>
      </c>
      <c r="F140" s="687">
        <v>1.7502651578569592E-5</v>
      </c>
      <c r="G140" s="660"/>
    </row>
    <row r="141" spans="1:7" ht="12.75" x14ac:dyDescent="0.2">
      <c r="A141" s="662">
        <v>137</v>
      </c>
      <c r="B141" s="687">
        <v>0</v>
      </c>
      <c r="C141" s="687">
        <v>0</v>
      </c>
      <c r="D141" s="687">
        <v>0</v>
      </c>
      <c r="E141" s="687">
        <v>0</v>
      </c>
      <c r="F141" s="687">
        <v>3.1347360318873821E-5</v>
      </c>
      <c r="G141" s="660"/>
    </row>
    <row r="142" spans="1:7" ht="12.75" x14ac:dyDescent="0.2">
      <c r="A142" s="662">
        <v>138</v>
      </c>
      <c r="B142" s="687">
        <v>0</v>
      </c>
      <c r="C142" s="687">
        <v>0</v>
      </c>
      <c r="D142" s="687">
        <v>0</v>
      </c>
      <c r="E142" s="687">
        <v>0</v>
      </c>
      <c r="F142" s="687">
        <v>2.5886995568309849E-5</v>
      </c>
      <c r="G142" s="660"/>
    </row>
    <row r="143" spans="1:7" ht="12.75" x14ac:dyDescent="0.2">
      <c r="A143" s="662">
        <v>139</v>
      </c>
      <c r="B143" s="687">
        <v>0</v>
      </c>
      <c r="C143" s="687">
        <v>0</v>
      </c>
      <c r="D143" s="687">
        <v>0</v>
      </c>
      <c r="E143" s="687">
        <v>0</v>
      </c>
      <c r="F143" s="687">
        <v>2.140879484759407E-5</v>
      </c>
      <c r="G143" s="660"/>
    </row>
    <row r="144" spans="1:7" ht="12.75" x14ac:dyDescent="0.2">
      <c r="A144" s="662">
        <v>140</v>
      </c>
      <c r="B144" s="687">
        <v>0</v>
      </c>
      <c r="C144" s="687">
        <v>0</v>
      </c>
      <c r="D144" s="687">
        <v>0</v>
      </c>
      <c r="E144" s="687">
        <v>0</v>
      </c>
      <c r="F144" s="687">
        <v>1.8889636884583017E-5</v>
      </c>
      <c r="G144" s="660"/>
    </row>
    <row r="145" spans="1:7" ht="12.75" x14ac:dyDescent="0.2">
      <c r="A145" s="662">
        <v>141</v>
      </c>
      <c r="B145" s="687">
        <v>0</v>
      </c>
      <c r="C145" s="687">
        <v>0</v>
      </c>
      <c r="D145" s="687">
        <v>0</v>
      </c>
      <c r="E145" s="687">
        <v>0</v>
      </c>
      <c r="F145" s="687">
        <v>4.8394745440140047E-5</v>
      </c>
      <c r="G145" s="660"/>
    </row>
    <row r="146" spans="1:7" ht="12.75" x14ac:dyDescent="0.2">
      <c r="A146" s="662">
        <v>142</v>
      </c>
      <c r="B146" s="687">
        <v>0</v>
      </c>
      <c r="C146" s="687">
        <v>0</v>
      </c>
      <c r="D146" s="687">
        <v>0</v>
      </c>
      <c r="E146" s="687">
        <v>0</v>
      </c>
      <c r="F146" s="687">
        <v>3.0337983324059058E-5</v>
      </c>
      <c r="G146" s="660"/>
    </row>
    <row r="147" spans="1:7" ht="12.75" x14ac:dyDescent="0.2">
      <c r="A147" s="662">
        <v>143</v>
      </c>
      <c r="B147" s="687">
        <v>0</v>
      </c>
      <c r="C147" s="687">
        <v>0</v>
      </c>
      <c r="D147" s="687">
        <v>0</v>
      </c>
      <c r="E147" s="687">
        <v>0</v>
      </c>
      <c r="F147" s="687">
        <v>4.0462361798574823E-5</v>
      </c>
      <c r="G147" s="660"/>
    </row>
    <row r="148" spans="1:7" ht="12.75" x14ac:dyDescent="0.2">
      <c r="A148" s="662">
        <v>144</v>
      </c>
      <c r="B148" s="687">
        <v>0</v>
      </c>
      <c r="C148" s="687">
        <v>0</v>
      </c>
      <c r="D148" s="687">
        <v>0</v>
      </c>
      <c r="E148" s="687">
        <v>0</v>
      </c>
      <c r="F148" s="687">
        <v>4.5736913545902782E-5</v>
      </c>
      <c r="G148" s="660"/>
    </row>
    <row r="149" spans="1:7" ht="12.75" x14ac:dyDescent="0.2">
      <c r="A149" s="662">
        <v>145</v>
      </c>
      <c r="B149" s="687">
        <v>0</v>
      </c>
      <c r="C149" s="687">
        <v>0</v>
      </c>
      <c r="D149" s="687">
        <v>0</v>
      </c>
      <c r="E149" s="687">
        <v>0</v>
      </c>
      <c r="F149" s="687">
        <v>2.6133846719735662E-5</v>
      </c>
      <c r="G149" s="660"/>
    </row>
    <row r="150" spans="1:7" ht="12.75" x14ac:dyDescent="0.2">
      <c r="A150" s="662">
        <v>146</v>
      </c>
      <c r="B150" s="687">
        <v>0</v>
      </c>
      <c r="C150" s="687">
        <v>0</v>
      </c>
      <c r="D150" s="687">
        <v>0</v>
      </c>
      <c r="E150" s="687">
        <v>0</v>
      </c>
      <c r="F150" s="687">
        <v>1.3830764937987621E-5</v>
      </c>
      <c r="G150" s="660"/>
    </row>
    <row r="151" spans="1:7" ht="12.75" x14ac:dyDescent="0.2">
      <c r="A151" s="662">
        <v>147</v>
      </c>
      <c r="B151" s="687">
        <v>0</v>
      </c>
      <c r="C151" s="687">
        <v>0</v>
      </c>
      <c r="D151" s="687">
        <v>0</v>
      </c>
      <c r="E151" s="687">
        <v>0</v>
      </c>
      <c r="F151" s="687">
        <v>1.9005053625500759E-4</v>
      </c>
      <c r="G151" s="660"/>
    </row>
    <row r="152" spans="1:7" ht="12.75" x14ac:dyDescent="0.2">
      <c r="A152" s="662">
        <v>148</v>
      </c>
      <c r="B152" s="687">
        <v>0</v>
      </c>
      <c r="C152" s="687">
        <v>0</v>
      </c>
      <c r="D152" s="687">
        <v>0</v>
      </c>
      <c r="E152" s="687">
        <v>0</v>
      </c>
      <c r="F152" s="687">
        <v>3.3616316295194115E-5</v>
      </c>
      <c r="G152" s="660"/>
    </row>
    <row r="153" spans="1:7" ht="12.75" x14ac:dyDescent="0.2">
      <c r="A153" s="662">
        <v>149</v>
      </c>
      <c r="B153" s="687">
        <v>0</v>
      </c>
      <c r="C153" s="687">
        <v>0</v>
      </c>
      <c r="D153" s="687">
        <v>0</v>
      </c>
      <c r="E153" s="687">
        <v>0</v>
      </c>
      <c r="F153" s="687">
        <v>2.2532331367335081E-5</v>
      </c>
      <c r="G153" s="660"/>
    </row>
    <row r="154" spans="1:7" ht="12.75" x14ac:dyDescent="0.2">
      <c r="A154" s="662">
        <v>150</v>
      </c>
      <c r="B154" s="687">
        <v>0</v>
      </c>
      <c r="C154" s="687">
        <v>0</v>
      </c>
      <c r="D154" s="687">
        <v>0</v>
      </c>
      <c r="E154" s="687">
        <v>0</v>
      </c>
      <c r="F154" s="687">
        <v>1.4128882504423257E-3</v>
      </c>
      <c r="G154" s="660"/>
    </row>
    <row r="155" spans="1:7" ht="12.75" x14ac:dyDescent="0.2">
      <c r="A155" s="662" t="s">
        <v>650</v>
      </c>
      <c r="B155" s="685">
        <f>SUM(B4:B154)</f>
        <v>0.36116500847754324</v>
      </c>
      <c r="C155" s="685">
        <f>SUM(C4:C154)</f>
        <v>1.7634377626204949E-2</v>
      </c>
      <c r="D155" s="685">
        <f>SUM(D4:D154)</f>
        <v>1.3838354220390842E-2</v>
      </c>
      <c r="E155" s="685">
        <f>SUM(E4:E154)</f>
        <v>5.154026080206953E-4</v>
      </c>
      <c r="F155" s="685">
        <f>SUM(F4:F154)</f>
        <v>0.60684685706784014</v>
      </c>
      <c r="G155" s="685"/>
    </row>
    <row r="156" spans="1:7" ht="12.75" x14ac:dyDescent="0.2">
      <c r="A156" s="662" t="s">
        <v>5</v>
      </c>
      <c r="B156" s="685"/>
      <c r="C156" s="685"/>
      <c r="D156" s="685"/>
      <c r="E156" s="685"/>
      <c r="F156" s="685">
        <f>SUM(B155:F155)</f>
        <v>0.99999999999999978</v>
      </c>
      <c r="G156" s="685"/>
    </row>
  </sheetData>
  <mergeCells count="1">
    <mergeCell ref="J6:J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39"/>
  <sheetViews>
    <sheetView showGridLines="0" zoomScale="75" zoomScaleNormal="75" workbookViewId="0">
      <selection activeCell="G24" sqref="G24"/>
    </sheetView>
  </sheetViews>
  <sheetFormatPr defaultColWidth="9" defaultRowHeight="12.75" x14ac:dyDescent="0.2"/>
  <cols>
    <col min="1" max="1" width="14.42578125" style="662" customWidth="1"/>
    <col min="2" max="2" width="39.42578125" style="660" customWidth="1"/>
    <col min="3" max="3" width="12.42578125" style="660" bestFit="1" customWidth="1"/>
    <col min="4" max="4" width="9.42578125" style="660" customWidth="1"/>
    <col min="5" max="5" width="11.5703125" style="660" customWidth="1"/>
    <col min="6" max="6" width="9.42578125" style="660" customWidth="1"/>
    <col min="7" max="7" width="17.85546875" style="660" customWidth="1"/>
    <col min="8" max="8" width="11" style="661" customWidth="1"/>
    <col min="9" max="9" width="13.140625" style="661" customWidth="1"/>
    <col min="10" max="10" width="11.140625" style="661" customWidth="1"/>
    <col min="11" max="11" width="13.85546875" style="660" customWidth="1"/>
    <col min="12" max="12" width="9" style="660"/>
    <col min="13" max="13" width="8.85546875" style="660" customWidth="1"/>
    <col min="14" max="14" width="12" style="660" customWidth="1"/>
    <col min="15" max="15" width="10.85546875" style="660" customWidth="1"/>
    <col min="16" max="16" width="9" style="660" customWidth="1"/>
    <col min="17" max="17" width="10.28515625" style="660" customWidth="1"/>
    <col min="18" max="18" width="10.42578125" style="660" customWidth="1"/>
    <col min="19" max="19" width="71.7109375" style="660" customWidth="1"/>
    <col min="20" max="24" width="9" style="660"/>
    <col min="25" max="25" width="55" style="660" customWidth="1"/>
    <col min="26" max="16384" width="9" style="660"/>
  </cols>
  <sheetData>
    <row r="1" spans="1:28" s="679" customFormat="1" ht="18.600000000000001" customHeight="1" x14ac:dyDescent="0.2"/>
    <row r="2" spans="1:28" s="679" customFormat="1" ht="18.600000000000001" customHeight="1" x14ac:dyDescent="0.2"/>
    <row r="3" spans="1:28" s="679" customFormat="1" ht="18.600000000000001" customHeight="1" x14ac:dyDescent="0.2">
      <c r="K3" s="75" t="s">
        <v>409</v>
      </c>
      <c r="L3" s="76"/>
      <c r="M3" s="76"/>
      <c r="N3" s="76"/>
      <c r="O3" s="76"/>
      <c r="P3" s="76"/>
      <c r="Q3" s="76"/>
      <c r="R3" s="76"/>
      <c r="S3" s="76"/>
      <c r="T3" s="76"/>
      <c r="U3" s="76"/>
      <c r="V3" s="76"/>
      <c r="W3" s="76"/>
      <c r="X3" s="76"/>
      <c r="Y3" s="76"/>
    </row>
    <row r="4" spans="1:28" s="679" customFormat="1" ht="18.600000000000001" customHeight="1" x14ac:dyDescent="0.2">
      <c r="K4" s="76"/>
      <c r="L4" s="76"/>
      <c r="M4" s="76"/>
      <c r="N4" s="76"/>
      <c r="O4" s="76"/>
      <c r="P4" s="76"/>
      <c r="Q4" s="76"/>
      <c r="R4" s="76"/>
      <c r="S4" s="76"/>
      <c r="T4" s="76"/>
      <c r="U4" s="76"/>
      <c r="V4" s="76"/>
      <c r="W4" s="76"/>
      <c r="X4" s="76"/>
      <c r="Y4" s="76"/>
    </row>
    <row r="5" spans="1:28" s="679" customFormat="1" ht="18.600000000000001" customHeight="1" x14ac:dyDescent="0.2">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t="str">
        <f>'Contents, list of sources'!T17</f>
        <v>Date accessed</v>
      </c>
      <c r="Y5" s="449"/>
      <c r="Z5" s="28"/>
      <c r="AA5" s="28"/>
      <c r="AB5" s="28"/>
    </row>
    <row r="6" spans="1:28" s="679" customFormat="1" ht="18.600000000000001" customHeight="1" x14ac:dyDescent="0.2">
      <c r="K6" s="74" t="str">
        <f>'Contents, list of sources'!G491</f>
        <v>IPART</v>
      </c>
      <c r="L6" s="74"/>
      <c r="M6" s="74" t="str">
        <f>'Contents, list of sources'!I491</f>
        <v>Review of fares for private ferry services and the Stockton ferry service for 2010</v>
      </c>
      <c r="N6" s="74"/>
      <c r="O6" s="74"/>
      <c r="P6" s="74"/>
      <c r="Q6" s="191">
        <f>'Contents, list of sources'!M491</f>
        <v>40148</v>
      </c>
      <c r="R6" s="74"/>
      <c r="S6" s="74" t="str">
        <f>'Contents, list of sources'!O491</f>
        <v>https://www.ipart.nsw.gov.au/files/sharedassets/website/trimholdingbay/final_report_and_determination_-_review_of_fares_for_private_ferry_services_and_the_stockton_ferry_service_for_2010_-_december_2009.pdf</v>
      </c>
      <c r="T6" s="74"/>
      <c r="U6" s="74"/>
      <c r="V6" s="74"/>
      <c r="W6" s="74"/>
      <c r="X6" s="74"/>
      <c r="Y6" s="74"/>
      <c r="Z6" s="74"/>
      <c r="AA6" s="74"/>
      <c r="AB6" s="74"/>
    </row>
    <row r="7" spans="1:28" s="679" customFormat="1" ht="18.600000000000001" customHeight="1" x14ac:dyDescent="0.2">
      <c r="K7" s="74" t="str">
        <f>'Contents, list of sources'!G492</f>
        <v>Metro Transport</v>
      </c>
      <c r="L7" s="74"/>
      <c r="M7" s="74" t="str">
        <f>'Contents, list of sources'!I492</f>
        <v>Schedule of Fares - Light Rail</v>
      </c>
      <c r="N7" s="74"/>
      <c r="O7" s="74"/>
      <c r="P7" s="74"/>
      <c r="Q7" s="191">
        <f>'Contents, list of sources'!M492</f>
        <v>39630</v>
      </c>
      <c r="R7" s="74"/>
      <c r="S7" s="74"/>
      <c r="T7" s="74"/>
      <c r="U7" s="74"/>
      <c r="V7" s="74"/>
      <c r="W7" s="74"/>
      <c r="X7" s="74"/>
      <c r="Y7" s="74"/>
      <c r="Z7" s="74"/>
      <c r="AA7" s="74"/>
      <c r="AB7" s="74"/>
    </row>
    <row r="8" spans="1:28" s="679" customFormat="1" ht="18.600000000000001" customHeight="1" x14ac:dyDescent="0.2">
      <c r="K8" s="74" t="str">
        <f>'Contents, list of sources'!G494</f>
        <v>IPART</v>
      </c>
      <c r="L8" s="74"/>
      <c r="M8" s="74" t="str">
        <f>'Contents, list of sources'!I494</f>
        <v>Compliance statement: Opal fares for 2019-20</v>
      </c>
      <c r="N8" s="74"/>
      <c r="O8" s="74"/>
      <c r="P8" s="74"/>
      <c r="Q8" s="191">
        <f>'Contents, list of sources'!M494</f>
        <v>43630</v>
      </c>
      <c r="R8" s="74"/>
      <c r="S8" s="74" t="str">
        <f>'Contents, list of sources'!O494</f>
        <v>https://www.ipart.nsw.gov.au/files/sharedassets/website/shared-files/investigation-compliance-monitoring-transport-publications-fares-for-Opal-services-201920/compliance-statement-Opal-fares-201920.pdf</v>
      </c>
      <c r="T8" s="74"/>
      <c r="U8" s="74"/>
      <c r="V8" s="74"/>
      <c r="W8" s="74"/>
      <c r="X8" s="74"/>
      <c r="Y8" s="74"/>
      <c r="Z8" s="74"/>
      <c r="AA8" s="74"/>
      <c r="AB8" s="74"/>
    </row>
    <row r="9" spans="1:28" s="679" customFormat="1" ht="18.600000000000001" customHeight="1" x14ac:dyDescent="0.2">
      <c r="K9" s="74" t="str">
        <f>'Contents, list of sources'!G495</f>
        <v xml:space="preserve">Transport Performance and Analytics (TPA) </v>
      </c>
      <c r="L9" s="74"/>
      <c r="M9" s="74" t="str">
        <f>'Contents, list of sources'!I495</f>
        <v>Opal data - IPART data request  - weekly data for sample weeks between Jan and June 2019</v>
      </c>
      <c r="N9" s="74"/>
      <c r="O9" s="74"/>
      <c r="P9" s="74"/>
      <c r="Q9" s="191">
        <f>'Contents, list of sources'!M495</f>
        <v>43648</v>
      </c>
      <c r="R9" s="74"/>
      <c r="S9" s="74"/>
      <c r="T9" s="74"/>
      <c r="U9" s="74"/>
      <c r="V9" s="74"/>
      <c r="W9" s="74"/>
      <c r="X9" s="74"/>
      <c r="Y9" s="74"/>
      <c r="Z9" s="74"/>
      <c r="AA9" s="74"/>
      <c r="AB9" s="74"/>
    </row>
    <row r="10" spans="1:28" s="679" customFormat="1" ht="18.600000000000001" customHeight="1" x14ac:dyDescent="0.2">
      <c r="F10" s="9"/>
      <c r="G10" s="9"/>
      <c r="H10" s="9"/>
      <c r="I10" s="1331"/>
      <c r="J10" s="1331"/>
      <c r="K10" s="1331"/>
      <c r="L10" s="1331"/>
      <c r="M10" s="1331"/>
      <c r="N10" s="1331"/>
      <c r="O10" s="1331"/>
      <c r="P10" s="1331"/>
      <c r="Q10" s="1331"/>
      <c r="R10" s="457"/>
    </row>
    <row r="11" spans="1:28" s="270" customFormat="1" ht="18.600000000000001" customHeight="1" x14ac:dyDescent="0.3">
      <c r="B11" s="373" t="s">
        <v>711</v>
      </c>
      <c r="F11" s="272"/>
      <c r="G11" s="272"/>
      <c r="H11" s="272"/>
      <c r="I11" s="1331"/>
      <c r="J11" s="1331"/>
      <c r="K11" s="1331"/>
      <c r="L11" s="1331"/>
      <c r="M11" s="1331"/>
      <c r="N11" s="1331"/>
      <c r="O11" s="1331"/>
      <c r="P11" s="1331"/>
      <c r="Q11" s="1331"/>
      <c r="R11" s="1199"/>
    </row>
    <row r="12" spans="1:28" s="79" customFormat="1" ht="18.600000000000001" customHeight="1" x14ac:dyDescent="0.2">
      <c r="A12" s="374"/>
      <c r="H12" s="1096"/>
      <c r="I12" s="1332"/>
      <c r="J12" s="1332"/>
      <c r="K12" s="1332"/>
      <c r="L12" s="1332"/>
      <c r="M12" s="1332"/>
      <c r="N12" s="1332"/>
      <c r="O12" s="1332"/>
      <c r="P12" s="1332"/>
      <c r="Q12" s="1332"/>
      <c r="R12" s="1187"/>
    </row>
    <row r="13" spans="1:28" x14ac:dyDescent="0.2">
      <c r="G13" s="694"/>
      <c r="H13" s="1095"/>
      <c r="I13" s="1095"/>
      <c r="J13" s="1095"/>
      <c r="K13" s="1095"/>
      <c r="L13" s="1095"/>
      <c r="M13" s="1095"/>
      <c r="N13" s="1095"/>
      <c r="O13" s="694"/>
    </row>
    <row r="14" spans="1:28" x14ac:dyDescent="0.2">
      <c r="G14" s="694"/>
      <c r="H14" s="708"/>
      <c r="I14" s="708"/>
      <c r="J14" s="708"/>
      <c r="K14" s="694"/>
      <c r="L14" s="694"/>
      <c r="M14" s="694"/>
      <c r="N14" s="694"/>
      <c r="O14" s="694"/>
    </row>
    <row r="16" spans="1:28" ht="15" x14ac:dyDescent="0.2">
      <c r="B16" s="788" t="s">
        <v>946</v>
      </c>
      <c r="C16" s="789"/>
      <c r="D16" s="789"/>
      <c r="E16" s="789"/>
      <c r="F16" s="789"/>
      <c r="G16" s="789"/>
      <c r="H16" s="790"/>
      <c r="I16" s="790"/>
    </row>
    <row r="17" spans="1:21" s="718" customFormat="1" ht="12" x14ac:dyDescent="0.2">
      <c r="A17" s="878"/>
      <c r="B17" s="63"/>
      <c r="C17" s="58"/>
      <c r="D17" s="58">
        <v>2009</v>
      </c>
      <c r="E17" s="58"/>
      <c r="F17" s="58"/>
      <c r="G17" s="58"/>
      <c r="H17" s="58"/>
      <c r="I17" s="58"/>
      <c r="J17" s="58"/>
      <c r="K17" s="58"/>
      <c r="L17" s="58"/>
      <c r="M17" s="58"/>
      <c r="N17" s="58">
        <v>2019</v>
      </c>
      <c r="O17" s="58"/>
      <c r="P17" s="58"/>
      <c r="Q17" s="58"/>
      <c r="R17" s="707">
        <v>2023</v>
      </c>
    </row>
    <row r="18" spans="1:21" s="718" customFormat="1" ht="12" x14ac:dyDescent="0.2">
      <c r="A18" s="878"/>
      <c r="B18" s="889" t="s">
        <v>657</v>
      </c>
      <c r="C18" s="890"/>
      <c r="D18" s="891">
        <f>C71</f>
        <v>3.8500853204957197</v>
      </c>
      <c r="E18" s="891">
        <f t="shared" ref="E18:N18" si="0">D18*(1+$G$71)</f>
        <v>3.8830377455299709</v>
      </c>
      <c r="F18" s="891">
        <f t="shared" si="0"/>
        <v>3.9162722064738831</v>
      </c>
      <c r="G18" s="891">
        <f t="shared" si="0"/>
        <v>3.9497911172394597</v>
      </c>
      <c r="H18" s="891">
        <f t="shared" si="0"/>
        <v>3.9835969123990917</v>
      </c>
      <c r="I18" s="891">
        <f t="shared" si="0"/>
        <v>4.0176920473623881</v>
      </c>
      <c r="J18" s="891">
        <f t="shared" si="0"/>
        <v>4.0520789985545163</v>
      </c>
      <c r="K18" s="891">
        <f t="shared" si="0"/>
        <v>4.0867602635960765</v>
      </c>
      <c r="L18" s="891">
        <f t="shared" si="0"/>
        <v>4.121738361484506</v>
      </c>
      <c r="M18" s="891">
        <f t="shared" si="0"/>
        <v>4.1570158327770459</v>
      </c>
      <c r="N18" s="891">
        <f t="shared" si="0"/>
        <v>4.1925952397752635</v>
      </c>
      <c r="O18" s="892"/>
      <c r="P18" s="892"/>
      <c r="Q18" s="892"/>
      <c r="R18" s="893"/>
    </row>
    <row r="19" spans="1:21" s="718" customFormat="1" ht="12" x14ac:dyDescent="0.2">
      <c r="A19" s="878"/>
      <c r="B19" s="889" t="s">
        <v>656</v>
      </c>
      <c r="C19" s="890"/>
      <c r="D19" s="891"/>
      <c r="E19" s="891"/>
      <c r="F19" s="891"/>
      <c r="G19" s="891"/>
      <c r="H19" s="891"/>
      <c r="I19" s="891"/>
      <c r="J19" s="891"/>
      <c r="K19" s="891"/>
      <c r="L19" s="891"/>
      <c r="M19" s="891"/>
      <c r="N19" s="1258">
        <f>N18</f>
        <v>4.1925952397752635</v>
      </c>
      <c r="O19" s="891">
        <f>N18*(1+$I$71)</f>
        <v>4.4223839212528278</v>
      </c>
      <c r="P19" s="891">
        <f>O19*(1+$I$71)</f>
        <v>4.6647669112947518</v>
      </c>
      <c r="Q19" s="891">
        <f>P19*(1+$I$71)</f>
        <v>4.9204344815331913</v>
      </c>
      <c r="R19" s="894">
        <f>Q19*(1+$I$71)</f>
        <v>5.1901147361596456</v>
      </c>
    </row>
    <row r="20" spans="1:21" s="718" customFormat="1" ht="12" x14ac:dyDescent="0.2">
      <c r="A20" s="878"/>
      <c r="B20" s="895" t="s">
        <v>655</v>
      </c>
      <c r="C20" s="896"/>
      <c r="D20" s="1293">
        <f>D18</f>
        <v>3.8500853204957197</v>
      </c>
      <c r="E20" s="897">
        <f t="shared" ref="E20:N20" si="1">D20*(1+$B$77)</f>
        <v>3.9313326877671519</v>
      </c>
      <c r="F20" s="897">
        <f t="shared" si="1"/>
        <v>4.0142945974809026</v>
      </c>
      <c r="G20" s="897">
        <f t="shared" si="1"/>
        <v>4.099007231188267</v>
      </c>
      <c r="H20" s="897">
        <f t="shared" si="1"/>
        <v>4.1855075339705774</v>
      </c>
      <c r="I20" s="897">
        <f t="shared" si="1"/>
        <v>4.2738332305517819</v>
      </c>
      <c r="J20" s="897">
        <f t="shared" si="1"/>
        <v>4.3640228417510434</v>
      </c>
      <c r="K20" s="897">
        <f t="shared" si="1"/>
        <v>4.4561157012825339</v>
      </c>
      <c r="L20" s="897">
        <f t="shared" si="1"/>
        <v>4.5501519729097515</v>
      </c>
      <c r="M20" s="897">
        <f t="shared" si="1"/>
        <v>4.6461726679618369</v>
      </c>
      <c r="N20" s="897">
        <f t="shared" si="1"/>
        <v>4.7442196632195373</v>
      </c>
      <c r="O20" s="897">
        <f>N20*(1+'IPART inputs'!$C$104)</f>
        <v>4.854501423082584</v>
      </c>
      <c r="P20" s="897">
        <f>O20*(1+'IPART inputs'!$C$104)</f>
        <v>4.9673467376336191</v>
      </c>
      <c r="Q20" s="897">
        <f>P20*(1+'IPART inputs'!$C$104)</f>
        <v>5.0828151979840506</v>
      </c>
      <c r="R20" s="898">
        <f>Q20*(1+'IPART inputs'!$C$104)</f>
        <v>5.2009677804704877</v>
      </c>
    </row>
    <row r="24" spans="1:21" x14ac:dyDescent="0.2">
      <c r="S24" s="1265" t="s">
        <v>456</v>
      </c>
      <c r="T24" s="1216"/>
      <c r="U24" s="1216"/>
    </row>
    <row r="25" spans="1:21" x14ac:dyDescent="0.2">
      <c r="L25" s="1333" t="s">
        <v>995</v>
      </c>
      <c r="M25" s="1333"/>
      <c r="N25" s="1333"/>
      <c r="O25" s="1333"/>
      <c r="P25" s="1333"/>
      <c r="S25" s="1216"/>
      <c r="T25" s="1216"/>
      <c r="U25" s="1216"/>
    </row>
    <row r="26" spans="1:21" x14ac:dyDescent="0.2">
      <c r="L26" s="1333"/>
      <c r="M26" s="1333"/>
      <c r="N26" s="1333"/>
      <c r="O26" s="1333"/>
      <c r="P26" s="1333"/>
      <c r="S26" s="1216"/>
      <c r="T26" s="1216"/>
      <c r="U26" s="1216"/>
    </row>
    <row r="27" spans="1:21" x14ac:dyDescent="0.2">
      <c r="L27" s="1333"/>
      <c r="M27" s="1333"/>
      <c r="N27" s="1333"/>
      <c r="O27" s="1333"/>
      <c r="P27" s="1333"/>
      <c r="S27" s="1216"/>
      <c r="T27" s="1216"/>
      <c r="U27" s="1216"/>
    </row>
    <row r="28" spans="1:21" x14ac:dyDescent="0.2">
      <c r="L28" s="1333"/>
      <c r="M28" s="1333"/>
      <c r="N28" s="1333"/>
      <c r="O28" s="1333"/>
      <c r="P28" s="1333"/>
      <c r="S28" s="1216"/>
      <c r="T28" s="1216"/>
      <c r="U28" s="1216"/>
    </row>
    <row r="29" spans="1:21" x14ac:dyDescent="0.2">
      <c r="L29" s="1333"/>
      <c r="M29" s="1333"/>
      <c r="N29" s="1333"/>
      <c r="O29" s="1333"/>
      <c r="P29" s="1333"/>
      <c r="S29" s="1216"/>
      <c r="T29" s="1216"/>
      <c r="U29" s="1216"/>
    </row>
    <row r="30" spans="1:21" x14ac:dyDescent="0.2">
      <c r="L30" s="1333"/>
      <c r="M30" s="1333"/>
      <c r="N30" s="1333"/>
      <c r="O30" s="1333"/>
      <c r="P30" s="1333"/>
      <c r="S30" s="1216"/>
      <c r="T30" s="1216"/>
      <c r="U30" s="1216"/>
    </row>
    <row r="31" spans="1:21" x14ac:dyDescent="0.2">
      <c r="L31" s="1333"/>
      <c r="M31" s="1333"/>
      <c r="N31" s="1333"/>
      <c r="O31" s="1333"/>
      <c r="P31" s="1333"/>
      <c r="S31" s="1216"/>
      <c r="T31" s="1216"/>
      <c r="U31" s="1216"/>
    </row>
    <row r="32" spans="1:21" x14ac:dyDescent="0.2">
      <c r="L32" s="1333"/>
      <c r="M32" s="1333"/>
      <c r="N32" s="1333"/>
      <c r="O32" s="1333"/>
      <c r="P32" s="1333"/>
      <c r="S32" s="1216"/>
      <c r="T32" s="1216"/>
      <c r="U32" s="1216"/>
    </row>
    <row r="33" spans="2:33" x14ac:dyDescent="0.2">
      <c r="L33" s="1333"/>
      <c r="M33" s="1333"/>
      <c r="N33" s="1333"/>
      <c r="O33" s="1333"/>
      <c r="P33" s="1333"/>
      <c r="S33" s="1216"/>
      <c r="T33" s="1216"/>
      <c r="U33" s="1216"/>
    </row>
    <row r="34" spans="2:33" x14ac:dyDescent="0.2">
      <c r="L34" s="1333"/>
      <c r="M34" s="1333"/>
      <c r="N34" s="1333"/>
      <c r="O34" s="1333"/>
      <c r="P34" s="1333"/>
      <c r="S34" s="1216"/>
      <c r="T34" s="1216"/>
      <c r="U34" s="1216"/>
    </row>
    <row r="35" spans="2:33" x14ac:dyDescent="0.2">
      <c r="L35" s="1333"/>
      <c r="M35" s="1333"/>
      <c r="N35" s="1333"/>
      <c r="O35" s="1333"/>
      <c r="P35" s="1333"/>
      <c r="S35" s="1216"/>
      <c r="T35" s="1216"/>
      <c r="U35" s="1216"/>
    </row>
    <row r="36" spans="2:33" x14ac:dyDescent="0.2">
      <c r="L36" s="1333"/>
      <c r="M36" s="1333"/>
      <c r="N36" s="1333"/>
      <c r="O36" s="1333"/>
      <c r="P36" s="1333"/>
      <c r="S36" s="1216"/>
      <c r="T36" s="1216"/>
      <c r="U36" s="1216"/>
    </row>
    <row r="37" spans="2:33" x14ac:dyDescent="0.2">
      <c r="L37" s="1333"/>
      <c r="M37" s="1333"/>
      <c r="N37" s="1333"/>
      <c r="O37" s="1333"/>
      <c r="P37" s="1333"/>
      <c r="S37" s="1216"/>
      <c r="T37" s="1216"/>
      <c r="U37" s="1216"/>
    </row>
    <row r="38" spans="2:33" x14ac:dyDescent="0.2">
      <c r="L38" s="1333"/>
      <c r="M38" s="1333"/>
      <c r="N38" s="1333"/>
      <c r="O38" s="1333"/>
      <c r="P38" s="1333"/>
      <c r="S38" s="1216"/>
      <c r="T38" s="1216"/>
      <c r="U38" s="1216"/>
    </row>
    <row r="39" spans="2:33" x14ac:dyDescent="0.2">
      <c r="S39" s="1216"/>
      <c r="T39" s="1216"/>
      <c r="U39" s="1216"/>
    </row>
    <row r="40" spans="2:33" x14ac:dyDescent="0.2">
      <c r="S40" s="1216"/>
      <c r="T40" s="1216"/>
      <c r="U40" s="1216"/>
    </row>
    <row r="41" spans="2:33" x14ac:dyDescent="0.2">
      <c r="S41" s="1216"/>
      <c r="T41" s="1216"/>
      <c r="U41" s="1216"/>
    </row>
    <row r="42" spans="2:33" x14ac:dyDescent="0.2">
      <c r="S42" s="1216"/>
      <c r="T42" s="1216"/>
      <c r="U42" s="1216"/>
    </row>
    <row r="43" spans="2:33" x14ac:dyDescent="0.2">
      <c r="S43" s="1216"/>
      <c r="T43" s="1216"/>
      <c r="U43" s="1216"/>
    </row>
    <row r="44" spans="2:33" x14ac:dyDescent="0.2">
      <c r="S44" s="1216"/>
      <c r="T44" s="1216"/>
      <c r="U44" s="1216"/>
    </row>
    <row r="45" spans="2:33" x14ac:dyDescent="0.2">
      <c r="S45" s="1216"/>
      <c r="T45" s="1216"/>
      <c r="U45" s="1216"/>
    </row>
    <row r="46" spans="2:33" x14ac:dyDescent="0.2">
      <c r="S46" s="1216"/>
      <c r="T46" s="1216"/>
      <c r="U46" s="1216"/>
    </row>
    <row r="47" spans="2:33" ht="15" x14ac:dyDescent="0.2">
      <c r="B47" s="788" t="s">
        <v>978</v>
      </c>
      <c r="S47" s="1216"/>
      <c r="T47" s="1216"/>
      <c r="U47" s="1216"/>
    </row>
    <row r="48" spans="2:33" x14ac:dyDescent="0.2">
      <c r="B48" s="711"/>
      <c r="C48" s="51">
        <v>2019</v>
      </c>
      <c r="S48" s="1216"/>
      <c r="T48" s="931"/>
      <c r="U48" s="931"/>
      <c r="V48" s="882"/>
      <c r="W48" s="882"/>
      <c r="X48" s="661"/>
      <c r="Y48" s="661"/>
      <c r="Z48" s="661"/>
      <c r="AA48" s="661"/>
      <c r="AB48" s="661"/>
      <c r="AC48" s="661"/>
      <c r="AD48" s="661"/>
      <c r="AE48" s="661"/>
      <c r="AF48" s="661"/>
      <c r="AG48" s="661"/>
    </row>
    <row r="49" spans="1:33" x14ac:dyDescent="0.2">
      <c r="B49" s="695" t="s">
        <v>942</v>
      </c>
      <c r="C49" s="1287">
        <v>2.61</v>
      </c>
      <c r="S49" s="931" t="str">
        <f>M8</f>
        <v>Compliance statement: Opal fares for 2019-20</v>
      </c>
      <c r="T49" s="1216"/>
      <c r="U49" s="1216"/>
      <c r="V49" s="661"/>
      <c r="W49" s="661"/>
      <c r="X49" s="661"/>
      <c r="Y49" s="661"/>
      <c r="Z49" s="661"/>
      <c r="AA49" s="661"/>
      <c r="AB49" s="661"/>
      <c r="AC49" s="661"/>
      <c r="AD49" s="661"/>
      <c r="AE49" s="661"/>
      <c r="AF49" s="661"/>
      <c r="AG49" s="661"/>
    </row>
    <row r="50" spans="1:33" x14ac:dyDescent="0.2">
      <c r="B50" s="691" t="s">
        <v>943</v>
      </c>
      <c r="C50" s="1288">
        <f>C49*(1+'IPART inputs'!C23)</f>
        <v>2.871</v>
      </c>
      <c r="S50" s="1216"/>
      <c r="T50" s="1216"/>
      <c r="U50" s="1216"/>
      <c r="V50" s="661"/>
      <c r="W50" s="661"/>
      <c r="X50" s="661"/>
      <c r="Y50" s="661"/>
      <c r="Z50" s="661"/>
      <c r="AA50" s="661"/>
      <c r="AB50" s="661"/>
      <c r="AC50" s="661"/>
      <c r="AD50" s="661"/>
      <c r="AE50" s="661"/>
      <c r="AF50" s="661"/>
      <c r="AG50" s="661"/>
    </row>
    <row r="51" spans="1:33" x14ac:dyDescent="0.2">
      <c r="B51" s="694"/>
      <c r="C51" s="760"/>
      <c r="S51" s="1216"/>
      <c r="T51" s="1216"/>
      <c r="U51" s="1216"/>
      <c r="V51" s="661"/>
      <c r="W51" s="661"/>
      <c r="X51" s="661"/>
      <c r="Y51" s="661"/>
      <c r="Z51" s="661"/>
      <c r="AA51" s="661"/>
      <c r="AB51" s="661"/>
      <c r="AC51" s="661"/>
      <c r="AD51" s="661"/>
      <c r="AE51" s="661"/>
      <c r="AF51" s="661"/>
      <c r="AG51" s="661"/>
    </row>
    <row r="52" spans="1:33" x14ac:dyDescent="0.2">
      <c r="S52" s="1216"/>
      <c r="T52" s="1216"/>
      <c r="U52" s="1216"/>
      <c r="V52" s="661"/>
      <c r="W52" s="661"/>
      <c r="X52" s="661"/>
      <c r="Y52" s="661"/>
      <c r="Z52" s="661"/>
      <c r="AA52" s="661"/>
      <c r="AB52" s="661"/>
      <c r="AC52" s="661"/>
      <c r="AD52" s="661"/>
      <c r="AE52" s="661"/>
      <c r="AF52" s="661"/>
      <c r="AG52" s="661"/>
    </row>
    <row r="53" spans="1:33" ht="15" x14ac:dyDescent="0.2">
      <c r="B53" s="788" t="s">
        <v>944</v>
      </c>
      <c r="F53" s="788"/>
      <c r="S53" s="1216"/>
      <c r="T53" s="1216"/>
      <c r="U53" s="1216"/>
      <c r="V53" s="661"/>
      <c r="W53" s="661"/>
      <c r="X53" s="661"/>
      <c r="Y53" s="661"/>
      <c r="Z53" s="661"/>
      <c r="AA53" s="661"/>
      <c r="AB53" s="661"/>
      <c r="AC53" s="661"/>
      <c r="AD53" s="661"/>
      <c r="AE53" s="661"/>
      <c r="AF53" s="661"/>
      <c r="AG53" s="661"/>
    </row>
    <row r="54" spans="1:33" s="718" customFormat="1" ht="12" x14ac:dyDescent="0.2">
      <c r="A54" s="878"/>
      <c r="B54" s="879" t="str">
        <f>B66</f>
        <v>Bus</v>
      </c>
      <c r="C54" s="899">
        <f t="array" ref="C54:C58">TRANSPOSE('Journey distribution (ex Gold)'!B155:F155)</f>
        <v>0.36116500847754324</v>
      </c>
      <c r="F54" s="14" t="s">
        <v>4</v>
      </c>
      <c r="G54" s="1045">
        <f>'Journey distribution (ex Gold)'!F155</f>
        <v>0.60684685706784014</v>
      </c>
      <c r="H54" s="882"/>
      <c r="I54" s="882"/>
      <c r="J54" s="882"/>
      <c r="S54" s="931"/>
      <c r="T54" s="931"/>
      <c r="U54" s="931"/>
      <c r="V54" s="882"/>
      <c r="W54" s="882"/>
      <c r="X54" s="882"/>
      <c r="Y54" s="882"/>
      <c r="Z54" s="882"/>
      <c r="AA54" s="882"/>
      <c r="AB54" s="882"/>
      <c r="AC54" s="882"/>
      <c r="AD54" s="882"/>
      <c r="AE54" s="882"/>
      <c r="AF54" s="882"/>
      <c r="AG54" s="882"/>
    </row>
    <row r="55" spans="1:33" s="718" customFormat="1" ht="12" x14ac:dyDescent="0.2">
      <c r="A55" s="878"/>
      <c r="B55" s="807" t="str">
        <f t="shared" ref="B55:B58" si="2">B67</f>
        <v>Ferry</v>
      </c>
      <c r="C55" s="900">
        <v>1.7634377626204949E-2</v>
      </c>
      <c r="F55" s="670" t="s">
        <v>794</v>
      </c>
      <c r="G55" s="1046">
        <f>SUM('Journey distribution (ex Gold)'!B155,'Journey distribution (ex Gold)'!D155, 'Journey distribution (ex Gold)'!E155)</f>
        <v>0.37551876530595479</v>
      </c>
      <c r="H55" s="882"/>
      <c r="I55" s="882"/>
      <c r="J55" s="882"/>
      <c r="S55" s="931"/>
      <c r="T55" s="931"/>
      <c r="U55" s="931"/>
      <c r="V55" s="882"/>
      <c r="W55" s="882"/>
      <c r="X55" s="882"/>
      <c r="Y55" s="882"/>
      <c r="Z55" s="882"/>
      <c r="AA55" s="882"/>
      <c r="AB55" s="882"/>
      <c r="AC55" s="882"/>
      <c r="AD55" s="882"/>
      <c r="AE55" s="882"/>
      <c r="AF55" s="882"/>
      <c r="AG55" s="882"/>
    </row>
    <row r="56" spans="1:33" s="718" customFormat="1" ht="12" x14ac:dyDescent="0.2">
      <c r="A56" s="878"/>
      <c r="B56" s="807" t="str">
        <f t="shared" si="2"/>
        <v>Light rail</v>
      </c>
      <c r="C56" s="900">
        <v>1.3838354220390842E-2</v>
      </c>
      <c r="F56" s="670" t="s">
        <v>7</v>
      </c>
      <c r="G56" s="1046">
        <f>'Journey distribution (ex Gold)'!C155</f>
        <v>1.7634377626204949E-2</v>
      </c>
      <c r="H56" s="882"/>
      <c r="I56" s="882"/>
      <c r="J56" s="882"/>
      <c r="S56" s="931"/>
      <c r="T56" s="931"/>
      <c r="U56" s="931"/>
      <c r="V56" s="882"/>
      <c r="W56" s="882"/>
      <c r="X56" s="882"/>
      <c r="Y56" s="882"/>
      <c r="Z56" s="882"/>
      <c r="AA56" s="882"/>
      <c r="AB56" s="882"/>
      <c r="AC56" s="882"/>
      <c r="AD56" s="882"/>
      <c r="AE56" s="882"/>
      <c r="AF56" s="882"/>
      <c r="AG56" s="882"/>
    </row>
    <row r="57" spans="1:33" s="718" customFormat="1" ht="12" x14ac:dyDescent="0.2">
      <c r="A57" s="878"/>
      <c r="B57" s="807" t="str">
        <f t="shared" si="2"/>
        <v>Newcastle ferry</v>
      </c>
      <c r="C57" s="900">
        <v>5.154026080206953E-4</v>
      </c>
      <c r="F57" s="807"/>
      <c r="G57" s="1047"/>
      <c r="H57" s="882"/>
      <c r="I57" s="882"/>
      <c r="J57" s="882"/>
      <c r="S57" s="931"/>
      <c r="T57" s="931"/>
      <c r="U57" s="931"/>
      <c r="V57" s="882"/>
      <c r="W57" s="882"/>
      <c r="X57" s="882"/>
      <c r="Y57" s="882"/>
      <c r="Z57" s="882"/>
      <c r="AA57" s="882"/>
      <c r="AB57" s="882"/>
      <c r="AC57" s="882"/>
      <c r="AD57" s="882"/>
      <c r="AE57" s="882"/>
      <c r="AF57" s="882"/>
      <c r="AG57" s="882"/>
    </row>
    <row r="58" spans="1:33" s="718" customFormat="1" ht="12" x14ac:dyDescent="0.2">
      <c r="A58" s="878"/>
      <c r="B58" s="807" t="str">
        <f t="shared" si="2"/>
        <v>Train</v>
      </c>
      <c r="C58" s="900">
        <v>0.60684685706784014</v>
      </c>
      <c r="F58" s="807"/>
      <c r="G58" s="1047"/>
      <c r="H58" s="882"/>
      <c r="I58" s="882"/>
      <c r="J58" s="882"/>
      <c r="S58" s="931"/>
      <c r="T58" s="931"/>
      <c r="U58" s="931"/>
      <c r="V58" s="882"/>
      <c r="W58" s="882"/>
      <c r="X58" s="882"/>
      <c r="Y58" s="882"/>
      <c r="Z58" s="882"/>
      <c r="AA58" s="882"/>
      <c r="AB58" s="882"/>
      <c r="AC58" s="882"/>
      <c r="AD58" s="882"/>
      <c r="AE58" s="882"/>
      <c r="AF58" s="882"/>
      <c r="AG58" s="882"/>
    </row>
    <row r="59" spans="1:33" x14ac:dyDescent="0.2">
      <c r="B59" s="691" t="s">
        <v>5</v>
      </c>
      <c r="C59" s="963">
        <f>SUM(C54:C58)</f>
        <v>0.99999999999999978</v>
      </c>
      <c r="F59" s="674" t="s">
        <v>5</v>
      </c>
      <c r="G59" s="1048">
        <f>SUM(G54:G56)</f>
        <v>0.99999999999999978</v>
      </c>
      <c r="S59" s="1216"/>
      <c r="T59" s="1216"/>
      <c r="U59" s="1216"/>
      <c r="V59" s="661"/>
      <c r="W59" s="661"/>
      <c r="X59" s="661"/>
      <c r="Y59" s="661"/>
      <c r="Z59" s="661"/>
      <c r="AA59" s="661"/>
      <c r="AB59" s="661"/>
      <c r="AC59" s="661"/>
      <c r="AD59" s="661"/>
      <c r="AE59" s="661"/>
      <c r="AF59" s="661"/>
      <c r="AG59" s="661"/>
    </row>
    <row r="60" spans="1:33" x14ac:dyDescent="0.2">
      <c r="S60" s="1216"/>
      <c r="T60" s="1216"/>
      <c r="U60" s="1216"/>
      <c r="V60" s="661"/>
      <c r="W60" s="661"/>
      <c r="X60" s="661"/>
      <c r="Y60" s="661"/>
      <c r="Z60" s="661"/>
      <c r="AA60" s="661"/>
      <c r="AB60" s="661"/>
      <c r="AC60" s="661"/>
      <c r="AD60" s="661"/>
      <c r="AE60" s="661"/>
      <c r="AF60" s="661"/>
      <c r="AG60" s="661"/>
    </row>
    <row r="61" spans="1:33" x14ac:dyDescent="0.2">
      <c r="S61" s="1216"/>
      <c r="T61" s="1216"/>
      <c r="U61" s="1216"/>
      <c r="V61" s="661"/>
      <c r="W61" s="661"/>
      <c r="X61" s="661"/>
      <c r="Y61" s="661"/>
      <c r="Z61" s="661"/>
      <c r="AA61" s="661"/>
      <c r="AB61" s="661"/>
      <c r="AC61" s="661"/>
      <c r="AD61" s="661"/>
      <c r="AE61" s="661"/>
      <c r="AF61" s="661"/>
      <c r="AG61" s="661"/>
    </row>
    <row r="62" spans="1:33" x14ac:dyDescent="0.2">
      <c r="S62" s="1216"/>
      <c r="T62" s="1216"/>
      <c r="U62" s="1216"/>
      <c r="V62" s="661"/>
      <c r="W62" s="661"/>
      <c r="X62" s="661"/>
      <c r="Y62" s="661"/>
      <c r="Z62" s="661"/>
      <c r="AA62" s="661"/>
      <c r="AB62" s="661"/>
      <c r="AC62" s="661"/>
      <c r="AD62" s="661"/>
      <c r="AE62" s="661"/>
      <c r="AF62" s="661"/>
      <c r="AG62" s="661"/>
    </row>
    <row r="63" spans="1:33" ht="15" x14ac:dyDescent="0.2">
      <c r="B63" s="788" t="s">
        <v>945</v>
      </c>
      <c r="S63" s="1216"/>
      <c r="T63" s="1216"/>
      <c r="U63" s="1216"/>
      <c r="V63" s="661"/>
      <c r="W63" s="661"/>
      <c r="X63" s="661"/>
      <c r="Y63" s="661"/>
      <c r="Z63" s="661"/>
      <c r="AA63" s="661"/>
      <c r="AB63" s="661"/>
      <c r="AC63" s="661"/>
      <c r="AD63" s="661"/>
      <c r="AE63" s="661"/>
      <c r="AF63" s="661"/>
      <c r="AG63" s="661"/>
    </row>
    <row r="64" spans="1:33" s="718" customFormat="1" ht="12" x14ac:dyDescent="0.2">
      <c r="A64" s="878"/>
      <c r="B64" s="885"/>
      <c r="C64" s="886" t="s">
        <v>649</v>
      </c>
      <c r="D64" s="791"/>
      <c r="E64" s="886"/>
      <c r="F64" s="886" t="s">
        <v>664</v>
      </c>
      <c r="G64" s="886"/>
      <c r="H64" s="886" t="s">
        <v>663</v>
      </c>
      <c r="I64" s="887"/>
      <c r="J64" s="882"/>
      <c r="S64" s="931"/>
      <c r="T64" s="931"/>
      <c r="U64" s="931"/>
      <c r="V64" s="882"/>
      <c r="W64" s="882"/>
      <c r="X64" s="882"/>
      <c r="Y64" s="882"/>
      <c r="Z64" s="882"/>
      <c r="AA64" s="882"/>
      <c r="AB64" s="882"/>
      <c r="AC64" s="882"/>
      <c r="AD64" s="882"/>
      <c r="AE64" s="882"/>
      <c r="AF64" s="882"/>
      <c r="AG64" s="882"/>
    </row>
    <row r="65" spans="1:36" s="718" customFormat="1" ht="24" x14ac:dyDescent="0.2">
      <c r="A65" s="878"/>
      <c r="B65" s="802"/>
      <c r="C65" s="792">
        <v>2009</v>
      </c>
      <c r="D65" s="792">
        <v>2019</v>
      </c>
      <c r="E65" s="792">
        <v>2023</v>
      </c>
      <c r="F65" s="888" t="s">
        <v>662</v>
      </c>
      <c r="G65" s="862" t="s">
        <v>661</v>
      </c>
      <c r="H65" s="888" t="s">
        <v>662</v>
      </c>
      <c r="I65" s="863" t="s">
        <v>661</v>
      </c>
      <c r="J65" s="882"/>
      <c r="S65" s="931"/>
      <c r="T65" s="931"/>
      <c r="U65" s="931"/>
      <c r="V65" s="882"/>
      <c r="W65" s="882"/>
      <c r="X65" s="882"/>
      <c r="Y65" s="882"/>
      <c r="Z65" s="882"/>
      <c r="AA65" s="882"/>
      <c r="AB65" s="882"/>
      <c r="AC65" s="882"/>
      <c r="AD65" s="882"/>
      <c r="AE65" s="882"/>
      <c r="AF65" s="882"/>
      <c r="AG65" s="882"/>
    </row>
    <row r="66" spans="1:36" s="718" customFormat="1" ht="12" x14ac:dyDescent="0.2">
      <c r="A66" s="878"/>
      <c r="B66" s="802" t="s">
        <v>3</v>
      </c>
      <c r="C66" s="1106">
        <f>'Bus2009 average fare'!E26</f>
        <v>3.0482806390708457</v>
      </c>
      <c r="D66" s="803">
        <f>F128</f>
        <v>3.2754513209651677</v>
      </c>
      <c r="E66" s="803">
        <f>L128</f>
        <v>4.2438417467519223</v>
      </c>
      <c r="F66" s="804">
        <f>D66/'Bus2009 average fare'!E25</f>
        <v>1.0948452430049747</v>
      </c>
      <c r="G66" s="1253">
        <f t="shared" ref="G66:G71" si="3">F66^(1/10)-1</f>
        <v>9.1024801496359942E-3</v>
      </c>
      <c r="H66" s="805">
        <f t="shared" ref="H66:H71" si="4">E66/D66</f>
        <v>1.2956509900142255</v>
      </c>
      <c r="I66" s="1056">
        <f t="shared" ref="I66:I70" si="5">H66^(1/4)-1</f>
        <v>6.6895805750489146E-2</v>
      </c>
      <c r="J66" s="882"/>
      <c r="S66" s="931"/>
      <c r="T66" s="931"/>
      <c r="U66" s="931"/>
      <c r="V66" s="882"/>
      <c r="W66" s="882"/>
      <c r="X66" s="882"/>
      <c r="Y66" s="882"/>
      <c r="Z66" s="882"/>
      <c r="AA66" s="882"/>
      <c r="AB66" s="882"/>
      <c r="AC66" s="882"/>
      <c r="AD66" s="882"/>
      <c r="AE66" s="882"/>
      <c r="AF66" s="882"/>
      <c r="AG66" s="882"/>
    </row>
    <row r="67" spans="1:36" s="718" customFormat="1" ht="12" x14ac:dyDescent="0.2">
      <c r="A67" s="878"/>
      <c r="B67" s="802" t="s">
        <v>7</v>
      </c>
      <c r="C67" s="806">
        <f>SUMPRODUCT(C91:C94,G91:G94)</f>
        <v>5.599468387118482</v>
      </c>
      <c r="D67" s="712">
        <f>G128</f>
        <v>6.6751897471668311</v>
      </c>
      <c r="E67" s="712">
        <f>M128</f>
        <v>8.0531644084315648</v>
      </c>
      <c r="F67" s="804">
        <f>D67/C67</f>
        <v>1.1921113373053476</v>
      </c>
      <c r="G67" s="1253">
        <f t="shared" si="3"/>
        <v>1.7727903264213696E-2</v>
      </c>
      <c r="H67" s="805">
        <f t="shared" si="4"/>
        <v>1.2064322833443935</v>
      </c>
      <c r="I67" s="1056">
        <f t="shared" si="5"/>
        <v>4.803488178929638E-2</v>
      </c>
      <c r="J67" s="882"/>
      <c r="Q67" s="882"/>
      <c r="R67" s="882"/>
      <c r="S67" s="931"/>
      <c r="T67" s="931"/>
      <c r="U67" s="931"/>
      <c r="V67" s="882"/>
      <c r="W67" s="882"/>
      <c r="X67" s="882"/>
      <c r="Y67" s="882"/>
      <c r="Z67" s="882"/>
      <c r="AA67" s="882"/>
      <c r="AB67" s="882"/>
      <c r="AC67" s="882"/>
      <c r="AD67" s="882"/>
      <c r="AE67" s="882"/>
      <c r="AF67" s="882"/>
      <c r="AG67" s="882"/>
      <c r="AH67" s="882"/>
      <c r="AI67" s="882"/>
      <c r="AJ67" s="882"/>
    </row>
    <row r="68" spans="1:36" s="718" customFormat="1" ht="12" x14ac:dyDescent="0.2">
      <c r="A68" s="878"/>
      <c r="B68" s="802" t="s">
        <v>8</v>
      </c>
      <c r="C68" s="803">
        <f>'Change in average single fare'!D128</f>
        <v>3.418732892023701</v>
      </c>
      <c r="D68" s="803">
        <f>'Change in average single fare'!H128</f>
        <v>2.5659120091153143</v>
      </c>
      <c r="E68" s="712">
        <f>'Change in average single fare'!N128</f>
        <v>3.5062260488331813</v>
      </c>
      <c r="F68" s="804">
        <f>D68/C68</f>
        <v>0.75054474571613461</v>
      </c>
      <c r="G68" s="1253">
        <f t="shared" si="3"/>
        <v>-2.8287792175498816E-2</v>
      </c>
      <c r="H68" s="805">
        <f t="shared" si="4"/>
        <v>1.3664638679648538</v>
      </c>
      <c r="I68" s="1056">
        <f t="shared" si="5"/>
        <v>8.1183820789292094E-2</v>
      </c>
      <c r="J68" s="882"/>
      <c r="Q68" s="882"/>
      <c r="R68" s="882"/>
      <c r="S68" s="931"/>
      <c r="T68" s="931"/>
      <c r="U68" s="931"/>
      <c r="V68" s="882"/>
      <c r="W68" s="882"/>
      <c r="X68" s="882"/>
      <c r="Y68" s="882"/>
      <c r="Z68" s="882"/>
      <c r="AA68" s="882"/>
      <c r="AB68" s="882"/>
      <c r="AC68" s="882"/>
      <c r="AD68" s="882"/>
      <c r="AE68" s="882"/>
      <c r="AF68" s="882"/>
      <c r="AG68" s="882"/>
      <c r="AH68" s="882"/>
      <c r="AI68" s="882"/>
      <c r="AJ68" s="882"/>
    </row>
    <row r="69" spans="1:36" s="718" customFormat="1" ht="12" x14ac:dyDescent="0.2">
      <c r="A69" s="878"/>
      <c r="B69" s="807" t="s">
        <v>660</v>
      </c>
      <c r="C69" s="808">
        <v>2.2999999999999998</v>
      </c>
      <c r="D69" s="809">
        <f>I128</f>
        <v>2.2400000000000002</v>
      </c>
      <c r="E69" s="810">
        <f>L130</f>
        <v>3.2</v>
      </c>
      <c r="F69" s="804">
        <f>D69/C69</f>
        <v>0.97391304347826102</v>
      </c>
      <c r="G69" s="1253">
        <f t="shared" si="3"/>
        <v>-2.6398351976143486E-3</v>
      </c>
      <c r="H69" s="805">
        <f t="shared" si="4"/>
        <v>1.4285714285714286</v>
      </c>
      <c r="I69" s="1056">
        <f t="shared" si="5"/>
        <v>9.3265113929093424E-2</v>
      </c>
      <c r="J69" s="882"/>
      <c r="S69" s="931" t="str">
        <f>'Contents, list of sources'!I491</f>
        <v>Review of fares for private ferry services and the Stockton ferry service for 2010</v>
      </c>
      <c r="T69" s="931"/>
      <c r="U69" s="931"/>
      <c r="V69" s="882"/>
      <c r="W69" s="882"/>
      <c r="X69" s="882"/>
      <c r="Y69" s="882"/>
      <c r="Z69" s="882"/>
      <c r="AA69" s="882"/>
      <c r="AB69" s="882"/>
      <c r="AC69" s="882"/>
      <c r="AD69" s="882"/>
      <c r="AE69" s="882"/>
      <c r="AF69" s="882"/>
      <c r="AG69" s="882"/>
      <c r="AH69" s="882"/>
      <c r="AI69" s="882"/>
      <c r="AJ69" s="882"/>
    </row>
    <row r="70" spans="1:36" s="718" customFormat="1" ht="12" x14ac:dyDescent="0.2">
      <c r="A70" s="878"/>
      <c r="B70" s="802" t="s">
        <v>4</v>
      </c>
      <c r="C70" s="712">
        <f>'Change in average single fare'!C128</f>
        <v>4.2875970840947746</v>
      </c>
      <c r="D70" s="712">
        <f>'Change in average single fare'!J128</f>
        <v>4.7050445834332422</v>
      </c>
      <c r="E70" s="712">
        <f>'Change in average single fare'!O128</f>
        <v>5.7101809570365418</v>
      </c>
      <c r="F70" s="804">
        <f>D70/C70</f>
        <v>1.0973616436318203</v>
      </c>
      <c r="G70" s="1253">
        <f t="shared" si="3"/>
        <v>9.3341734948209076E-3</v>
      </c>
      <c r="H70" s="805">
        <f t="shared" si="4"/>
        <v>1.2136295110023927</v>
      </c>
      <c r="I70" s="1056">
        <f t="shared" si="5"/>
        <v>4.959446569319037E-2</v>
      </c>
      <c r="J70" s="882"/>
      <c r="S70" s="931"/>
      <c r="T70" s="931"/>
      <c r="U70" s="931"/>
      <c r="V70" s="882"/>
      <c r="W70" s="882"/>
      <c r="X70" s="882"/>
      <c r="Y70" s="882"/>
      <c r="Z70" s="882"/>
      <c r="AA70" s="882"/>
      <c r="AB70" s="882"/>
      <c r="AC70" s="882"/>
      <c r="AD70" s="882"/>
      <c r="AE70" s="882"/>
      <c r="AF70" s="882"/>
      <c r="AG70" s="882"/>
      <c r="AH70" s="882"/>
      <c r="AI70" s="882"/>
      <c r="AJ70" s="882"/>
    </row>
    <row r="71" spans="1:36" s="718" customFormat="1" ht="12" x14ac:dyDescent="0.2">
      <c r="A71" s="878"/>
      <c r="B71" s="796" t="s">
        <v>699</v>
      </c>
      <c r="C71" s="797">
        <f>SUMPRODUCT($C$54:$C$58,C66:C70)</f>
        <v>3.8500853204957197</v>
      </c>
      <c r="D71" s="797">
        <f>SUMPRODUCT('Journey distribution (ex Gold)'!B4:F154, F130:J280)</f>
        <v>4.1925952397752626</v>
      </c>
      <c r="E71" s="797">
        <f>SUMPRODUCT($C$54:$C$58,E66:E70)</f>
        <v>5.1901147361596438</v>
      </c>
      <c r="F71" s="804">
        <f>D71/C71</f>
        <v>1.0889616439033727</v>
      </c>
      <c r="G71" s="811">
        <f t="shared" si="3"/>
        <v>8.5588817626536251E-3</v>
      </c>
      <c r="H71" s="805">
        <f t="shared" si="4"/>
        <v>1.2379241112809762</v>
      </c>
      <c r="I71" s="1105">
        <f>H71^(1/4)-1</f>
        <v>5.4808219810382086E-2</v>
      </c>
      <c r="J71" s="882"/>
      <c r="S71" s="931"/>
      <c r="T71" s="931"/>
      <c r="U71" s="931"/>
      <c r="V71" s="882"/>
      <c r="W71" s="882"/>
      <c r="X71" s="882"/>
      <c r="Y71" s="882"/>
      <c r="Z71" s="882"/>
      <c r="AA71" s="882"/>
      <c r="AB71" s="882"/>
      <c r="AC71" s="882"/>
      <c r="AD71" s="882"/>
      <c r="AE71" s="882"/>
      <c r="AF71" s="882"/>
      <c r="AG71" s="882"/>
    </row>
    <row r="72" spans="1:36" s="718" customFormat="1" ht="12" x14ac:dyDescent="0.2">
      <c r="A72" s="878"/>
      <c r="B72" s="812"/>
      <c r="C72" s="813"/>
      <c r="D72" s="814"/>
      <c r="E72" s="813"/>
      <c r="F72" s="815"/>
      <c r="G72" s="816"/>
      <c r="H72" s="817"/>
      <c r="I72" s="818">
        <f>H72^(1/10)-1</f>
        <v>-1</v>
      </c>
      <c r="J72" s="882"/>
      <c r="S72" s="931"/>
      <c r="T72" s="931"/>
      <c r="U72" s="931"/>
      <c r="V72" s="882"/>
      <c r="W72" s="882"/>
      <c r="X72" s="882"/>
      <c r="Y72" s="882"/>
      <c r="Z72" s="882"/>
      <c r="AA72" s="882"/>
      <c r="AB72" s="882"/>
      <c r="AC72" s="882"/>
      <c r="AD72" s="882"/>
      <c r="AE72" s="882"/>
      <c r="AF72" s="882"/>
      <c r="AG72" s="882"/>
    </row>
    <row r="73" spans="1:36" x14ac:dyDescent="0.2">
      <c r="B73" s="799"/>
      <c r="C73" s="799"/>
      <c r="D73" s="800"/>
      <c r="E73" s="799"/>
      <c r="F73" s="801"/>
      <c r="G73" s="694"/>
      <c r="H73" s="708"/>
      <c r="I73" s="794"/>
      <c r="S73" s="1216"/>
      <c r="T73" s="1216"/>
      <c r="U73" s="1216"/>
      <c r="V73" s="661"/>
      <c r="W73" s="661"/>
      <c r="X73" s="661"/>
      <c r="Y73" s="661"/>
      <c r="Z73" s="661"/>
      <c r="AA73" s="661"/>
      <c r="AB73" s="661"/>
      <c r="AC73" s="661"/>
      <c r="AD73" s="661"/>
      <c r="AE73" s="661"/>
      <c r="AF73" s="661"/>
      <c r="AG73" s="661"/>
    </row>
    <row r="74" spans="1:36" x14ac:dyDescent="0.2">
      <c r="B74" s="799"/>
      <c r="C74" s="799"/>
      <c r="D74" s="800"/>
      <c r="E74" s="799"/>
      <c r="F74" s="801"/>
      <c r="G74" s="694"/>
      <c r="H74" s="708"/>
      <c r="I74" s="794"/>
      <c r="S74" s="1216"/>
      <c r="T74" s="1216"/>
      <c r="U74" s="1216"/>
      <c r="V74" s="661"/>
      <c r="W74" s="661"/>
      <c r="X74" s="661"/>
      <c r="Y74" s="661"/>
      <c r="Z74" s="661"/>
      <c r="AA74" s="661"/>
      <c r="AB74" s="661"/>
      <c r="AC74" s="661"/>
      <c r="AD74" s="661"/>
      <c r="AE74" s="661"/>
      <c r="AF74" s="661"/>
      <c r="AG74" s="661"/>
    </row>
    <row r="75" spans="1:36" x14ac:dyDescent="0.2">
      <c r="C75" s="799"/>
      <c r="D75" s="800"/>
      <c r="E75" s="799"/>
      <c r="F75" s="801"/>
      <c r="G75" s="694"/>
      <c r="H75" s="708"/>
      <c r="I75" s="794"/>
      <c r="S75" s="1216"/>
      <c r="T75" s="1216"/>
      <c r="U75" s="1216"/>
      <c r="V75" s="661"/>
      <c r="W75" s="661"/>
      <c r="X75" s="661"/>
      <c r="Y75" s="661"/>
      <c r="Z75" s="661"/>
      <c r="AA75" s="661"/>
      <c r="AB75" s="661"/>
      <c r="AC75" s="661"/>
      <c r="AD75" s="661"/>
      <c r="AE75" s="661"/>
      <c r="AF75" s="661"/>
      <c r="AG75" s="661"/>
    </row>
    <row r="76" spans="1:36" ht="15" x14ac:dyDescent="0.2">
      <c r="B76" s="788" t="s">
        <v>938</v>
      </c>
      <c r="C76" s="799"/>
      <c r="D76" s="800"/>
      <c r="E76" s="799"/>
      <c r="F76" s="801"/>
      <c r="G76" s="694"/>
      <c r="H76" s="708"/>
      <c r="I76" s="794"/>
      <c r="S76" s="1216"/>
      <c r="T76" s="1216"/>
      <c r="U76" s="1216"/>
      <c r="V76" s="661"/>
      <c r="W76" s="661"/>
      <c r="X76" s="661"/>
      <c r="Y76" s="661"/>
      <c r="Z76" s="661"/>
      <c r="AA76" s="661"/>
      <c r="AB76" s="661"/>
      <c r="AC76" s="661"/>
      <c r="AD76" s="661"/>
      <c r="AE76" s="661"/>
      <c r="AF76" s="661"/>
      <c r="AG76" s="661"/>
    </row>
    <row r="77" spans="1:36" x14ac:dyDescent="0.2">
      <c r="B77" s="1089">
        <f>'IPART inputs'!G81^(1/10)-1</f>
        <v>2.1102744616831259E-2</v>
      </c>
      <c r="C77" s="799"/>
      <c r="D77" s="800"/>
      <c r="E77" s="799"/>
      <c r="F77" s="801"/>
      <c r="G77" s="694"/>
      <c r="H77" s="708"/>
      <c r="I77" s="794"/>
      <c r="S77" s="1216"/>
      <c r="T77" s="1216"/>
      <c r="U77" s="1216"/>
      <c r="V77" s="661"/>
      <c r="W77" s="661"/>
      <c r="X77" s="661"/>
      <c r="Y77" s="661"/>
      <c r="Z77" s="661"/>
      <c r="AA77" s="661"/>
      <c r="AB77" s="661"/>
      <c r="AC77" s="661"/>
      <c r="AD77" s="661"/>
      <c r="AE77" s="661"/>
      <c r="AF77" s="661"/>
      <c r="AG77" s="661"/>
    </row>
    <row r="78" spans="1:36" x14ac:dyDescent="0.2">
      <c r="B78" s="799"/>
      <c r="C78" s="799"/>
      <c r="D78" s="800"/>
      <c r="E78" s="799"/>
      <c r="F78" s="801"/>
      <c r="G78" s="694"/>
      <c r="H78" s="708"/>
      <c r="I78" s="794"/>
      <c r="S78" s="1216"/>
      <c r="T78" s="1216"/>
      <c r="U78" s="1216"/>
      <c r="V78" s="661"/>
      <c r="W78" s="661"/>
      <c r="X78" s="661"/>
      <c r="Y78" s="661"/>
      <c r="Z78" s="661"/>
      <c r="AA78" s="661"/>
      <c r="AB78" s="661"/>
      <c r="AC78" s="661"/>
      <c r="AD78" s="661"/>
      <c r="AE78" s="661"/>
      <c r="AF78" s="661"/>
      <c r="AG78" s="661"/>
    </row>
    <row r="79" spans="1:36" x14ac:dyDescent="0.2">
      <c r="B79" s="709"/>
      <c r="C79" s="667"/>
      <c r="D79" s="358"/>
      <c r="E79" s="358"/>
      <c r="S79" s="1266"/>
      <c r="T79" s="1216"/>
      <c r="U79" s="1216"/>
      <c r="V79" s="661"/>
      <c r="W79" s="661"/>
      <c r="X79" s="661"/>
      <c r="Y79" s="661"/>
      <c r="Z79" s="661"/>
      <c r="AA79" s="661"/>
      <c r="AB79" s="661"/>
      <c r="AC79" s="661"/>
      <c r="AD79" s="661"/>
      <c r="AE79" s="661"/>
      <c r="AF79" s="661"/>
      <c r="AG79" s="661"/>
    </row>
    <row r="80" spans="1:36" x14ac:dyDescent="0.2">
      <c r="B80" s="709"/>
      <c r="C80" s="667"/>
      <c r="D80" s="358"/>
      <c r="E80" s="358"/>
      <c r="S80" s="1267"/>
      <c r="T80" s="1216"/>
      <c r="U80" s="1216"/>
      <c r="V80" s="661"/>
      <c r="W80" s="661"/>
      <c r="X80" s="661"/>
      <c r="Y80" s="661"/>
      <c r="Z80" s="661"/>
      <c r="AA80" s="661"/>
      <c r="AB80" s="661"/>
      <c r="AC80" s="661"/>
      <c r="AD80" s="661"/>
      <c r="AE80" s="661"/>
      <c r="AF80" s="661"/>
      <c r="AG80" s="661"/>
    </row>
    <row r="81" spans="1:33" x14ac:dyDescent="0.2">
      <c r="B81" s="711" t="s">
        <v>659</v>
      </c>
      <c r="C81" s="703"/>
      <c r="D81" s="703"/>
      <c r="E81" s="703"/>
      <c r="F81" s="699"/>
      <c r="K81" s="694"/>
      <c r="L81" s="694"/>
      <c r="M81" s="694"/>
      <c r="N81" s="694"/>
      <c r="O81" s="694"/>
      <c r="S81" s="1267"/>
      <c r="T81" s="1216"/>
      <c r="U81" s="1216"/>
      <c r="V81" s="661"/>
      <c r="W81" s="661"/>
      <c r="X81" s="661"/>
      <c r="Y81" s="661"/>
      <c r="Z81" s="661"/>
      <c r="AA81" s="661"/>
      <c r="AB81" s="661"/>
      <c r="AC81" s="661"/>
      <c r="AD81" s="661"/>
      <c r="AE81" s="661"/>
      <c r="AF81" s="661"/>
      <c r="AG81" s="661"/>
    </row>
    <row r="82" spans="1:33" x14ac:dyDescent="0.2">
      <c r="B82" s="710">
        <f>-(N18/N20-1)</f>
        <v>0.11627295163435347</v>
      </c>
      <c r="C82" s="694"/>
      <c r="D82" s="694"/>
      <c r="E82" s="694"/>
      <c r="F82" s="692"/>
      <c r="K82" s="694"/>
      <c r="L82" s="694"/>
      <c r="M82" s="694"/>
      <c r="N82" s="694"/>
      <c r="O82" s="694"/>
      <c r="S82" s="1267"/>
      <c r="T82" s="1216"/>
      <c r="U82" s="1216"/>
      <c r="V82" s="661"/>
      <c r="W82" s="661"/>
      <c r="X82" s="661"/>
      <c r="Y82" s="661"/>
      <c r="Z82" s="661"/>
      <c r="AA82" s="661"/>
      <c r="AB82" s="661"/>
      <c r="AC82" s="661"/>
      <c r="AD82" s="661"/>
      <c r="AE82" s="661"/>
      <c r="AF82" s="661"/>
      <c r="AG82" s="661"/>
    </row>
    <row r="83" spans="1:33" x14ac:dyDescent="0.2">
      <c r="B83" s="695" t="s">
        <v>658</v>
      </c>
      <c r="C83" s="694"/>
      <c r="D83" s="694"/>
      <c r="E83" s="694"/>
      <c r="F83" s="692"/>
      <c r="K83" s="694"/>
      <c r="L83" s="694"/>
      <c r="M83" s="694"/>
      <c r="N83" s="694"/>
      <c r="O83" s="694"/>
      <c r="S83" s="1267"/>
      <c r="T83" s="1216"/>
      <c r="U83" s="1216"/>
      <c r="V83" s="661"/>
      <c r="W83" s="661"/>
      <c r="X83" s="661"/>
      <c r="Y83" s="661"/>
      <c r="Z83" s="661"/>
      <c r="AA83" s="661"/>
      <c r="AB83" s="661"/>
      <c r="AC83" s="661"/>
      <c r="AD83" s="661"/>
      <c r="AE83" s="661"/>
      <c r="AF83" s="661"/>
      <c r="AG83" s="661"/>
    </row>
    <row r="84" spans="1:33" x14ac:dyDescent="0.2">
      <c r="B84" s="691"/>
      <c r="C84" s="690"/>
      <c r="D84" s="690"/>
      <c r="E84" s="690"/>
      <c r="F84" s="688"/>
      <c r="K84" s="694"/>
      <c r="L84" s="694"/>
      <c r="M84" s="694"/>
      <c r="N84" s="694"/>
      <c r="O84" s="694"/>
      <c r="S84" s="1267"/>
      <c r="T84" s="1216"/>
      <c r="U84" s="1216"/>
      <c r="V84" s="661"/>
      <c r="W84" s="661"/>
      <c r="X84" s="661"/>
      <c r="Y84" s="661"/>
      <c r="Z84" s="661"/>
      <c r="AA84" s="661"/>
      <c r="AB84" s="661"/>
      <c r="AC84" s="661"/>
      <c r="AD84" s="661"/>
      <c r="AE84" s="661"/>
      <c r="AF84" s="661"/>
      <c r="AG84" s="661"/>
    </row>
    <row r="85" spans="1:33" ht="16.149999999999999" customHeight="1" x14ac:dyDescent="0.2">
      <c r="B85" s="709"/>
      <c r="C85" s="667"/>
      <c r="D85" s="358"/>
      <c r="E85" s="358"/>
      <c r="K85" s="694"/>
      <c r="L85" s="694"/>
      <c r="M85" s="694"/>
      <c r="N85" s="694"/>
      <c r="O85" s="694"/>
      <c r="S85" s="1267"/>
      <c r="T85" s="1216"/>
      <c r="U85" s="1216"/>
      <c r="V85" s="661"/>
      <c r="W85" s="661"/>
      <c r="X85" s="661"/>
      <c r="Y85" s="661"/>
      <c r="Z85" s="661"/>
      <c r="AA85" s="661"/>
      <c r="AB85" s="661"/>
      <c r="AC85" s="661"/>
      <c r="AD85" s="661"/>
      <c r="AE85" s="661"/>
      <c r="AF85" s="661"/>
      <c r="AG85" s="661"/>
    </row>
    <row r="86" spans="1:33" ht="16.149999999999999" customHeight="1" x14ac:dyDescent="0.2">
      <c r="B86" s="709"/>
      <c r="C86" s="667"/>
      <c r="D86" s="358"/>
      <c r="E86" s="358"/>
      <c r="K86" s="694"/>
      <c r="L86" s="694"/>
      <c r="M86" s="694"/>
      <c r="N86" s="694"/>
      <c r="O86" s="694"/>
      <c r="S86" s="1267"/>
      <c r="T86" s="1216"/>
      <c r="U86" s="1216"/>
      <c r="V86" s="661"/>
      <c r="W86" s="661"/>
      <c r="X86" s="661"/>
      <c r="Y86" s="661"/>
      <c r="Z86" s="661"/>
      <c r="AA86" s="661"/>
      <c r="AB86" s="661"/>
      <c r="AC86" s="661"/>
      <c r="AD86" s="661"/>
      <c r="AE86" s="661"/>
      <c r="AF86" s="661"/>
      <c r="AG86" s="661"/>
    </row>
    <row r="87" spans="1:33" x14ac:dyDescent="0.2">
      <c r="B87" s="709"/>
      <c r="C87" s="667"/>
      <c r="D87" s="358"/>
      <c r="E87" s="358"/>
      <c r="K87" s="694"/>
      <c r="L87" s="694"/>
      <c r="M87" s="694"/>
      <c r="N87" s="694"/>
      <c r="O87" s="694"/>
      <c r="S87" s="1267"/>
      <c r="T87" s="1216"/>
      <c r="U87" s="1216"/>
      <c r="V87" s="661"/>
      <c r="W87" s="661"/>
      <c r="X87" s="661"/>
      <c r="Y87" s="661"/>
      <c r="Z87" s="661"/>
      <c r="AA87" s="661"/>
      <c r="AB87" s="661"/>
      <c r="AC87" s="661"/>
      <c r="AD87" s="661"/>
      <c r="AE87" s="661"/>
      <c r="AF87" s="661"/>
      <c r="AG87" s="661"/>
    </row>
    <row r="88" spans="1:33" ht="15" x14ac:dyDescent="0.2">
      <c r="B88" s="788" t="s">
        <v>675</v>
      </c>
      <c r="S88" s="1216"/>
      <c r="T88" s="1216"/>
      <c r="U88" s="1216"/>
      <c r="V88" s="661"/>
      <c r="W88" s="661"/>
      <c r="X88" s="661"/>
      <c r="Y88" s="661"/>
      <c r="Z88" s="661"/>
      <c r="AA88" s="661"/>
      <c r="AB88" s="661"/>
      <c r="AC88" s="661"/>
      <c r="AD88" s="661"/>
      <c r="AE88" s="661"/>
      <c r="AF88" s="661"/>
      <c r="AG88" s="661"/>
    </row>
    <row r="89" spans="1:33" s="718" customFormat="1" ht="12" x14ac:dyDescent="0.2">
      <c r="A89" s="878"/>
      <c r="B89" s="879"/>
      <c r="C89" s="880" t="s">
        <v>667</v>
      </c>
      <c r="D89" s="880" t="s">
        <v>674</v>
      </c>
      <c r="E89" s="880"/>
      <c r="F89" s="880"/>
      <c r="G89" s="881"/>
      <c r="H89" s="882"/>
      <c r="I89" s="882"/>
      <c r="J89" s="882"/>
      <c r="S89" s="931"/>
      <c r="T89" s="931"/>
      <c r="U89" s="931"/>
      <c r="V89" s="882"/>
      <c r="W89" s="882"/>
      <c r="X89" s="882"/>
      <c r="Y89" s="882"/>
      <c r="Z89" s="882"/>
      <c r="AA89" s="882"/>
      <c r="AB89" s="882"/>
      <c r="AC89" s="882"/>
      <c r="AD89" s="882"/>
      <c r="AE89" s="882"/>
      <c r="AF89" s="882"/>
      <c r="AG89" s="882"/>
    </row>
    <row r="90" spans="1:33" s="718" customFormat="1" ht="12" x14ac:dyDescent="0.2">
      <c r="A90" s="878"/>
      <c r="B90" s="807"/>
      <c r="C90" s="892"/>
      <c r="D90" s="892" t="s">
        <v>822</v>
      </c>
      <c r="E90" s="892"/>
      <c r="F90" s="892" t="s">
        <v>823</v>
      </c>
      <c r="G90" s="893"/>
      <c r="H90" s="882"/>
      <c r="I90" s="882"/>
      <c r="J90" s="882"/>
      <c r="S90" s="931"/>
      <c r="T90" s="1268"/>
      <c r="U90" s="931"/>
      <c r="V90" s="882"/>
      <c r="W90" s="882"/>
      <c r="X90" s="882"/>
      <c r="Y90" s="882"/>
      <c r="Z90" s="882"/>
      <c r="AA90" s="882"/>
      <c r="AB90" s="882"/>
      <c r="AC90" s="882"/>
      <c r="AD90" s="882"/>
      <c r="AE90" s="882"/>
      <c r="AF90" s="882"/>
      <c r="AG90" s="882"/>
    </row>
    <row r="91" spans="1:33" s="718" customFormat="1" ht="12" x14ac:dyDescent="0.2">
      <c r="A91" s="878"/>
      <c r="B91" s="807" t="s">
        <v>670</v>
      </c>
      <c r="C91" s="810">
        <f>'Historical fare comparison'!F54</f>
        <v>5.2</v>
      </c>
      <c r="D91" s="883">
        <v>182382</v>
      </c>
      <c r="E91" s="1090">
        <f>D91/SUM($D$91:$D$94)</f>
        <v>0.64573257518357752</v>
      </c>
      <c r="F91" s="883">
        <v>156184</v>
      </c>
      <c r="G91" s="1100">
        <f>F91/$F$95</f>
        <v>0.6568783725243621</v>
      </c>
      <c r="S91" s="931" t="str">
        <f>'Contents, list of sources'!I495</f>
        <v>Opal data - IPART data request  - weekly data for sample weeks between Jan and June 2019</v>
      </c>
      <c r="T91" s="931"/>
      <c r="U91" s="931"/>
      <c r="V91" s="882"/>
      <c r="W91" s="882"/>
      <c r="X91" s="882"/>
      <c r="Y91" s="882"/>
      <c r="Z91" s="882"/>
      <c r="AA91" s="882"/>
      <c r="AB91" s="882"/>
      <c r="AC91" s="882"/>
      <c r="AD91" s="882"/>
      <c r="AE91" s="882"/>
      <c r="AF91" s="882"/>
      <c r="AG91" s="882"/>
    </row>
    <row r="92" spans="1:33" s="718" customFormat="1" ht="18.75" customHeight="1" x14ac:dyDescent="0.2">
      <c r="A92" s="878"/>
      <c r="B92" s="807" t="s">
        <v>671</v>
      </c>
      <c r="C92" s="810">
        <f>'Historical fare comparison'!F55</f>
        <v>5.5</v>
      </c>
      <c r="D92" s="883">
        <v>4906</v>
      </c>
      <c r="E92" s="1090">
        <f t="shared" ref="E92:E94" si="6">D92/SUM($D$91:$D$94)</f>
        <v>1.7369937898754434E-2</v>
      </c>
      <c r="F92" s="883">
        <v>4129</v>
      </c>
      <c r="G92" s="1100">
        <f t="shared" ref="G92:G94" si="7">F92/$F$95</f>
        <v>1.7365740409728853E-2</v>
      </c>
      <c r="S92" s="1333" t="s">
        <v>977</v>
      </c>
      <c r="T92" s="1270"/>
      <c r="U92" s="1271"/>
      <c r="V92" s="1264"/>
      <c r="W92" s="882"/>
      <c r="X92" s="882"/>
      <c r="Y92" s="882"/>
      <c r="Z92" s="882"/>
      <c r="AA92" s="882"/>
      <c r="AB92" s="882"/>
      <c r="AC92" s="882"/>
      <c r="AD92" s="882"/>
      <c r="AE92" s="882"/>
      <c r="AF92" s="882"/>
      <c r="AG92" s="882"/>
    </row>
    <row r="93" spans="1:33" s="718" customFormat="1" ht="12" x14ac:dyDescent="0.2">
      <c r="A93" s="878"/>
      <c r="B93" s="807" t="s">
        <v>672</v>
      </c>
      <c r="C93" s="810">
        <f>'Historical fare comparison'!F56</f>
        <v>6.4</v>
      </c>
      <c r="D93" s="883">
        <v>94271</v>
      </c>
      <c r="E93" s="1090">
        <f t="shared" si="6"/>
        <v>0.3337711813398857</v>
      </c>
      <c r="F93" s="883">
        <v>76841</v>
      </c>
      <c r="G93" s="1100">
        <f t="shared" si="7"/>
        <v>0.32317773282246903</v>
      </c>
      <c r="S93" s="1333"/>
      <c r="T93" s="1270"/>
      <c r="U93" s="1271"/>
      <c r="V93" s="1264"/>
      <c r="W93" s="882"/>
      <c r="X93" s="882"/>
      <c r="Y93" s="882"/>
      <c r="Z93" s="882"/>
      <c r="AA93" s="882"/>
      <c r="AB93" s="882"/>
      <c r="AC93" s="882"/>
      <c r="AD93" s="882"/>
      <c r="AE93" s="882"/>
      <c r="AF93" s="882"/>
      <c r="AG93" s="882"/>
    </row>
    <row r="94" spans="1:33" s="718" customFormat="1" ht="12" x14ac:dyDescent="0.2">
      <c r="A94" s="878"/>
      <c r="B94" s="807" t="s">
        <v>469</v>
      </c>
      <c r="C94" s="810">
        <f>'Historical fare comparison'!F57</f>
        <v>7.7</v>
      </c>
      <c r="D94" s="883">
        <v>883</v>
      </c>
      <c r="E94" s="1090">
        <f t="shared" si="6"/>
        <v>3.1263055777823413E-3</v>
      </c>
      <c r="F94" s="883">
        <v>613</v>
      </c>
      <c r="G94" s="1100">
        <f t="shared" si="7"/>
        <v>2.5781542434400065E-3</v>
      </c>
      <c r="S94" s="1333"/>
      <c r="T94" s="1270"/>
      <c r="U94" s="1271"/>
      <c r="V94" s="1264"/>
      <c r="W94" s="882"/>
      <c r="X94" s="882"/>
      <c r="Y94" s="882"/>
      <c r="Z94" s="882"/>
      <c r="AA94" s="882"/>
      <c r="AB94" s="882"/>
      <c r="AC94" s="882"/>
      <c r="AD94" s="882"/>
      <c r="AE94" s="882"/>
      <c r="AF94" s="882"/>
      <c r="AG94" s="882"/>
    </row>
    <row r="95" spans="1:33" s="718" customFormat="1" ht="12" x14ac:dyDescent="0.2">
      <c r="A95" s="878"/>
      <c r="B95" s="59"/>
      <c r="C95" s="60"/>
      <c r="D95" s="1103">
        <f>SUM(D91:D94)</f>
        <v>282442</v>
      </c>
      <c r="E95" s="1091">
        <f>SUM(E91:E94)</f>
        <v>1</v>
      </c>
      <c r="F95" s="1103">
        <f>SUM(F91:F94)</f>
        <v>237767</v>
      </c>
      <c r="G95" s="1101">
        <f>SUM(G91:G94)</f>
        <v>1</v>
      </c>
      <c r="H95" s="884"/>
      <c r="I95" s="884"/>
      <c r="J95" s="4"/>
      <c r="K95" s="4"/>
      <c r="L95" s="4"/>
      <c r="M95" s="4"/>
      <c r="N95" s="4"/>
      <c r="O95" s="884"/>
      <c r="P95" s="884"/>
      <c r="S95" s="1333"/>
      <c r="T95" s="1272"/>
      <c r="U95" s="1271"/>
      <c r="V95" s="1264"/>
      <c r="W95" s="882"/>
      <c r="X95" s="882"/>
      <c r="Y95" s="882"/>
      <c r="Z95" s="882"/>
      <c r="AA95" s="882"/>
      <c r="AB95" s="882"/>
      <c r="AC95" s="882"/>
      <c r="AD95" s="882"/>
      <c r="AE95" s="882"/>
      <c r="AF95" s="882"/>
      <c r="AG95" s="882"/>
    </row>
    <row r="96" spans="1:33" ht="15" x14ac:dyDescent="0.25">
      <c r="B96" s="667"/>
      <c r="C96" s="667"/>
      <c r="D96" s="705"/>
      <c r="E96" s="705"/>
      <c r="F96" s="1102"/>
      <c r="G96" s="705"/>
      <c r="H96" s="705"/>
      <c r="I96" s="705"/>
      <c r="J96" s="27"/>
      <c r="K96" s="667"/>
      <c r="L96" s="358"/>
      <c r="M96" s="358"/>
      <c r="N96" s="667"/>
      <c r="O96" s="705"/>
      <c r="P96" s="705"/>
      <c r="S96" s="1333"/>
      <c r="T96" s="1273"/>
      <c r="U96" s="1274"/>
      <c r="V96" s="677"/>
      <c r="W96" s="677"/>
      <c r="X96" s="661"/>
      <c r="Y96" s="661"/>
      <c r="Z96" s="661"/>
      <c r="AA96" s="661"/>
      <c r="AB96" s="661"/>
      <c r="AC96" s="661"/>
      <c r="AD96" s="661"/>
      <c r="AE96" s="661"/>
      <c r="AF96" s="661"/>
      <c r="AG96" s="661"/>
    </row>
    <row r="97" spans="1:33" x14ac:dyDescent="0.2">
      <c r="B97" s="667"/>
      <c r="C97" s="667"/>
      <c r="D97" s="667"/>
      <c r="E97" s="667"/>
      <c r="F97" s="705"/>
      <c r="G97" s="667"/>
      <c r="H97" s="667"/>
      <c r="I97" s="667"/>
      <c r="J97" s="667"/>
      <c r="K97" s="667"/>
      <c r="L97" s="667"/>
      <c r="M97" s="667"/>
      <c r="N97" s="667"/>
      <c r="O97" s="667"/>
      <c r="P97" s="667"/>
      <c r="S97" s="1333"/>
      <c r="T97" s="1269"/>
      <c r="U97" s="1129"/>
      <c r="V97" s="677"/>
      <c r="W97" s="677"/>
      <c r="X97" s="661"/>
      <c r="Y97" s="661"/>
      <c r="Z97" s="661"/>
      <c r="AA97" s="661"/>
      <c r="AB97" s="661"/>
      <c r="AC97" s="661"/>
      <c r="AD97" s="661"/>
      <c r="AE97" s="661"/>
      <c r="AF97" s="661"/>
      <c r="AG97" s="661"/>
    </row>
    <row r="98" spans="1:33" x14ac:dyDescent="0.2">
      <c r="B98" s="667"/>
      <c r="D98" s="667"/>
      <c r="E98" s="667"/>
      <c r="F98" s="705"/>
      <c r="G98" s="667"/>
      <c r="H98" s="667"/>
      <c r="I98" s="667"/>
      <c r="J98" s="667"/>
      <c r="K98" s="667"/>
      <c r="L98" s="667"/>
      <c r="M98" s="667"/>
      <c r="N98" s="667"/>
      <c r="O98" s="667"/>
      <c r="P98" s="667"/>
      <c r="S98" s="1269"/>
      <c r="T98" s="1269"/>
      <c r="U98" s="1129"/>
      <c r="V98" s="677"/>
      <c r="W98" s="677"/>
      <c r="X98" s="661"/>
      <c r="Y98" s="661"/>
      <c r="Z98" s="661"/>
      <c r="AA98" s="661"/>
      <c r="AB98" s="661"/>
      <c r="AC98" s="661"/>
      <c r="AD98" s="661"/>
      <c r="AE98" s="661"/>
      <c r="AF98" s="661"/>
      <c r="AG98" s="661"/>
    </row>
    <row r="99" spans="1:33" ht="15" x14ac:dyDescent="0.2">
      <c r="B99" s="788" t="s">
        <v>654</v>
      </c>
      <c r="C99" s="661"/>
      <c r="H99" s="663"/>
      <c r="I99" s="660"/>
      <c r="J99" s="660"/>
      <c r="L99" s="667"/>
      <c r="M99" s="667"/>
      <c r="N99" s="667"/>
      <c r="O99" s="667"/>
      <c r="P99" s="667"/>
      <c r="S99" s="1129"/>
      <c r="T99" s="1129"/>
      <c r="U99" s="1129"/>
      <c r="V99" s="677"/>
      <c r="W99" s="677"/>
      <c r="X99" s="661"/>
      <c r="Y99" s="661"/>
      <c r="Z99" s="661"/>
      <c r="AA99" s="661"/>
      <c r="AB99" s="661"/>
      <c r="AC99" s="661"/>
      <c r="AD99" s="661"/>
      <c r="AE99" s="661"/>
      <c r="AF99" s="661"/>
      <c r="AG99" s="661"/>
    </row>
    <row r="100" spans="1:33" x14ac:dyDescent="0.2">
      <c r="B100" s="704"/>
      <c r="C100" s="700" t="s">
        <v>652</v>
      </c>
      <c r="D100" s="700" t="s">
        <v>651</v>
      </c>
      <c r="E100" s="700"/>
      <c r="F100" s="700" t="str">
        <f>'Journey distribution (ex Gold)'!C3</f>
        <v>Ferry</v>
      </c>
      <c r="G100" s="700"/>
      <c r="H100" s="703"/>
      <c r="I100" s="702" t="s">
        <v>4</v>
      </c>
      <c r="J100" s="701"/>
      <c r="K100" s="700"/>
      <c r="L100" s="668"/>
      <c r="M100" s="672"/>
      <c r="N100" s="667"/>
      <c r="O100" s="667"/>
      <c r="P100" s="667"/>
      <c r="S100" s="931" t="str">
        <f>M7</f>
        <v>Schedule of Fares - Light Rail</v>
      </c>
      <c r="T100" s="931"/>
      <c r="U100" s="1216"/>
      <c r="V100" s="882"/>
      <c r="W100" s="882"/>
      <c r="X100" s="882"/>
      <c r="Y100" s="882"/>
      <c r="Z100" s="882"/>
      <c r="AA100" s="882"/>
      <c r="AB100" s="882"/>
      <c r="AC100" s="661"/>
      <c r="AD100" s="661"/>
      <c r="AE100" s="661"/>
      <c r="AF100" s="661"/>
      <c r="AG100" s="661"/>
    </row>
    <row r="101" spans="1:33" x14ac:dyDescent="0.2">
      <c r="B101" s="695" t="s">
        <v>458</v>
      </c>
      <c r="C101" s="1092">
        <v>2009</v>
      </c>
      <c r="D101" s="1092">
        <v>2019</v>
      </c>
      <c r="E101" s="1092">
        <v>2024</v>
      </c>
      <c r="F101" s="1092" t="s">
        <v>458</v>
      </c>
      <c r="G101" s="1092">
        <v>2019</v>
      </c>
      <c r="H101" s="1092">
        <v>2024</v>
      </c>
      <c r="I101" s="1092" t="s">
        <v>458</v>
      </c>
      <c r="J101" s="1092">
        <v>2009</v>
      </c>
      <c r="K101" s="1092" t="s">
        <v>458</v>
      </c>
      <c r="L101" s="1093">
        <v>2019</v>
      </c>
      <c r="M101" s="1094">
        <v>2024</v>
      </c>
      <c r="N101" s="667"/>
      <c r="O101" s="667"/>
      <c r="P101" s="667"/>
      <c r="Q101" s="667"/>
      <c r="R101" s="667"/>
      <c r="S101" s="667"/>
      <c r="T101" s="667"/>
      <c r="U101" s="667"/>
    </row>
    <row r="102" spans="1:33" x14ac:dyDescent="0.2">
      <c r="B102" s="695">
        <v>0</v>
      </c>
      <c r="C102" s="355">
        <v>3.2</v>
      </c>
      <c r="D102" s="906">
        <f>'Determined fares'!C37</f>
        <v>2.2400000000000002</v>
      </c>
      <c r="E102" s="906">
        <f>'Determined fares'!D37</f>
        <v>3.2</v>
      </c>
      <c r="F102" s="694">
        <v>0</v>
      </c>
      <c r="G102" s="795">
        <f>'Determined fares'!C30</f>
        <v>6.12</v>
      </c>
      <c r="H102" s="795">
        <f>'Determined fares'!D30</f>
        <v>7.4</v>
      </c>
      <c r="I102" s="693">
        <f>'Historical fare comparison'!C62</f>
        <v>0</v>
      </c>
      <c r="J102" s="693">
        <f>'Historical fare comparison'!F62</f>
        <v>3.2</v>
      </c>
      <c r="K102" s="694">
        <v>0</v>
      </c>
      <c r="L102" s="706">
        <f>'Determined fares'!C21</f>
        <v>3.61</v>
      </c>
      <c r="M102" s="907">
        <f>'Determined fares'!D21</f>
        <v>4.4000000000000004</v>
      </c>
      <c r="N102" s="667"/>
      <c r="O102" s="667"/>
      <c r="P102" s="667"/>
      <c r="Q102" s="667"/>
      <c r="R102" s="667"/>
      <c r="S102" s="667"/>
      <c r="T102" s="667"/>
      <c r="U102" s="667"/>
    </row>
    <row r="103" spans="1:33" x14ac:dyDescent="0.2">
      <c r="B103" s="695">
        <v>3</v>
      </c>
      <c r="C103" s="355">
        <v>4.2</v>
      </c>
      <c r="D103" s="906">
        <f>'Determined fares'!C38</f>
        <v>3.73</v>
      </c>
      <c r="E103" s="906">
        <f>'Determined fares'!D38</f>
        <v>4.5999999999999996</v>
      </c>
      <c r="F103" s="694">
        <v>9</v>
      </c>
      <c r="G103" s="795">
        <f>'Determined fares'!C31</f>
        <v>7.65</v>
      </c>
      <c r="H103" s="795">
        <f>'Determined fares'!D31</f>
        <v>9.1999999999999993</v>
      </c>
      <c r="I103" s="693">
        <f>'Historical fare comparison'!C63</f>
        <v>5</v>
      </c>
      <c r="J103" s="693">
        <f>'Historical fare comparison'!F63</f>
        <v>3.4</v>
      </c>
      <c r="K103" s="694">
        <v>10</v>
      </c>
      <c r="L103" s="706">
        <f>'Determined fares'!C22</f>
        <v>4.4800000000000004</v>
      </c>
      <c r="M103" s="907">
        <f>'Determined fares'!D22</f>
        <v>5.4</v>
      </c>
      <c r="N103" s="667"/>
      <c r="O103" s="667"/>
      <c r="P103" s="667"/>
      <c r="Q103" s="667"/>
      <c r="R103" s="667"/>
      <c r="S103" s="667"/>
      <c r="T103" s="667"/>
      <c r="U103" s="667"/>
    </row>
    <row r="104" spans="1:33" x14ac:dyDescent="0.2">
      <c r="A104" s="660"/>
      <c r="B104" s="695">
        <v>8</v>
      </c>
      <c r="C104" s="355">
        <f>C103</f>
        <v>4.2</v>
      </c>
      <c r="D104" s="906">
        <f>'Determined fares'!C39</f>
        <v>4.8</v>
      </c>
      <c r="E104" s="906">
        <f>'Determined fares'!D39</f>
        <v>6</v>
      </c>
      <c r="F104" s="698"/>
      <c r="G104" s="694"/>
      <c r="H104" s="694"/>
      <c r="I104" s="693">
        <f>'Historical fare comparison'!C64</f>
        <v>10</v>
      </c>
      <c r="J104" s="693">
        <f>'Historical fare comparison'!F64</f>
        <v>3.8</v>
      </c>
      <c r="K104" s="694">
        <v>20</v>
      </c>
      <c r="L104" s="706">
        <f>'Determined fares'!C23</f>
        <v>5.15</v>
      </c>
      <c r="M104" s="907">
        <f>'Determined fares'!D23</f>
        <v>6.3</v>
      </c>
      <c r="N104" s="667"/>
      <c r="O104" s="667"/>
      <c r="P104" s="667"/>
      <c r="Q104" s="667"/>
      <c r="R104" s="667"/>
      <c r="S104" s="667"/>
      <c r="T104" s="667"/>
      <c r="U104" s="667"/>
    </row>
    <row r="105" spans="1:33" x14ac:dyDescent="0.2">
      <c r="A105" s="660"/>
      <c r="B105" s="695"/>
      <c r="C105" s="694"/>
      <c r="D105" s="696"/>
      <c r="E105" s="696"/>
      <c r="F105" s="696"/>
      <c r="G105" s="694"/>
      <c r="H105" s="694"/>
      <c r="I105" s="693">
        <f>'Historical fare comparison'!C65</f>
        <v>15</v>
      </c>
      <c r="J105" s="693">
        <f>'Historical fare comparison'!F65</f>
        <v>4</v>
      </c>
      <c r="K105" s="694">
        <v>35</v>
      </c>
      <c r="L105" s="706">
        <f>'Determined fares'!C24</f>
        <v>6.89</v>
      </c>
      <c r="M105" s="907">
        <f>'Determined fares'!D24</f>
        <v>8.3000000000000007</v>
      </c>
      <c r="N105" s="667"/>
      <c r="O105" s="667"/>
      <c r="P105" s="667"/>
      <c r="Q105" s="667"/>
      <c r="R105" s="667"/>
      <c r="S105" s="667"/>
      <c r="T105" s="667"/>
      <c r="U105" s="667"/>
    </row>
    <row r="106" spans="1:33" x14ac:dyDescent="0.2">
      <c r="A106" s="660"/>
      <c r="B106" s="695"/>
      <c r="C106" s="694"/>
      <c r="D106" s="696"/>
      <c r="E106" s="696"/>
      <c r="F106" s="696"/>
      <c r="G106" s="694"/>
      <c r="H106" s="694"/>
      <c r="I106" s="693">
        <f>'Historical fare comparison'!C66</f>
        <v>20</v>
      </c>
      <c r="J106" s="693">
        <f>'Historical fare comparison'!F66</f>
        <v>4.4000000000000004</v>
      </c>
      <c r="K106" s="694">
        <v>65</v>
      </c>
      <c r="L106" s="706">
        <f>'Determined fares'!C25</f>
        <v>8.86</v>
      </c>
      <c r="M106" s="907">
        <f>'Determined fares'!D25</f>
        <v>10.7</v>
      </c>
      <c r="N106" s="667"/>
      <c r="O106" s="667"/>
      <c r="P106" s="667"/>
      <c r="Q106" s="667"/>
      <c r="R106" s="667"/>
      <c r="S106" s="667"/>
      <c r="T106" s="667"/>
      <c r="U106" s="667"/>
    </row>
    <row r="107" spans="1:33" x14ac:dyDescent="0.2">
      <c r="A107" s="660"/>
      <c r="B107" s="697"/>
      <c r="C107" s="696"/>
      <c r="D107" s="696"/>
      <c r="E107" s="696"/>
      <c r="F107" s="694"/>
      <c r="G107" s="694"/>
      <c r="H107" s="694"/>
      <c r="I107" s="693">
        <f>'Historical fare comparison'!C67</f>
        <v>25</v>
      </c>
      <c r="J107" s="693">
        <f>'Historical fare comparison'!F67</f>
        <v>4.8</v>
      </c>
      <c r="K107" s="694"/>
      <c r="L107" s="669"/>
      <c r="M107" s="673"/>
      <c r="N107" s="667"/>
      <c r="O107" s="667"/>
      <c r="P107" s="667"/>
      <c r="Q107" s="667"/>
      <c r="R107" s="667"/>
      <c r="S107" s="667"/>
      <c r="T107" s="667"/>
      <c r="U107" s="667"/>
    </row>
    <row r="108" spans="1:33" x14ac:dyDescent="0.2">
      <c r="A108" s="660"/>
      <c r="B108" s="695"/>
      <c r="C108" s="694"/>
      <c r="D108" s="694"/>
      <c r="E108" s="694"/>
      <c r="F108" s="694"/>
      <c r="G108" s="694"/>
      <c r="H108" s="694"/>
      <c r="I108" s="693">
        <f>'Historical fare comparison'!C68</f>
        <v>30</v>
      </c>
      <c r="J108" s="693">
        <f>'Historical fare comparison'!F68</f>
        <v>5</v>
      </c>
      <c r="K108" s="694"/>
      <c r="L108" s="669"/>
      <c r="M108" s="673"/>
      <c r="N108" s="667"/>
      <c r="O108" s="667"/>
      <c r="P108" s="667"/>
      <c r="Q108" s="667"/>
      <c r="R108" s="667"/>
      <c r="S108" s="667"/>
      <c r="T108" s="667"/>
      <c r="U108" s="667"/>
    </row>
    <row r="109" spans="1:33" x14ac:dyDescent="0.2">
      <c r="A109" s="660"/>
      <c r="B109" s="695"/>
      <c r="C109" s="694"/>
      <c r="D109" s="694"/>
      <c r="E109" s="694"/>
      <c r="F109" s="694"/>
      <c r="G109" s="694"/>
      <c r="H109" s="694"/>
      <c r="I109" s="693">
        <f>'Historical fare comparison'!C69</f>
        <v>35</v>
      </c>
      <c r="J109" s="693">
        <f>'Historical fare comparison'!F69</f>
        <v>5.6</v>
      </c>
      <c r="K109" s="694"/>
      <c r="L109" s="669"/>
      <c r="M109" s="673"/>
      <c r="N109" s="667"/>
      <c r="O109" s="667"/>
      <c r="P109" s="667"/>
      <c r="Q109" s="667"/>
      <c r="R109" s="667"/>
      <c r="S109" s="667"/>
      <c r="T109" s="667"/>
      <c r="U109" s="667"/>
    </row>
    <row r="110" spans="1:33" x14ac:dyDescent="0.2">
      <c r="A110" s="660"/>
      <c r="B110" s="695"/>
      <c r="C110" s="694"/>
      <c r="D110" s="694"/>
      <c r="E110" s="694"/>
      <c r="F110" s="694"/>
      <c r="G110" s="694"/>
      <c r="H110" s="694"/>
      <c r="I110" s="693">
        <f>'Historical fare comparison'!C70</f>
        <v>45</v>
      </c>
      <c r="J110" s="693">
        <f>'Historical fare comparison'!F70</f>
        <v>6.6</v>
      </c>
      <c r="K110" s="693"/>
      <c r="L110" s="669"/>
      <c r="M110" s="673"/>
      <c r="N110" s="667"/>
      <c r="O110" s="667"/>
      <c r="P110" s="667"/>
      <c r="Q110" s="667"/>
      <c r="R110" s="667"/>
      <c r="S110" s="667"/>
      <c r="T110" s="667"/>
      <c r="U110" s="667"/>
    </row>
    <row r="111" spans="1:33" x14ac:dyDescent="0.2">
      <c r="A111" s="660"/>
      <c r="B111" s="695"/>
      <c r="C111" s="694"/>
      <c r="D111" s="694"/>
      <c r="E111" s="694"/>
      <c r="F111" s="694"/>
      <c r="G111" s="694"/>
      <c r="H111" s="694"/>
      <c r="I111" s="693">
        <f>'Historical fare comparison'!C71</f>
        <v>55</v>
      </c>
      <c r="J111" s="693">
        <f>'Historical fare comparison'!F71</f>
        <v>7.2</v>
      </c>
      <c r="K111" s="693"/>
      <c r="L111" s="669"/>
      <c r="M111" s="673"/>
      <c r="N111" s="667"/>
      <c r="O111" s="667"/>
      <c r="P111" s="667"/>
      <c r="Q111" s="667"/>
      <c r="R111" s="667"/>
      <c r="S111" s="667"/>
      <c r="T111" s="667"/>
      <c r="U111" s="667"/>
    </row>
    <row r="112" spans="1:33" x14ac:dyDescent="0.2">
      <c r="A112" s="660"/>
      <c r="B112" s="695"/>
      <c r="C112" s="694"/>
      <c r="D112" s="694"/>
      <c r="E112" s="694"/>
      <c r="F112" s="694"/>
      <c r="G112" s="694"/>
      <c r="H112" s="694"/>
      <c r="I112" s="693">
        <f>'Historical fare comparison'!C72</f>
        <v>65</v>
      </c>
      <c r="J112" s="693">
        <f>'Historical fare comparison'!F72</f>
        <v>8.6</v>
      </c>
      <c r="K112" s="693"/>
      <c r="L112" s="669"/>
      <c r="M112" s="673"/>
      <c r="N112" s="667"/>
      <c r="O112" s="667"/>
      <c r="P112" s="667"/>
      <c r="Q112" s="667"/>
      <c r="R112" s="667"/>
      <c r="S112" s="667"/>
      <c r="T112" s="667"/>
      <c r="U112" s="667"/>
    </row>
    <row r="113" spans="1:33" x14ac:dyDescent="0.2">
      <c r="A113" s="660"/>
      <c r="B113" s="695"/>
      <c r="C113" s="694"/>
      <c r="D113" s="694"/>
      <c r="E113" s="694"/>
      <c r="F113" s="694"/>
      <c r="G113" s="694"/>
      <c r="H113" s="694"/>
      <c r="I113" s="693">
        <f>'Historical fare comparison'!C73</f>
        <v>75</v>
      </c>
      <c r="J113" s="693">
        <f>'Historical fare comparison'!F73</f>
        <v>9.6</v>
      </c>
      <c r="K113" s="693"/>
      <c r="L113" s="669"/>
      <c r="M113" s="673"/>
      <c r="N113" s="667"/>
      <c r="O113" s="667"/>
      <c r="P113" s="667"/>
      <c r="Q113" s="667"/>
      <c r="R113" s="667"/>
      <c r="S113" s="667"/>
      <c r="T113" s="667"/>
      <c r="U113" s="667"/>
    </row>
    <row r="114" spans="1:33" x14ac:dyDescent="0.2">
      <c r="A114" s="660"/>
      <c r="B114" s="695"/>
      <c r="C114" s="694"/>
      <c r="D114" s="694"/>
      <c r="E114" s="694"/>
      <c r="F114" s="694"/>
      <c r="G114" s="694"/>
      <c r="H114" s="694"/>
      <c r="I114" s="693">
        <f>'Historical fare comparison'!C74</f>
        <v>85</v>
      </c>
      <c r="J114" s="693">
        <f>'Historical fare comparison'!F74</f>
        <v>10.6</v>
      </c>
      <c r="K114" s="693"/>
      <c r="L114" s="669"/>
      <c r="M114" s="673"/>
      <c r="N114" s="667"/>
      <c r="O114" s="667"/>
      <c r="P114" s="667"/>
      <c r="Q114" s="667"/>
      <c r="R114" s="667"/>
      <c r="S114" s="667"/>
      <c r="T114" s="667"/>
      <c r="U114" s="667"/>
    </row>
    <row r="115" spans="1:33" x14ac:dyDescent="0.2">
      <c r="A115" s="660"/>
      <c r="B115" s="695"/>
      <c r="C115" s="694"/>
      <c r="D115" s="694"/>
      <c r="E115" s="694"/>
      <c r="F115" s="694"/>
      <c r="G115" s="694"/>
      <c r="H115" s="694"/>
      <c r="I115" s="693">
        <f>'Historical fare comparison'!C75</f>
        <v>95</v>
      </c>
      <c r="J115" s="693">
        <f>'Historical fare comparison'!F75</f>
        <v>11</v>
      </c>
      <c r="K115" s="693"/>
      <c r="L115" s="669"/>
      <c r="M115" s="673"/>
      <c r="N115" s="667"/>
      <c r="O115" s="667"/>
      <c r="P115" s="667"/>
      <c r="Q115" s="667"/>
      <c r="R115" s="667"/>
      <c r="S115" s="667"/>
      <c r="T115" s="667"/>
      <c r="U115" s="667"/>
    </row>
    <row r="116" spans="1:33" x14ac:dyDescent="0.2">
      <c r="A116" s="660"/>
      <c r="B116" s="695"/>
      <c r="C116" s="694"/>
      <c r="D116" s="694"/>
      <c r="E116" s="694"/>
      <c r="F116" s="694"/>
      <c r="G116" s="694"/>
      <c r="H116" s="694"/>
      <c r="I116" s="693">
        <f>'Historical fare comparison'!C76</f>
        <v>105</v>
      </c>
      <c r="J116" s="693">
        <f>'Historical fare comparison'!F76</f>
        <v>12.2</v>
      </c>
      <c r="K116" s="693"/>
      <c r="L116" s="669"/>
      <c r="M116" s="673"/>
      <c r="N116" s="667"/>
      <c r="O116" s="667"/>
      <c r="P116" s="667"/>
      <c r="Q116" s="667"/>
      <c r="R116" s="667"/>
      <c r="S116" s="667"/>
      <c r="T116" s="667"/>
      <c r="U116" s="667"/>
    </row>
    <row r="117" spans="1:33" x14ac:dyDescent="0.2">
      <c r="A117" s="660"/>
      <c r="B117" s="695"/>
      <c r="C117" s="694"/>
      <c r="D117" s="694"/>
      <c r="E117" s="694"/>
      <c r="F117" s="694"/>
      <c r="G117" s="694"/>
      <c r="H117" s="694"/>
      <c r="I117" s="693">
        <f>'Historical fare comparison'!C77</f>
        <v>115</v>
      </c>
      <c r="J117" s="693">
        <f>'Historical fare comparison'!F77</f>
        <v>13.6</v>
      </c>
      <c r="K117" s="693"/>
      <c r="L117" s="669"/>
      <c r="M117" s="673"/>
      <c r="N117" s="667"/>
      <c r="O117" s="667"/>
      <c r="P117" s="667"/>
      <c r="Q117" s="667"/>
      <c r="R117" s="667"/>
      <c r="S117" s="667"/>
      <c r="T117" s="667"/>
      <c r="U117" s="667"/>
    </row>
    <row r="118" spans="1:33" x14ac:dyDescent="0.2">
      <c r="A118" s="660"/>
      <c r="B118" s="695"/>
      <c r="C118" s="694"/>
      <c r="D118" s="694"/>
      <c r="E118" s="694"/>
      <c r="F118" s="694"/>
      <c r="G118" s="694"/>
      <c r="H118" s="694"/>
      <c r="I118" s="693">
        <f>'Historical fare comparison'!C78</f>
        <v>125</v>
      </c>
      <c r="J118" s="693">
        <f>'Historical fare comparison'!F78</f>
        <v>13.8</v>
      </c>
      <c r="K118" s="693"/>
      <c r="L118" s="669"/>
      <c r="M118" s="673"/>
      <c r="N118" s="667"/>
      <c r="O118" s="667"/>
      <c r="P118" s="667"/>
      <c r="Q118" s="667"/>
      <c r="R118" s="667"/>
      <c r="S118" s="667"/>
      <c r="T118" s="667"/>
      <c r="U118" s="667"/>
    </row>
    <row r="119" spans="1:33" x14ac:dyDescent="0.2">
      <c r="A119" s="660"/>
      <c r="B119" s="695"/>
      <c r="C119" s="694"/>
      <c r="D119" s="694"/>
      <c r="E119" s="694"/>
      <c r="F119" s="694"/>
      <c r="G119" s="694"/>
      <c r="H119" s="694"/>
      <c r="I119" s="693">
        <f>'Historical fare comparison'!C79</f>
        <v>135</v>
      </c>
      <c r="J119" s="693">
        <f>'Historical fare comparison'!F79</f>
        <v>15.8</v>
      </c>
      <c r="K119" s="693"/>
      <c r="L119" s="669"/>
      <c r="M119" s="673"/>
      <c r="N119" s="667"/>
      <c r="O119" s="667"/>
      <c r="P119" s="667"/>
      <c r="Q119" s="667"/>
      <c r="R119" s="667"/>
      <c r="S119" s="667"/>
      <c r="T119" s="667"/>
      <c r="U119" s="667"/>
    </row>
    <row r="120" spans="1:33" x14ac:dyDescent="0.2">
      <c r="B120" s="695"/>
      <c r="C120" s="694"/>
      <c r="D120" s="694"/>
      <c r="E120" s="694"/>
      <c r="F120" s="694"/>
      <c r="G120" s="694"/>
      <c r="H120" s="694"/>
      <c r="I120" s="693">
        <f>'Historical fare comparison'!C80</f>
        <v>155</v>
      </c>
      <c r="J120" s="693">
        <f>'Historical fare comparison'!F80</f>
        <v>18</v>
      </c>
      <c r="K120" s="693"/>
      <c r="L120" s="669"/>
      <c r="M120" s="673"/>
      <c r="N120" s="667"/>
      <c r="O120" s="667"/>
      <c r="P120" s="667"/>
      <c r="Q120" s="667"/>
      <c r="R120" s="667"/>
      <c r="S120" s="667"/>
      <c r="T120" s="667"/>
      <c r="U120" s="667"/>
    </row>
    <row r="121" spans="1:33" x14ac:dyDescent="0.2">
      <c r="B121" s="691"/>
      <c r="C121" s="690"/>
      <c r="D121" s="690"/>
      <c r="E121" s="690"/>
      <c r="F121" s="690"/>
      <c r="G121" s="690"/>
      <c r="H121" s="690"/>
      <c r="I121" s="689">
        <f>'Historical fare comparison'!C81</f>
        <v>175</v>
      </c>
      <c r="J121" s="689">
        <f>J120</f>
        <v>18</v>
      </c>
      <c r="K121" s="689"/>
      <c r="L121" s="671"/>
      <c r="M121" s="675"/>
      <c r="N121" s="667"/>
      <c r="O121" s="667"/>
      <c r="P121" s="667"/>
      <c r="Q121" s="667"/>
      <c r="R121" s="667"/>
      <c r="S121" s="667"/>
      <c r="T121" s="667"/>
      <c r="U121" s="667"/>
    </row>
    <row r="122" spans="1:33" x14ac:dyDescent="0.2">
      <c r="B122" s="667"/>
      <c r="C122" s="667"/>
      <c r="D122" s="667"/>
      <c r="E122" s="667"/>
      <c r="F122" s="705"/>
      <c r="G122" s="667"/>
      <c r="H122" s="667"/>
      <c r="I122" s="667"/>
      <c r="J122" s="667"/>
      <c r="K122" s="667"/>
      <c r="L122" s="667"/>
      <c r="M122" s="667"/>
      <c r="N122" s="667"/>
      <c r="O122" s="667"/>
      <c r="P122" s="667"/>
      <c r="Q122" s="667"/>
      <c r="R122" s="667"/>
      <c r="S122" s="667"/>
      <c r="T122" s="667"/>
      <c r="U122" s="667"/>
    </row>
    <row r="123" spans="1:33" x14ac:dyDescent="0.2">
      <c r="B123" s="667"/>
      <c r="C123" s="667"/>
      <c r="D123" s="667"/>
      <c r="E123" s="667"/>
      <c r="F123" s="705"/>
      <c r="G123" s="667"/>
      <c r="H123" s="667"/>
      <c r="I123" s="667"/>
      <c r="J123" s="667"/>
      <c r="K123" s="667"/>
      <c r="L123" s="667"/>
      <c r="M123" s="667"/>
      <c r="N123" s="667"/>
      <c r="O123" s="667"/>
      <c r="P123" s="667"/>
      <c r="Q123" s="667"/>
      <c r="R123" s="667"/>
      <c r="S123" s="667"/>
      <c r="T123" s="667"/>
      <c r="U123" s="667"/>
    </row>
    <row r="124" spans="1:33" s="661" customFormat="1" x14ac:dyDescent="0.2">
      <c r="A124" s="719"/>
    </row>
    <row r="125" spans="1:33" ht="15" x14ac:dyDescent="0.2">
      <c r="A125" s="660"/>
      <c r="B125" s="788" t="s">
        <v>710</v>
      </c>
      <c r="O125" s="661"/>
    </row>
    <row r="126" spans="1:33" x14ac:dyDescent="0.2">
      <c r="A126" s="660"/>
      <c r="B126" s="913"/>
      <c r="C126" s="928">
        <v>2009</v>
      </c>
      <c r="D126" s="700"/>
      <c r="E126" s="928"/>
      <c r="F126" s="700">
        <v>2019</v>
      </c>
      <c r="G126" s="700"/>
      <c r="H126" s="700"/>
      <c r="I126" s="929"/>
      <c r="J126" s="928"/>
      <c r="K126" s="928"/>
      <c r="L126" s="700">
        <v>2024</v>
      </c>
      <c r="M126" s="703"/>
      <c r="N126" s="703"/>
      <c r="O126" s="699"/>
      <c r="AF126" s="914"/>
      <c r="AG126" s="694"/>
    </row>
    <row r="127" spans="1:33" x14ac:dyDescent="0.2">
      <c r="A127" s="660"/>
      <c r="B127" s="695"/>
      <c r="C127" s="708" t="s">
        <v>8</v>
      </c>
      <c r="D127" s="708" t="s">
        <v>4</v>
      </c>
      <c r="E127" s="708"/>
      <c r="F127" s="694" t="str">
        <f>'Journey distribution (ex Gold)'!B3</f>
        <v>Bus</v>
      </c>
      <c r="G127" s="694" t="str">
        <f>'Journey distribution (ex Gold)'!C3</f>
        <v>Ferry</v>
      </c>
      <c r="H127" s="694" t="str">
        <f>'Journey distribution (ex Gold)'!D3</f>
        <v>Light rail</v>
      </c>
      <c r="I127" s="708" t="str">
        <f>'Journey distribution (ex Gold)'!E3</f>
        <v>NewcFerry</v>
      </c>
      <c r="J127" s="694" t="str">
        <f>'Journey distribution (ex Gold)'!F3</f>
        <v>Train</v>
      </c>
      <c r="K127" s="708"/>
      <c r="L127" s="708" t="s">
        <v>3</v>
      </c>
      <c r="M127" s="694" t="s">
        <v>7</v>
      </c>
      <c r="N127" s="694" t="str">
        <f>C127</f>
        <v>Light rail</v>
      </c>
      <c r="O127" s="692" t="s">
        <v>4</v>
      </c>
      <c r="AF127" s="694"/>
      <c r="AG127" s="694"/>
    </row>
    <row r="128" spans="1:33" x14ac:dyDescent="0.2">
      <c r="A128" s="660"/>
      <c r="B128" s="915" t="s">
        <v>649</v>
      </c>
      <c r="C128" s="874">
        <f>SUMPRODUCT(G288:G438, D130:D280)</f>
        <v>4.2875970840947746</v>
      </c>
      <c r="D128" s="874">
        <f>SUMPRODUCT(E288:E438, C130:C280)</f>
        <v>3.418732892023701</v>
      </c>
      <c r="E128" s="917"/>
      <c r="F128" s="874">
        <f>SUMPRODUCT(C288:C438, F130:F280)</f>
        <v>3.2754513209651677</v>
      </c>
      <c r="G128" s="874">
        <f>SUMPRODUCT(D288:D438, G130:G280)</f>
        <v>6.6751897471668311</v>
      </c>
      <c r="H128" s="874">
        <f>SUMPRODUCT(E288:E438, H130:H280)</f>
        <v>2.5659120091153143</v>
      </c>
      <c r="I128" s="874">
        <f>SUMPRODUCT(F288:F438, I130:I280)</f>
        <v>2.2400000000000002</v>
      </c>
      <c r="J128" s="874">
        <f>SUMPRODUCT(G288:G438, J130:J280)</f>
        <v>4.7050445834332422</v>
      </c>
      <c r="K128" s="918"/>
      <c r="L128" s="874">
        <f>SUMPRODUCT(C288:C438, L130:L280)</f>
        <v>4.2438417467519223</v>
      </c>
      <c r="M128" s="874">
        <f>SUMPRODUCT(D288:D438, M130:M280)</f>
        <v>8.0531644084315648</v>
      </c>
      <c r="N128" s="874">
        <f>SUMPRODUCT(E288:E438, N130:N280)</f>
        <v>3.5062260488331813</v>
      </c>
      <c r="O128" s="916">
        <f>SUMPRODUCT(G288:G438, O130:O280)</f>
        <v>5.7101809570365418</v>
      </c>
      <c r="AF128" s="694"/>
      <c r="AG128" s="694"/>
    </row>
    <row r="129" spans="1:33" x14ac:dyDescent="0.2">
      <c r="A129" s="682"/>
      <c r="B129" s="930" t="s">
        <v>477</v>
      </c>
      <c r="C129" s="917"/>
      <c r="D129" s="917"/>
      <c r="E129" s="917"/>
      <c r="F129" s="917"/>
      <c r="G129" s="917"/>
      <c r="H129" s="917"/>
      <c r="I129" s="917"/>
      <c r="J129" s="917"/>
      <c r="K129" s="918"/>
      <c r="L129" s="917"/>
      <c r="M129" s="917"/>
      <c r="N129" s="917"/>
      <c r="O129" s="919"/>
      <c r="AF129" s="694"/>
      <c r="AG129" s="694"/>
    </row>
    <row r="130" spans="1:33" s="718" customFormat="1" ht="12" x14ac:dyDescent="0.2">
      <c r="B130" s="920">
        <v>0</v>
      </c>
      <c r="C130" s="921">
        <f t="shared" ref="C130:C161" si="8">VLOOKUP(B130, $B$102:$C$104, 2)</f>
        <v>3.2</v>
      </c>
      <c r="D130" s="921">
        <f t="shared" ref="D130:D161" si="9">VLOOKUP(B130, $I$102:$J$121, 2)</f>
        <v>3.2</v>
      </c>
      <c r="E130" s="927"/>
      <c r="F130" s="921">
        <f>VLOOKUP(B130, $B$102:$D$104, 3)</f>
        <v>2.2400000000000002</v>
      </c>
      <c r="G130" s="921">
        <f>VLOOKUP('Journey distribution (ex Gold)'!$A4, $F$102:$G$103, 2)</f>
        <v>6.12</v>
      </c>
      <c r="H130" s="921">
        <f>VLOOKUP('Journey distribution (ex Gold)'!$A4, $B$102:$D$104, 3)</f>
        <v>2.2400000000000002</v>
      </c>
      <c r="I130" s="921">
        <f>VLOOKUP('Journey distribution (ex Gold)'!$A4, $B$102:$D$104, 3)</f>
        <v>2.2400000000000002</v>
      </c>
      <c r="J130" s="921">
        <f>VLOOKUP($B130, $K$101:$M$106, 2)</f>
        <v>3.61</v>
      </c>
      <c r="K130" s="927"/>
      <c r="L130" s="921">
        <f>VLOOKUP('Journey distribution (ex Gold)'!$A4, $B$102:$E$104, 4)</f>
        <v>3.2</v>
      </c>
      <c r="M130" s="892">
        <f>VLOOKUP('Journey distribution (ex Gold)'!$A4, $F$102:$H$103, 3)</f>
        <v>7.4</v>
      </c>
      <c r="N130" s="921">
        <f>VLOOKUP('Journey distribution (ex Gold)'!$A4, $B$102:$E$104, 4)</f>
        <v>3.2</v>
      </c>
      <c r="O130" s="922">
        <f>VLOOKUP($B130, $K$101:$M$106, 3)</f>
        <v>4.4000000000000004</v>
      </c>
      <c r="AF130" s="909"/>
      <c r="AG130" s="909"/>
    </row>
    <row r="131" spans="1:33" s="718" customFormat="1" ht="12" x14ac:dyDescent="0.2">
      <c r="B131" s="920">
        <v>1</v>
      </c>
      <c r="C131" s="921">
        <f t="shared" si="8"/>
        <v>3.2</v>
      </c>
      <c r="D131" s="921">
        <f t="shared" si="9"/>
        <v>3.2</v>
      </c>
      <c r="E131" s="927"/>
      <c r="F131" s="921">
        <f t="shared" ref="F131:F194" si="10">VLOOKUP(B131, $B$102:$D$104, 3)</f>
        <v>2.2400000000000002</v>
      </c>
      <c r="G131" s="921">
        <f>VLOOKUP('Journey distribution (ex Gold)'!$A5, $F$102:$G$103, 2)</f>
        <v>6.12</v>
      </c>
      <c r="H131" s="921">
        <f>VLOOKUP('Journey distribution (ex Gold)'!$A5, $B$102:$D$104, 3)</f>
        <v>2.2400000000000002</v>
      </c>
      <c r="I131" s="810">
        <f t="shared" ref="I131:I162" si="11">I130</f>
        <v>2.2400000000000002</v>
      </c>
      <c r="J131" s="921">
        <f t="shared" ref="J131:J194" si="12">VLOOKUP($B131, $K$101:$M$106, 2)</f>
        <v>3.61</v>
      </c>
      <c r="K131" s="927"/>
      <c r="L131" s="921">
        <f>VLOOKUP('Journey distribution (ex Gold)'!$A5, $B$102:$E$104, 4)</f>
        <v>3.2</v>
      </c>
      <c r="M131" s="892">
        <f>VLOOKUP('Journey distribution (ex Gold)'!$A5, $F$102:$H$103, 3)</f>
        <v>7.4</v>
      </c>
      <c r="N131" s="921">
        <f>VLOOKUP('Journey distribution (ex Gold)'!$A5, $B$102:$E$104, 4)</f>
        <v>3.2</v>
      </c>
      <c r="O131" s="922">
        <f t="shared" ref="O131:O194" si="13">VLOOKUP($B131, $K$101:$M$106, 3)</f>
        <v>4.4000000000000004</v>
      </c>
      <c r="AF131" s="909"/>
      <c r="AG131" s="909"/>
    </row>
    <row r="132" spans="1:33" s="718" customFormat="1" ht="12" x14ac:dyDescent="0.2">
      <c r="B132" s="920">
        <v>2</v>
      </c>
      <c r="C132" s="921">
        <f t="shared" si="8"/>
        <v>3.2</v>
      </c>
      <c r="D132" s="921">
        <f t="shared" si="9"/>
        <v>3.2</v>
      </c>
      <c r="E132" s="892"/>
      <c r="F132" s="921">
        <f t="shared" si="10"/>
        <v>2.2400000000000002</v>
      </c>
      <c r="G132" s="921">
        <f>VLOOKUP('Journey distribution (ex Gold)'!$A6, $F$102:$G$103, 2)</f>
        <v>6.12</v>
      </c>
      <c r="H132" s="921">
        <f>VLOOKUP('Journey distribution (ex Gold)'!$A6, $B$102:$D$104, 3)</f>
        <v>2.2400000000000002</v>
      </c>
      <c r="I132" s="810">
        <f t="shared" si="11"/>
        <v>2.2400000000000002</v>
      </c>
      <c r="J132" s="921">
        <f t="shared" si="12"/>
        <v>3.61</v>
      </c>
      <c r="K132" s="927"/>
      <c r="L132" s="921">
        <f>VLOOKUP('Journey distribution (ex Gold)'!$A6, $B$102:$E$104, 4)</f>
        <v>3.2</v>
      </c>
      <c r="M132" s="892">
        <f>VLOOKUP('Journey distribution (ex Gold)'!$A6, $F$102:$H$103, 3)</f>
        <v>7.4</v>
      </c>
      <c r="N132" s="921">
        <f>VLOOKUP('Journey distribution (ex Gold)'!$A6, $B$102:$E$104, 4)</f>
        <v>3.2</v>
      </c>
      <c r="O132" s="922">
        <f t="shared" si="13"/>
        <v>4.4000000000000004</v>
      </c>
      <c r="AF132" s="909"/>
      <c r="AG132" s="909"/>
    </row>
    <row r="133" spans="1:33" s="718" customFormat="1" ht="12" x14ac:dyDescent="0.2">
      <c r="B133" s="920">
        <v>3</v>
      </c>
      <c r="C133" s="921">
        <f t="shared" si="8"/>
        <v>4.2</v>
      </c>
      <c r="D133" s="921">
        <f t="shared" si="9"/>
        <v>3.2</v>
      </c>
      <c r="E133" s="892"/>
      <c r="F133" s="921">
        <f t="shared" si="10"/>
        <v>3.73</v>
      </c>
      <c r="G133" s="921">
        <f>VLOOKUP('Journey distribution (ex Gold)'!$A7, $F$102:$G$103, 2)</f>
        <v>6.12</v>
      </c>
      <c r="H133" s="921">
        <f>VLOOKUP('Journey distribution (ex Gold)'!$A7, $B$102:$D$104, 3)</f>
        <v>3.73</v>
      </c>
      <c r="I133" s="810">
        <f t="shared" si="11"/>
        <v>2.2400000000000002</v>
      </c>
      <c r="J133" s="921">
        <f t="shared" si="12"/>
        <v>3.61</v>
      </c>
      <c r="K133" s="892"/>
      <c r="L133" s="921">
        <f>VLOOKUP('Journey distribution (ex Gold)'!$A7, $B$102:$E$104, 4)</f>
        <v>4.5999999999999996</v>
      </c>
      <c r="M133" s="892">
        <f>VLOOKUP('Journey distribution (ex Gold)'!$A7, $F$102:$H$103, 3)</f>
        <v>7.4</v>
      </c>
      <c r="N133" s="921">
        <f>VLOOKUP('Journey distribution (ex Gold)'!$A7, $B$102:$E$104, 4)</f>
        <v>4.5999999999999996</v>
      </c>
      <c r="O133" s="922">
        <f t="shared" si="13"/>
        <v>4.4000000000000004</v>
      </c>
      <c r="AF133" s="909"/>
      <c r="AG133" s="909"/>
    </row>
    <row r="134" spans="1:33" s="718" customFormat="1" ht="12" x14ac:dyDescent="0.2">
      <c r="B134" s="920">
        <v>4</v>
      </c>
      <c r="C134" s="921">
        <f t="shared" si="8"/>
        <v>4.2</v>
      </c>
      <c r="D134" s="921">
        <f t="shared" si="9"/>
        <v>3.2</v>
      </c>
      <c r="E134" s="892"/>
      <c r="F134" s="921">
        <f t="shared" si="10"/>
        <v>3.73</v>
      </c>
      <c r="G134" s="921">
        <f>VLOOKUP('Journey distribution (ex Gold)'!$A8, $F$102:$G$103, 2)</f>
        <v>6.12</v>
      </c>
      <c r="H134" s="921">
        <f>VLOOKUP('Journey distribution (ex Gold)'!$A8, $B$102:$D$104, 3)</f>
        <v>3.73</v>
      </c>
      <c r="I134" s="810">
        <f t="shared" si="11"/>
        <v>2.2400000000000002</v>
      </c>
      <c r="J134" s="921">
        <f t="shared" si="12"/>
        <v>3.61</v>
      </c>
      <c r="K134" s="892"/>
      <c r="L134" s="921">
        <f>VLOOKUP('Journey distribution (ex Gold)'!$A8, $B$102:$E$104, 4)</f>
        <v>4.5999999999999996</v>
      </c>
      <c r="M134" s="892">
        <f>VLOOKUP('Journey distribution (ex Gold)'!$A8, $F$102:$H$103, 3)</f>
        <v>7.4</v>
      </c>
      <c r="N134" s="921">
        <f>VLOOKUP('Journey distribution (ex Gold)'!$A8, $B$102:$E$104, 4)</f>
        <v>4.5999999999999996</v>
      </c>
      <c r="O134" s="922">
        <f t="shared" si="13"/>
        <v>4.4000000000000004</v>
      </c>
      <c r="AF134" s="909"/>
      <c r="AG134" s="909"/>
    </row>
    <row r="135" spans="1:33" s="718" customFormat="1" ht="12" x14ac:dyDescent="0.2">
      <c r="B135" s="920">
        <v>5</v>
      </c>
      <c r="C135" s="921">
        <f t="shared" si="8"/>
        <v>4.2</v>
      </c>
      <c r="D135" s="921">
        <f t="shared" si="9"/>
        <v>3.4</v>
      </c>
      <c r="E135" s="892"/>
      <c r="F135" s="921">
        <f t="shared" si="10"/>
        <v>3.73</v>
      </c>
      <c r="G135" s="921">
        <f>VLOOKUP('Journey distribution (ex Gold)'!$A9, $F$102:$G$103, 2)</f>
        <v>6.12</v>
      </c>
      <c r="H135" s="921">
        <f>VLOOKUP('Journey distribution (ex Gold)'!$A9, $B$102:$D$104, 3)</f>
        <v>3.73</v>
      </c>
      <c r="I135" s="810">
        <f t="shared" si="11"/>
        <v>2.2400000000000002</v>
      </c>
      <c r="J135" s="921">
        <f t="shared" si="12"/>
        <v>3.61</v>
      </c>
      <c r="K135" s="892"/>
      <c r="L135" s="921">
        <f>VLOOKUP('Journey distribution (ex Gold)'!$A9, $B$102:$E$104, 4)</f>
        <v>4.5999999999999996</v>
      </c>
      <c r="M135" s="892">
        <f>VLOOKUP('Journey distribution (ex Gold)'!$A9, $F$102:$H$103, 3)</f>
        <v>7.4</v>
      </c>
      <c r="N135" s="921">
        <f>VLOOKUP('Journey distribution (ex Gold)'!$A9, $B$102:$E$104, 4)</f>
        <v>4.5999999999999996</v>
      </c>
      <c r="O135" s="922">
        <f t="shared" si="13"/>
        <v>4.4000000000000004</v>
      </c>
      <c r="AF135" s="892"/>
      <c r="AG135" s="892"/>
    </row>
    <row r="136" spans="1:33" s="718" customFormat="1" ht="12" x14ac:dyDescent="0.2">
      <c r="B136" s="920">
        <v>6</v>
      </c>
      <c r="C136" s="921">
        <f t="shared" si="8"/>
        <v>4.2</v>
      </c>
      <c r="D136" s="921">
        <f t="shared" si="9"/>
        <v>3.4</v>
      </c>
      <c r="E136" s="892"/>
      <c r="F136" s="921">
        <f t="shared" si="10"/>
        <v>3.73</v>
      </c>
      <c r="G136" s="921">
        <f>VLOOKUP('Journey distribution (ex Gold)'!$A10, $F$102:$G$103, 2)</f>
        <v>6.12</v>
      </c>
      <c r="H136" s="921">
        <f>VLOOKUP('Journey distribution (ex Gold)'!$A10, $B$102:$D$104, 3)</f>
        <v>3.73</v>
      </c>
      <c r="I136" s="810">
        <f t="shared" si="11"/>
        <v>2.2400000000000002</v>
      </c>
      <c r="J136" s="921">
        <f t="shared" si="12"/>
        <v>3.61</v>
      </c>
      <c r="K136" s="892"/>
      <c r="L136" s="921">
        <f>VLOOKUP('Journey distribution (ex Gold)'!$A10, $B$102:$E$104, 4)</f>
        <v>4.5999999999999996</v>
      </c>
      <c r="M136" s="892">
        <f>VLOOKUP('Journey distribution (ex Gold)'!$A10, $F$102:$H$103, 3)</f>
        <v>7.4</v>
      </c>
      <c r="N136" s="921">
        <f>VLOOKUP('Journey distribution (ex Gold)'!$A10, $B$102:$E$104, 4)</f>
        <v>4.5999999999999996</v>
      </c>
      <c r="O136" s="922">
        <f t="shared" si="13"/>
        <v>4.4000000000000004</v>
      </c>
      <c r="AF136" s="892"/>
      <c r="AG136" s="892"/>
    </row>
    <row r="137" spans="1:33" s="718" customFormat="1" ht="12" x14ac:dyDescent="0.2">
      <c r="B137" s="920">
        <v>7</v>
      </c>
      <c r="C137" s="921">
        <f t="shared" si="8"/>
        <v>4.2</v>
      </c>
      <c r="D137" s="921">
        <f t="shared" si="9"/>
        <v>3.4</v>
      </c>
      <c r="E137" s="892"/>
      <c r="F137" s="921">
        <f t="shared" si="10"/>
        <v>3.73</v>
      </c>
      <c r="G137" s="921">
        <f>VLOOKUP('Journey distribution (ex Gold)'!$A11, $F$102:$G$103, 2)</f>
        <v>6.12</v>
      </c>
      <c r="H137" s="921">
        <f>VLOOKUP('Journey distribution (ex Gold)'!$A11, $B$102:$D$104, 3)</f>
        <v>3.73</v>
      </c>
      <c r="I137" s="810">
        <f t="shared" si="11"/>
        <v>2.2400000000000002</v>
      </c>
      <c r="J137" s="921">
        <f t="shared" si="12"/>
        <v>3.61</v>
      </c>
      <c r="K137" s="892"/>
      <c r="L137" s="921">
        <f>VLOOKUP('Journey distribution (ex Gold)'!$A11, $B$102:$E$104, 4)</f>
        <v>4.5999999999999996</v>
      </c>
      <c r="M137" s="892">
        <f>VLOOKUP('Journey distribution (ex Gold)'!$A11, $F$102:$H$103, 3)</f>
        <v>7.4</v>
      </c>
      <c r="N137" s="921">
        <f>VLOOKUP('Journey distribution (ex Gold)'!$A11, $B$102:$E$104, 4)</f>
        <v>4.5999999999999996</v>
      </c>
      <c r="O137" s="922">
        <f t="shared" si="13"/>
        <v>4.4000000000000004</v>
      </c>
      <c r="AF137" s="892"/>
      <c r="AG137" s="892"/>
    </row>
    <row r="138" spans="1:33" s="718" customFormat="1" ht="12" x14ac:dyDescent="0.2">
      <c r="B138" s="920">
        <v>8</v>
      </c>
      <c r="C138" s="921">
        <f t="shared" si="8"/>
        <v>4.2</v>
      </c>
      <c r="D138" s="921">
        <f t="shared" si="9"/>
        <v>3.4</v>
      </c>
      <c r="E138" s="892"/>
      <c r="F138" s="921">
        <f t="shared" si="10"/>
        <v>4.8</v>
      </c>
      <c r="G138" s="921">
        <f>VLOOKUP('Journey distribution (ex Gold)'!$A12, $F$102:$G$103, 2)</f>
        <v>6.12</v>
      </c>
      <c r="H138" s="921">
        <f>VLOOKUP('Journey distribution (ex Gold)'!$A12, $B$102:$D$104, 3)</f>
        <v>4.8</v>
      </c>
      <c r="I138" s="810">
        <f t="shared" si="11"/>
        <v>2.2400000000000002</v>
      </c>
      <c r="J138" s="921">
        <f t="shared" si="12"/>
        <v>3.61</v>
      </c>
      <c r="K138" s="892"/>
      <c r="L138" s="921">
        <f>VLOOKUP('Journey distribution (ex Gold)'!$A12, $B$102:$E$104, 4)</f>
        <v>6</v>
      </c>
      <c r="M138" s="892">
        <f>VLOOKUP('Journey distribution (ex Gold)'!$A12, $F$102:$H$103, 3)</f>
        <v>7.4</v>
      </c>
      <c r="N138" s="921">
        <f>VLOOKUP('Journey distribution (ex Gold)'!$A12, $B$102:$E$104, 4)</f>
        <v>6</v>
      </c>
      <c r="O138" s="922">
        <f t="shared" si="13"/>
        <v>4.4000000000000004</v>
      </c>
      <c r="AF138" s="865"/>
      <c r="AG138" s="892"/>
    </row>
    <row r="139" spans="1:33" s="718" customFormat="1" ht="12" x14ac:dyDescent="0.2">
      <c r="B139" s="920">
        <v>9</v>
      </c>
      <c r="C139" s="921">
        <f t="shared" si="8"/>
        <v>4.2</v>
      </c>
      <c r="D139" s="921">
        <f t="shared" si="9"/>
        <v>3.4</v>
      </c>
      <c r="E139" s="892"/>
      <c r="F139" s="921">
        <f t="shared" si="10"/>
        <v>4.8</v>
      </c>
      <c r="G139" s="921">
        <f>VLOOKUP('Journey distribution (ex Gold)'!$A13, $F$102:$G$103, 2)</f>
        <v>7.65</v>
      </c>
      <c r="H139" s="921">
        <f>VLOOKUP('Journey distribution (ex Gold)'!$A13, $B$102:$D$104, 3)</f>
        <v>4.8</v>
      </c>
      <c r="I139" s="810">
        <f t="shared" si="11"/>
        <v>2.2400000000000002</v>
      </c>
      <c r="J139" s="921">
        <f t="shared" si="12"/>
        <v>3.61</v>
      </c>
      <c r="K139" s="892"/>
      <c r="L139" s="921">
        <f>VLOOKUP('Journey distribution (ex Gold)'!$A13, $B$102:$E$104, 4)</f>
        <v>6</v>
      </c>
      <c r="M139" s="892">
        <f>VLOOKUP('Journey distribution (ex Gold)'!$A13, $F$102:$H$103, 3)</f>
        <v>9.1999999999999993</v>
      </c>
      <c r="N139" s="921">
        <f>VLOOKUP('Journey distribution (ex Gold)'!$A13, $B$102:$E$104, 4)</f>
        <v>6</v>
      </c>
      <c r="O139" s="922">
        <f t="shared" si="13"/>
        <v>4.4000000000000004</v>
      </c>
      <c r="AF139" s="865"/>
      <c r="AG139" s="892"/>
    </row>
    <row r="140" spans="1:33" s="718" customFormat="1" ht="12" x14ac:dyDescent="0.2">
      <c r="B140" s="920">
        <v>10</v>
      </c>
      <c r="C140" s="921">
        <f t="shared" si="8"/>
        <v>4.2</v>
      </c>
      <c r="D140" s="921">
        <f t="shared" si="9"/>
        <v>3.8</v>
      </c>
      <c r="E140" s="892"/>
      <c r="F140" s="921">
        <f t="shared" si="10"/>
        <v>4.8</v>
      </c>
      <c r="G140" s="921">
        <f>VLOOKUP('Journey distribution (ex Gold)'!$A14, $F$102:$G$103, 2)</f>
        <v>7.65</v>
      </c>
      <c r="H140" s="921">
        <f>VLOOKUP('Journey distribution (ex Gold)'!$A14, $B$102:$D$104, 3)</f>
        <v>4.8</v>
      </c>
      <c r="I140" s="810">
        <f t="shared" si="11"/>
        <v>2.2400000000000002</v>
      </c>
      <c r="J140" s="921">
        <f t="shared" si="12"/>
        <v>4.4800000000000004</v>
      </c>
      <c r="K140" s="892"/>
      <c r="L140" s="921">
        <f>VLOOKUP('Journey distribution (ex Gold)'!$A14, $B$102:$E$104, 4)</f>
        <v>6</v>
      </c>
      <c r="M140" s="892">
        <f>VLOOKUP('Journey distribution (ex Gold)'!$A14, $F$102:$H$103, 3)</f>
        <v>9.1999999999999993</v>
      </c>
      <c r="N140" s="921">
        <f>VLOOKUP('Journey distribution (ex Gold)'!$A14, $B$102:$E$104, 4)</f>
        <v>6</v>
      </c>
      <c r="O140" s="922">
        <f t="shared" si="13"/>
        <v>5.4</v>
      </c>
      <c r="AF140" s="865"/>
      <c r="AG140" s="892"/>
    </row>
    <row r="141" spans="1:33" s="718" customFormat="1" ht="12" x14ac:dyDescent="0.2">
      <c r="B141" s="920">
        <v>11</v>
      </c>
      <c r="C141" s="921">
        <f t="shared" si="8"/>
        <v>4.2</v>
      </c>
      <c r="D141" s="921">
        <f t="shared" si="9"/>
        <v>3.8</v>
      </c>
      <c r="E141" s="892"/>
      <c r="F141" s="921">
        <f t="shared" si="10"/>
        <v>4.8</v>
      </c>
      <c r="G141" s="921">
        <f>VLOOKUP('Journey distribution (ex Gold)'!$A15, $F$102:$G$103, 2)</f>
        <v>7.65</v>
      </c>
      <c r="H141" s="921">
        <f>VLOOKUP('Journey distribution (ex Gold)'!$A15, $B$102:$D$104, 3)</f>
        <v>4.8</v>
      </c>
      <c r="I141" s="810">
        <f t="shared" si="11"/>
        <v>2.2400000000000002</v>
      </c>
      <c r="J141" s="921">
        <f t="shared" si="12"/>
        <v>4.4800000000000004</v>
      </c>
      <c r="K141" s="892"/>
      <c r="L141" s="921">
        <f>VLOOKUP('Journey distribution (ex Gold)'!$A15, $B$102:$E$104, 4)</f>
        <v>6</v>
      </c>
      <c r="M141" s="892">
        <f>VLOOKUP('Journey distribution (ex Gold)'!$A15, $F$102:$H$103, 3)</f>
        <v>9.1999999999999993</v>
      </c>
      <c r="N141" s="921">
        <f>VLOOKUP('Journey distribution (ex Gold)'!$A15, $B$102:$E$104, 4)</f>
        <v>6</v>
      </c>
      <c r="O141" s="922">
        <f t="shared" si="13"/>
        <v>5.4</v>
      </c>
      <c r="AF141" s="865"/>
      <c r="AG141" s="892"/>
    </row>
    <row r="142" spans="1:33" s="718" customFormat="1" ht="12" x14ac:dyDescent="0.2">
      <c r="B142" s="920">
        <v>12</v>
      </c>
      <c r="C142" s="921">
        <f t="shared" si="8"/>
        <v>4.2</v>
      </c>
      <c r="D142" s="921">
        <f t="shared" si="9"/>
        <v>3.8</v>
      </c>
      <c r="E142" s="892"/>
      <c r="F142" s="921">
        <f t="shared" si="10"/>
        <v>4.8</v>
      </c>
      <c r="G142" s="921">
        <f>VLOOKUP('Journey distribution (ex Gold)'!$A16, $F$102:$G$103, 2)</f>
        <v>7.65</v>
      </c>
      <c r="H142" s="921">
        <f>VLOOKUP('Journey distribution (ex Gold)'!$A16, $B$102:$D$104, 3)</f>
        <v>4.8</v>
      </c>
      <c r="I142" s="810">
        <f t="shared" si="11"/>
        <v>2.2400000000000002</v>
      </c>
      <c r="J142" s="921">
        <f t="shared" si="12"/>
        <v>4.4800000000000004</v>
      </c>
      <c r="K142" s="892"/>
      <c r="L142" s="921">
        <f>VLOOKUP('Journey distribution (ex Gold)'!$A16, $B$102:$E$104, 4)</f>
        <v>6</v>
      </c>
      <c r="M142" s="892">
        <f>VLOOKUP('Journey distribution (ex Gold)'!$A16, $F$102:$H$103, 3)</f>
        <v>9.1999999999999993</v>
      </c>
      <c r="N142" s="921">
        <f>VLOOKUP('Journey distribution (ex Gold)'!$A16, $B$102:$E$104, 4)</f>
        <v>6</v>
      </c>
      <c r="O142" s="922">
        <f t="shared" si="13"/>
        <v>5.4</v>
      </c>
      <c r="AF142" s="865"/>
      <c r="AG142" s="892"/>
    </row>
    <row r="143" spans="1:33" s="718" customFormat="1" ht="12" x14ac:dyDescent="0.2">
      <c r="B143" s="920">
        <v>13</v>
      </c>
      <c r="C143" s="921">
        <f t="shared" si="8"/>
        <v>4.2</v>
      </c>
      <c r="D143" s="921">
        <f t="shared" si="9"/>
        <v>3.8</v>
      </c>
      <c r="E143" s="892"/>
      <c r="F143" s="921">
        <f t="shared" si="10"/>
        <v>4.8</v>
      </c>
      <c r="G143" s="921">
        <f>VLOOKUP('Journey distribution (ex Gold)'!$A17, $F$102:$G$103, 2)</f>
        <v>7.65</v>
      </c>
      <c r="H143" s="921">
        <f>VLOOKUP('Journey distribution (ex Gold)'!$A17, $B$102:$D$104, 3)</f>
        <v>4.8</v>
      </c>
      <c r="I143" s="810">
        <f t="shared" si="11"/>
        <v>2.2400000000000002</v>
      </c>
      <c r="J143" s="921">
        <f t="shared" si="12"/>
        <v>4.4800000000000004</v>
      </c>
      <c r="K143" s="892"/>
      <c r="L143" s="921">
        <f>VLOOKUP('Journey distribution (ex Gold)'!$A17, $B$102:$E$104, 4)</f>
        <v>6</v>
      </c>
      <c r="M143" s="892">
        <f>VLOOKUP('Journey distribution (ex Gold)'!$A17, $F$102:$H$103, 3)</f>
        <v>9.1999999999999993</v>
      </c>
      <c r="N143" s="921">
        <f>VLOOKUP('Journey distribution (ex Gold)'!$A17, $B$102:$E$104, 4)</f>
        <v>6</v>
      </c>
      <c r="O143" s="922">
        <f t="shared" si="13"/>
        <v>5.4</v>
      </c>
      <c r="AF143" s="865"/>
      <c r="AG143" s="892"/>
    </row>
    <row r="144" spans="1:33" s="718" customFormat="1" ht="12" x14ac:dyDescent="0.2">
      <c r="B144" s="920">
        <v>14</v>
      </c>
      <c r="C144" s="921">
        <f t="shared" si="8"/>
        <v>4.2</v>
      </c>
      <c r="D144" s="921">
        <f t="shared" si="9"/>
        <v>3.8</v>
      </c>
      <c r="E144" s="892"/>
      <c r="F144" s="921">
        <f t="shared" si="10"/>
        <v>4.8</v>
      </c>
      <c r="G144" s="921">
        <f>VLOOKUP('Journey distribution (ex Gold)'!$A18, $F$102:$G$103, 2)</f>
        <v>7.65</v>
      </c>
      <c r="H144" s="921">
        <f>VLOOKUP('Journey distribution (ex Gold)'!$A18, $B$102:$D$104, 3)</f>
        <v>4.8</v>
      </c>
      <c r="I144" s="810">
        <f t="shared" si="11"/>
        <v>2.2400000000000002</v>
      </c>
      <c r="J144" s="921">
        <f t="shared" si="12"/>
        <v>4.4800000000000004</v>
      </c>
      <c r="K144" s="892"/>
      <c r="L144" s="921">
        <f>VLOOKUP('Journey distribution (ex Gold)'!$A18, $B$102:$E$104, 4)</f>
        <v>6</v>
      </c>
      <c r="M144" s="892">
        <f>VLOOKUP('Journey distribution (ex Gold)'!$A18, $F$102:$H$103, 3)</f>
        <v>9.1999999999999993</v>
      </c>
      <c r="N144" s="921">
        <f>VLOOKUP('Journey distribution (ex Gold)'!$A18, $B$102:$E$104, 4)</f>
        <v>6</v>
      </c>
      <c r="O144" s="922">
        <f t="shared" si="13"/>
        <v>5.4</v>
      </c>
      <c r="AF144" s="865"/>
      <c r="AG144" s="892"/>
    </row>
    <row r="145" spans="2:33" s="718" customFormat="1" ht="12" x14ac:dyDescent="0.2">
      <c r="B145" s="920">
        <v>15</v>
      </c>
      <c r="C145" s="921">
        <f t="shared" si="8"/>
        <v>4.2</v>
      </c>
      <c r="D145" s="921">
        <f t="shared" si="9"/>
        <v>4</v>
      </c>
      <c r="E145" s="892"/>
      <c r="F145" s="921">
        <f t="shared" si="10"/>
        <v>4.8</v>
      </c>
      <c r="G145" s="921">
        <f>VLOOKUP('Journey distribution (ex Gold)'!$A19, $F$102:$G$103, 2)</f>
        <v>7.65</v>
      </c>
      <c r="H145" s="921">
        <f>VLOOKUP('Journey distribution (ex Gold)'!$A19, $B$102:$D$104, 3)</f>
        <v>4.8</v>
      </c>
      <c r="I145" s="810">
        <f t="shared" si="11"/>
        <v>2.2400000000000002</v>
      </c>
      <c r="J145" s="921">
        <f t="shared" si="12"/>
        <v>4.4800000000000004</v>
      </c>
      <c r="K145" s="892"/>
      <c r="L145" s="921">
        <f>VLOOKUP('Journey distribution (ex Gold)'!$A19, $B$102:$E$104, 4)</f>
        <v>6</v>
      </c>
      <c r="M145" s="892">
        <f>VLOOKUP('Journey distribution (ex Gold)'!$A19, $F$102:$H$103, 3)</f>
        <v>9.1999999999999993</v>
      </c>
      <c r="N145" s="921">
        <f>VLOOKUP('Journey distribution (ex Gold)'!$A19, $B$102:$E$104, 4)</f>
        <v>6</v>
      </c>
      <c r="O145" s="922">
        <f t="shared" si="13"/>
        <v>5.4</v>
      </c>
      <c r="AF145" s="865"/>
      <c r="AG145" s="892"/>
    </row>
    <row r="146" spans="2:33" s="718" customFormat="1" ht="12" x14ac:dyDescent="0.2">
      <c r="B146" s="920">
        <v>16</v>
      </c>
      <c r="C146" s="921">
        <f t="shared" si="8"/>
        <v>4.2</v>
      </c>
      <c r="D146" s="921">
        <f t="shared" si="9"/>
        <v>4</v>
      </c>
      <c r="E146" s="892"/>
      <c r="F146" s="921">
        <f t="shared" si="10"/>
        <v>4.8</v>
      </c>
      <c r="G146" s="921">
        <f>VLOOKUP('Journey distribution (ex Gold)'!$A20, $F$102:$G$103, 2)</f>
        <v>7.65</v>
      </c>
      <c r="H146" s="921">
        <f>VLOOKUP('Journey distribution (ex Gold)'!$A20, $B$102:$D$104, 3)</f>
        <v>4.8</v>
      </c>
      <c r="I146" s="810">
        <f t="shared" si="11"/>
        <v>2.2400000000000002</v>
      </c>
      <c r="J146" s="921">
        <f t="shared" si="12"/>
        <v>4.4800000000000004</v>
      </c>
      <c r="K146" s="892"/>
      <c r="L146" s="921">
        <f>VLOOKUP('Journey distribution (ex Gold)'!$A20, $B$102:$E$104, 4)</f>
        <v>6</v>
      </c>
      <c r="M146" s="892">
        <f>VLOOKUP('Journey distribution (ex Gold)'!$A20, $F$102:$H$103, 3)</f>
        <v>9.1999999999999993</v>
      </c>
      <c r="N146" s="921">
        <f>VLOOKUP('Journey distribution (ex Gold)'!$A20, $B$102:$E$104, 4)</f>
        <v>6</v>
      </c>
      <c r="O146" s="922">
        <f t="shared" si="13"/>
        <v>5.4</v>
      </c>
      <c r="AF146" s="865"/>
      <c r="AG146" s="892"/>
    </row>
    <row r="147" spans="2:33" s="718" customFormat="1" ht="12" x14ac:dyDescent="0.2">
      <c r="B147" s="920">
        <v>17</v>
      </c>
      <c r="C147" s="921">
        <f t="shared" si="8"/>
        <v>4.2</v>
      </c>
      <c r="D147" s="921">
        <f t="shared" si="9"/>
        <v>4</v>
      </c>
      <c r="E147" s="892"/>
      <c r="F147" s="921">
        <f t="shared" si="10"/>
        <v>4.8</v>
      </c>
      <c r="G147" s="921">
        <f>VLOOKUP('Journey distribution (ex Gold)'!$A21, $F$102:$G$103, 2)</f>
        <v>7.65</v>
      </c>
      <c r="H147" s="921">
        <f>VLOOKUP('Journey distribution (ex Gold)'!$A21, $B$102:$D$104, 3)</f>
        <v>4.8</v>
      </c>
      <c r="I147" s="810">
        <f t="shared" si="11"/>
        <v>2.2400000000000002</v>
      </c>
      <c r="J147" s="921">
        <f t="shared" si="12"/>
        <v>4.4800000000000004</v>
      </c>
      <c r="K147" s="892"/>
      <c r="L147" s="921">
        <f>VLOOKUP('Journey distribution (ex Gold)'!$A21, $B$102:$E$104, 4)</f>
        <v>6</v>
      </c>
      <c r="M147" s="892">
        <f>VLOOKUP('Journey distribution (ex Gold)'!$A21, $F$102:$H$103, 3)</f>
        <v>9.1999999999999993</v>
      </c>
      <c r="N147" s="921">
        <f>VLOOKUP('Journey distribution (ex Gold)'!$A21, $B$102:$E$104, 4)</f>
        <v>6</v>
      </c>
      <c r="O147" s="922">
        <f t="shared" si="13"/>
        <v>5.4</v>
      </c>
      <c r="AF147" s="865"/>
      <c r="AG147" s="892"/>
    </row>
    <row r="148" spans="2:33" s="718" customFormat="1" ht="12" x14ac:dyDescent="0.2">
      <c r="B148" s="920">
        <v>18</v>
      </c>
      <c r="C148" s="921">
        <f t="shared" si="8"/>
        <v>4.2</v>
      </c>
      <c r="D148" s="921">
        <f t="shared" si="9"/>
        <v>4</v>
      </c>
      <c r="E148" s="892"/>
      <c r="F148" s="921">
        <f t="shared" si="10"/>
        <v>4.8</v>
      </c>
      <c r="G148" s="921">
        <f>VLOOKUP('Journey distribution (ex Gold)'!$A22, $F$102:$G$103, 2)</f>
        <v>7.65</v>
      </c>
      <c r="H148" s="921">
        <f>VLOOKUP('Journey distribution (ex Gold)'!$A22, $B$102:$D$104, 3)</f>
        <v>4.8</v>
      </c>
      <c r="I148" s="810">
        <f t="shared" si="11"/>
        <v>2.2400000000000002</v>
      </c>
      <c r="J148" s="921">
        <f t="shared" si="12"/>
        <v>4.4800000000000004</v>
      </c>
      <c r="K148" s="892"/>
      <c r="L148" s="921">
        <f>VLOOKUP('Journey distribution (ex Gold)'!$A22, $B$102:$E$104, 4)</f>
        <v>6</v>
      </c>
      <c r="M148" s="892">
        <f>VLOOKUP('Journey distribution (ex Gold)'!$A22, $F$102:$H$103, 3)</f>
        <v>9.1999999999999993</v>
      </c>
      <c r="N148" s="921">
        <f>VLOOKUP('Journey distribution (ex Gold)'!$A22, $B$102:$E$104, 4)</f>
        <v>6</v>
      </c>
      <c r="O148" s="922">
        <f t="shared" si="13"/>
        <v>5.4</v>
      </c>
      <c r="AF148" s="865"/>
      <c r="AG148" s="892"/>
    </row>
    <row r="149" spans="2:33" s="718" customFormat="1" ht="12" x14ac:dyDescent="0.2">
      <c r="B149" s="920">
        <v>19</v>
      </c>
      <c r="C149" s="921">
        <f t="shared" si="8"/>
        <v>4.2</v>
      </c>
      <c r="D149" s="921">
        <f t="shared" si="9"/>
        <v>4</v>
      </c>
      <c r="E149" s="892"/>
      <c r="F149" s="921">
        <f t="shared" si="10"/>
        <v>4.8</v>
      </c>
      <c r="G149" s="921">
        <f>VLOOKUP('Journey distribution (ex Gold)'!$A23, $F$102:$G$103, 2)</f>
        <v>7.65</v>
      </c>
      <c r="H149" s="921">
        <f>VLOOKUP('Journey distribution (ex Gold)'!$A23, $B$102:$D$104, 3)</f>
        <v>4.8</v>
      </c>
      <c r="I149" s="810">
        <f t="shared" si="11"/>
        <v>2.2400000000000002</v>
      </c>
      <c r="J149" s="921">
        <f t="shared" si="12"/>
        <v>4.4800000000000004</v>
      </c>
      <c r="K149" s="892"/>
      <c r="L149" s="921">
        <f>VLOOKUP('Journey distribution (ex Gold)'!$A23, $B$102:$E$104, 4)</f>
        <v>6</v>
      </c>
      <c r="M149" s="892">
        <f>VLOOKUP('Journey distribution (ex Gold)'!$A23, $F$102:$H$103, 3)</f>
        <v>9.1999999999999993</v>
      </c>
      <c r="N149" s="921">
        <f>VLOOKUP('Journey distribution (ex Gold)'!$A23, $B$102:$E$104, 4)</f>
        <v>6</v>
      </c>
      <c r="O149" s="922">
        <f t="shared" si="13"/>
        <v>5.4</v>
      </c>
      <c r="AF149" s="865"/>
      <c r="AG149" s="892"/>
    </row>
    <row r="150" spans="2:33" s="718" customFormat="1" ht="12" x14ac:dyDescent="0.2">
      <c r="B150" s="920">
        <v>20</v>
      </c>
      <c r="C150" s="921">
        <f t="shared" si="8"/>
        <v>4.2</v>
      </c>
      <c r="D150" s="921">
        <f t="shared" si="9"/>
        <v>4.4000000000000004</v>
      </c>
      <c r="E150" s="892"/>
      <c r="F150" s="921">
        <f t="shared" si="10"/>
        <v>4.8</v>
      </c>
      <c r="G150" s="921">
        <f>VLOOKUP('Journey distribution (ex Gold)'!$A24, $F$102:$G$103, 2)</f>
        <v>7.65</v>
      </c>
      <c r="H150" s="921">
        <f>VLOOKUP('Journey distribution (ex Gold)'!$A24, $B$102:$D$104, 3)</f>
        <v>4.8</v>
      </c>
      <c r="I150" s="810">
        <f t="shared" si="11"/>
        <v>2.2400000000000002</v>
      </c>
      <c r="J150" s="921">
        <f t="shared" si="12"/>
        <v>5.15</v>
      </c>
      <c r="K150" s="892"/>
      <c r="L150" s="921">
        <f>VLOOKUP('Journey distribution (ex Gold)'!$A24, $B$102:$E$104, 4)</f>
        <v>6</v>
      </c>
      <c r="M150" s="892">
        <f>VLOOKUP('Journey distribution (ex Gold)'!$A24, $F$102:$H$103, 3)</f>
        <v>9.1999999999999993</v>
      </c>
      <c r="N150" s="921">
        <f>VLOOKUP('Journey distribution (ex Gold)'!$A24, $B$102:$E$104, 4)</f>
        <v>6</v>
      </c>
      <c r="O150" s="922">
        <f t="shared" si="13"/>
        <v>6.3</v>
      </c>
      <c r="AF150" s="892"/>
      <c r="AG150" s="892"/>
    </row>
    <row r="151" spans="2:33" s="718" customFormat="1" ht="12" x14ac:dyDescent="0.2">
      <c r="B151" s="920">
        <v>21</v>
      </c>
      <c r="C151" s="921">
        <f t="shared" si="8"/>
        <v>4.2</v>
      </c>
      <c r="D151" s="921">
        <f t="shared" si="9"/>
        <v>4.4000000000000004</v>
      </c>
      <c r="E151" s="892"/>
      <c r="F151" s="921">
        <f t="shared" si="10"/>
        <v>4.8</v>
      </c>
      <c r="G151" s="921">
        <f>VLOOKUP('Journey distribution (ex Gold)'!$A25, $F$102:$G$103, 2)</f>
        <v>7.65</v>
      </c>
      <c r="H151" s="921">
        <f>VLOOKUP('Journey distribution (ex Gold)'!$A25, $B$102:$D$104, 3)</f>
        <v>4.8</v>
      </c>
      <c r="I151" s="810">
        <f t="shared" si="11"/>
        <v>2.2400000000000002</v>
      </c>
      <c r="J151" s="921">
        <f t="shared" si="12"/>
        <v>5.15</v>
      </c>
      <c r="K151" s="892"/>
      <c r="L151" s="921">
        <f>VLOOKUP('Journey distribution (ex Gold)'!$A25, $B$102:$E$104, 4)</f>
        <v>6</v>
      </c>
      <c r="M151" s="892">
        <f>VLOOKUP('Journey distribution (ex Gold)'!$A25, $F$102:$H$103, 3)</f>
        <v>9.1999999999999993</v>
      </c>
      <c r="N151" s="921">
        <f>VLOOKUP('Journey distribution (ex Gold)'!$A25, $B$102:$E$104, 4)</f>
        <v>6</v>
      </c>
      <c r="O151" s="922">
        <f t="shared" si="13"/>
        <v>6.3</v>
      </c>
    </row>
    <row r="152" spans="2:33" s="718" customFormat="1" ht="12" x14ac:dyDescent="0.2">
      <c r="B152" s="920">
        <v>22</v>
      </c>
      <c r="C152" s="921">
        <f t="shared" si="8"/>
        <v>4.2</v>
      </c>
      <c r="D152" s="921">
        <f t="shared" si="9"/>
        <v>4.4000000000000004</v>
      </c>
      <c r="E152" s="892"/>
      <c r="F152" s="921">
        <f t="shared" si="10"/>
        <v>4.8</v>
      </c>
      <c r="G152" s="921">
        <f>VLOOKUP('Journey distribution (ex Gold)'!$A26, $F$102:$G$103, 2)</f>
        <v>7.65</v>
      </c>
      <c r="H152" s="921">
        <f>VLOOKUP('Journey distribution (ex Gold)'!$A26, $B$102:$D$104, 3)</f>
        <v>4.8</v>
      </c>
      <c r="I152" s="810">
        <f t="shared" si="11"/>
        <v>2.2400000000000002</v>
      </c>
      <c r="J152" s="921">
        <f t="shared" si="12"/>
        <v>5.15</v>
      </c>
      <c r="K152" s="892"/>
      <c r="L152" s="921">
        <f>VLOOKUP('Journey distribution (ex Gold)'!$A26, $B$102:$E$104, 4)</f>
        <v>6</v>
      </c>
      <c r="M152" s="892">
        <f>VLOOKUP('Journey distribution (ex Gold)'!$A26, $F$102:$H$103, 3)</f>
        <v>9.1999999999999993</v>
      </c>
      <c r="N152" s="921">
        <f>VLOOKUP('Journey distribution (ex Gold)'!$A26, $B$102:$E$104, 4)</f>
        <v>6</v>
      </c>
      <c r="O152" s="922">
        <f t="shared" si="13"/>
        <v>6.3</v>
      </c>
    </row>
    <row r="153" spans="2:33" s="718" customFormat="1" ht="12" x14ac:dyDescent="0.2">
      <c r="B153" s="920">
        <v>23</v>
      </c>
      <c r="C153" s="921">
        <f t="shared" si="8"/>
        <v>4.2</v>
      </c>
      <c r="D153" s="921">
        <f t="shared" si="9"/>
        <v>4.4000000000000004</v>
      </c>
      <c r="E153" s="892"/>
      <c r="F153" s="921">
        <f t="shared" si="10"/>
        <v>4.8</v>
      </c>
      <c r="G153" s="921">
        <f>VLOOKUP('Journey distribution (ex Gold)'!$A27, $F$102:$G$103, 2)</f>
        <v>7.65</v>
      </c>
      <c r="H153" s="921">
        <f>VLOOKUP('Journey distribution (ex Gold)'!$A27, $B$102:$D$104, 3)</f>
        <v>4.8</v>
      </c>
      <c r="I153" s="810">
        <f t="shared" si="11"/>
        <v>2.2400000000000002</v>
      </c>
      <c r="J153" s="921">
        <f t="shared" si="12"/>
        <v>5.15</v>
      </c>
      <c r="K153" s="892"/>
      <c r="L153" s="921">
        <f>VLOOKUP('Journey distribution (ex Gold)'!$A27, $B$102:$E$104, 4)</f>
        <v>6</v>
      </c>
      <c r="M153" s="892">
        <f>VLOOKUP('Journey distribution (ex Gold)'!$A27, $F$102:$H$103, 3)</f>
        <v>9.1999999999999993</v>
      </c>
      <c r="N153" s="921">
        <f>VLOOKUP('Journey distribution (ex Gold)'!$A27, $B$102:$E$104, 4)</f>
        <v>6</v>
      </c>
      <c r="O153" s="922">
        <f t="shared" si="13"/>
        <v>6.3</v>
      </c>
    </row>
    <row r="154" spans="2:33" s="718" customFormat="1" ht="12" hidden="1" x14ac:dyDescent="0.2">
      <c r="B154" s="920">
        <v>24</v>
      </c>
      <c r="C154" s="921">
        <f t="shared" si="8"/>
        <v>4.2</v>
      </c>
      <c r="D154" s="921">
        <f t="shared" si="9"/>
        <v>4.4000000000000004</v>
      </c>
      <c r="E154" s="892"/>
      <c r="F154" s="921">
        <f t="shared" si="10"/>
        <v>4.8</v>
      </c>
      <c r="G154" s="921">
        <f>VLOOKUP('Journey distribution (ex Gold)'!$A28, $F$102:$G$103, 2)</f>
        <v>7.65</v>
      </c>
      <c r="H154" s="921">
        <f>VLOOKUP('Journey distribution (ex Gold)'!$A28, $B$102:$D$104, 3)</f>
        <v>4.8</v>
      </c>
      <c r="I154" s="810">
        <f t="shared" si="11"/>
        <v>2.2400000000000002</v>
      </c>
      <c r="J154" s="921">
        <f t="shared" si="12"/>
        <v>5.15</v>
      </c>
      <c r="K154" s="892"/>
      <c r="L154" s="921">
        <f>VLOOKUP('Journey distribution (ex Gold)'!$A28, $B$102:$E$104, 4)</f>
        <v>6</v>
      </c>
      <c r="M154" s="892">
        <f>VLOOKUP('Journey distribution (ex Gold)'!$A28, $F$102:$H$103, 3)</f>
        <v>9.1999999999999993</v>
      </c>
      <c r="N154" s="921">
        <f>VLOOKUP('Journey distribution (ex Gold)'!$A28, $B$102:$E$104, 4)</f>
        <v>6</v>
      </c>
      <c r="O154" s="922">
        <f t="shared" si="13"/>
        <v>6.3</v>
      </c>
    </row>
    <row r="155" spans="2:33" s="718" customFormat="1" ht="12" hidden="1" x14ac:dyDescent="0.2">
      <c r="B155" s="920">
        <v>25</v>
      </c>
      <c r="C155" s="921">
        <f t="shared" si="8"/>
        <v>4.2</v>
      </c>
      <c r="D155" s="921">
        <f t="shared" si="9"/>
        <v>4.8</v>
      </c>
      <c r="E155" s="892"/>
      <c r="F155" s="921">
        <f t="shared" si="10"/>
        <v>4.8</v>
      </c>
      <c r="G155" s="921">
        <f>VLOOKUP('Journey distribution (ex Gold)'!$A29, $F$102:$G$103, 2)</f>
        <v>7.65</v>
      </c>
      <c r="H155" s="921">
        <f>VLOOKUP('Journey distribution (ex Gold)'!$A29, $B$102:$D$104, 3)</f>
        <v>4.8</v>
      </c>
      <c r="I155" s="810">
        <f t="shared" si="11"/>
        <v>2.2400000000000002</v>
      </c>
      <c r="J155" s="921">
        <f t="shared" si="12"/>
        <v>5.15</v>
      </c>
      <c r="K155" s="892"/>
      <c r="L155" s="921">
        <f>VLOOKUP('Journey distribution (ex Gold)'!$A29, $B$102:$E$104, 4)</f>
        <v>6</v>
      </c>
      <c r="M155" s="892">
        <f>VLOOKUP('Journey distribution (ex Gold)'!$A29, $F$102:$H$103, 3)</f>
        <v>9.1999999999999993</v>
      </c>
      <c r="N155" s="921">
        <f>VLOOKUP('Journey distribution (ex Gold)'!$A29, $B$102:$E$104, 4)</f>
        <v>6</v>
      </c>
      <c r="O155" s="922">
        <f t="shared" si="13"/>
        <v>6.3</v>
      </c>
    </row>
    <row r="156" spans="2:33" s="718" customFormat="1" ht="12" hidden="1" x14ac:dyDescent="0.2">
      <c r="B156" s="920">
        <v>26</v>
      </c>
      <c r="C156" s="921">
        <f t="shared" si="8"/>
        <v>4.2</v>
      </c>
      <c r="D156" s="921">
        <f t="shared" si="9"/>
        <v>4.8</v>
      </c>
      <c r="E156" s="892"/>
      <c r="F156" s="921">
        <f t="shared" si="10"/>
        <v>4.8</v>
      </c>
      <c r="G156" s="921">
        <f>VLOOKUP('Journey distribution (ex Gold)'!$A30, $F$102:$G$103, 2)</f>
        <v>7.65</v>
      </c>
      <c r="H156" s="921">
        <f>VLOOKUP('Journey distribution (ex Gold)'!$A30, $B$102:$D$104, 3)</f>
        <v>4.8</v>
      </c>
      <c r="I156" s="810">
        <f t="shared" si="11"/>
        <v>2.2400000000000002</v>
      </c>
      <c r="J156" s="921">
        <f t="shared" si="12"/>
        <v>5.15</v>
      </c>
      <c r="K156" s="892"/>
      <c r="L156" s="921">
        <f>VLOOKUP('Journey distribution (ex Gold)'!$A30, $B$102:$E$104, 4)</f>
        <v>6</v>
      </c>
      <c r="M156" s="892">
        <f>VLOOKUP('Journey distribution (ex Gold)'!$A30, $F$102:$H$103, 3)</f>
        <v>9.1999999999999993</v>
      </c>
      <c r="N156" s="921">
        <f>VLOOKUP('Journey distribution (ex Gold)'!$A30, $B$102:$E$104, 4)</f>
        <v>6</v>
      </c>
      <c r="O156" s="922">
        <f t="shared" si="13"/>
        <v>6.3</v>
      </c>
    </row>
    <row r="157" spans="2:33" s="718" customFormat="1" ht="12" hidden="1" x14ac:dyDescent="0.2">
      <c r="B157" s="920">
        <v>27</v>
      </c>
      <c r="C157" s="921">
        <f t="shared" si="8"/>
        <v>4.2</v>
      </c>
      <c r="D157" s="921">
        <f t="shared" si="9"/>
        <v>4.8</v>
      </c>
      <c r="E157" s="892"/>
      <c r="F157" s="921">
        <f t="shared" si="10"/>
        <v>4.8</v>
      </c>
      <c r="G157" s="921">
        <f>VLOOKUP('Journey distribution (ex Gold)'!$A31, $F$102:$G$103, 2)</f>
        <v>7.65</v>
      </c>
      <c r="H157" s="921">
        <f>VLOOKUP('Journey distribution (ex Gold)'!$A31, $B$102:$D$104, 3)</f>
        <v>4.8</v>
      </c>
      <c r="I157" s="810">
        <f t="shared" si="11"/>
        <v>2.2400000000000002</v>
      </c>
      <c r="J157" s="921">
        <f t="shared" si="12"/>
        <v>5.15</v>
      </c>
      <c r="K157" s="892"/>
      <c r="L157" s="921">
        <f>VLOOKUP('Journey distribution (ex Gold)'!$A31, $B$102:$E$104, 4)</f>
        <v>6</v>
      </c>
      <c r="M157" s="892">
        <f>VLOOKUP('Journey distribution (ex Gold)'!$A31, $F$102:$H$103, 3)</f>
        <v>9.1999999999999993</v>
      </c>
      <c r="N157" s="921">
        <f>VLOOKUP('Journey distribution (ex Gold)'!$A31, $B$102:$E$104, 4)</f>
        <v>6</v>
      </c>
      <c r="O157" s="922">
        <f t="shared" si="13"/>
        <v>6.3</v>
      </c>
    </row>
    <row r="158" spans="2:33" s="718" customFormat="1" ht="12" hidden="1" x14ac:dyDescent="0.2">
      <c r="B158" s="920">
        <v>28</v>
      </c>
      <c r="C158" s="921">
        <f t="shared" si="8"/>
        <v>4.2</v>
      </c>
      <c r="D158" s="921">
        <f t="shared" si="9"/>
        <v>4.8</v>
      </c>
      <c r="E158" s="892"/>
      <c r="F158" s="921">
        <f t="shared" si="10"/>
        <v>4.8</v>
      </c>
      <c r="G158" s="921">
        <f>VLOOKUP('Journey distribution (ex Gold)'!$A32, $F$102:$G$103, 2)</f>
        <v>7.65</v>
      </c>
      <c r="H158" s="921">
        <f>VLOOKUP('Journey distribution (ex Gold)'!$A32, $B$102:$D$104, 3)</f>
        <v>4.8</v>
      </c>
      <c r="I158" s="810">
        <f t="shared" si="11"/>
        <v>2.2400000000000002</v>
      </c>
      <c r="J158" s="921">
        <f t="shared" si="12"/>
        <v>5.15</v>
      </c>
      <c r="K158" s="892"/>
      <c r="L158" s="921">
        <f>VLOOKUP('Journey distribution (ex Gold)'!$A32, $B$102:$E$104, 4)</f>
        <v>6</v>
      </c>
      <c r="M158" s="892">
        <f>VLOOKUP('Journey distribution (ex Gold)'!$A32, $F$102:$H$103, 3)</f>
        <v>9.1999999999999993</v>
      </c>
      <c r="N158" s="921">
        <f>VLOOKUP('Journey distribution (ex Gold)'!$A32, $B$102:$E$104, 4)</f>
        <v>6</v>
      </c>
      <c r="O158" s="922">
        <f t="shared" si="13"/>
        <v>6.3</v>
      </c>
    </row>
    <row r="159" spans="2:33" s="718" customFormat="1" ht="12" hidden="1" x14ac:dyDescent="0.2">
      <c r="B159" s="920">
        <v>29</v>
      </c>
      <c r="C159" s="921">
        <f t="shared" si="8"/>
        <v>4.2</v>
      </c>
      <c r="D159" s="921">
        <f t="shared" si="9"/>
        <v>4.8</v>
      </c>
      <c r="E159" s="892"/>
      <c r="F159" s="921">
        <f t="shared" si="10"/>
        <v>4.8</v>
      </c>
      <c r="G159" s="921">
        <f>VLOOKUP('Journey distribution (ex Gold)'!$A33, $F$102:$G$103, 2)</f>
        <v>7.65</v>
      </c>
      <c r="H159" s="921">
        <f>VLOOKUP('Journey distribution (ex Gold)'!$A33, $B$102:$D$104, 3)</f>
        <v>4.8</v>
      </c>
      <c r="I159" s="810">
        <f t="shared" si="11"/>
        <v>2.2400000000000002</v>
      </c>
      <c r="J159" s="921">
        <f t="shared" si="12"/>
        <v>5.15</v>
      </c>
      <c r="K159" s="892"/>
      <c r="L159" s="921">
        <f>VLOOKUP('Journey distribution (ex Gold)'!$A33, $B$102:$E$104, 4)</f>
        <v>6</v>
      </c>
      <c r="M159" s="892">
        <f>VLOOKUP('Journey distribution (ex Gold)'!$A33, $F$102:$H$103, 3)</f>
        <v>9.1999999999999993</v>
      </c>
      <c r="N159" s="921">
        <f>VLOOKUP('Journey distribution (ex Gold)'!$A33, $B$102:$E$104, 4)</f>
        <v>6</v>
      </c>
      <c r="O159" s="922">
        <f t="shared" si="13"/>
        <v>6.3</v>
      </c>
    </row>
    <row r="160" spans="2:33" s="718" customFormat="1" ht="12" hidden="1" x14ac:dyDescent="0.2">
      <c r="B160" s="920">
        <v>30</v>
      </c>
      <c r="C160" s="921">
        <f t="shared" si="8"/>
        <v>4.2</v>
      </c>
      <c r="D160" s="921">
        <f t="shared" si="9"/>
        <v>5</v>
      </c>
      <c r="E160" s="892"/>
      <c r="F160" s="921">
        <f t="shared" si="10"/>
        <v>4.8</v>
      </c>
      <c r="G160" s="921">
        <f>VLOOKUP('Journey distribution (ex Gold)'!$A34, $F$102:$G$103, 2)</f>
        <v>7.65</v>
      </c>
      <c r="H160" s="921">
        <f>VLOOKUP('Journey distribution (ex Gold)'!$A34, $B$102:$D$104, 3)</f>
        <v>4.8</v>
      </c>
      <c r="I160" s="810">
        <f t="shared" si="11"/>
        <v>2.2400000000000002</v>
      </c>
      <c r="J160" s="921">
        <f t="shared" si="12"/>
        <v>5.15</v>
      </c>
      <c r="K160" s="892"/>
      <c r="L160" s="921">
        <f>VLOOKUP('Journey distribution (ex Gold)'!$A34, $B$102:$E$104, 4)</f>
        <v>6</v>
      </c>
      <c r="M160" s="892">
        <f>VLOOKUP('Journey distribution (ex Gold)'!$A34, $F$102:$H$103, 3)</f>
        <v>9.1999999999999993</v>
      </c>
      <c r="N160" s="921">
        <f>VLOOKUP('Journey distribution (ex Gold)'!$A34, $B$102:$E$104, 4)</f>
        <v>6</v>
      </c>
      <c r="O160" s="922">
        <f t="shared" si="13"/>
        <v>6.3</v>
      </c>
    </row>
    <row r="161" spans="2:15" s="718" customFormat="1" ht="12" hidden="1" x14ac:dyDescent="0.2">
      <c r="B161" s="920">
        <v>31</v>
      </c>
      <c r="C161" s="921">
        <f t="shared" si="8"/>
        <v>4.2</v>
      </c>
      <c r="D161" s="921">
        <f t="shared" si="9"/>
        <v>5</v>
      </c>
      <c r="E161" s="892"/>
      <c r="F161" s="921">
        <f t="shared" si="10"/>
        <v>4.8</v>
      </c>
      <c r="G161" s="921">
        <f>VLOOKUP('Journey distribution (ex Gold)'!$A35, $F$102:$G$103, 2)</f>
        <v>7.65</v>
      </c>
      <c r="H161" s="921">
        <f>VLOOKUP('Journey distribution (ex Gold)'!$A35, $B$102:$D$104, 3)</f>
        <v>4.8</v>
      </c>
      <c r="I161" s="810">
        <f t="shared" si="11"/>
        <v>2.2400000000000002</v>
      </c>
      <c r="J161" s="921">
        <f t="shared" si="12"/>
        <v>5.15</v>
      </c>
      <c r="K161" s="892"/>
      <c r="L161" s="921">
        <f>VLOOKUP('Journey distribution (ex Gold)'!$A35, $B$102:$E$104, 4)</f>
        <v>6</v>
      </c>
      <c r="M161" s="892">
        <f>VLOOKUP('Journey distribution (ex Gold)'!$A35, $F$102:$H$103, 3)</f>
        <v>9.1999999999999993</v>
      </c>
      <c r="N161" s="921">
        <f>VLOOKUP('Journey distribution (ex Gold)'!$A35, $B$102:$E$104, 4)</f>
        <v>6</v>
      </c>
      <c r="O161" s="922">
        <f t="shared" si="13"/>
        <v>6.3</v>
      </c>
    </row>
    <row r="162" spans="2:15" s="718" customFormat="1" ht="12" hidden="1" x14ac:dyDescent="0.2">
      <c r="B162" s="920">
        <v>32</v>
      </c>
      <c r="C162" s="921">
        <f t="shared" ref="C162:C193" si="14">VLOOKUP(B162, $B$102:$C$104, 2)</f>
        <v>4.2</v>
      </c>
      <c r="D162" s="921">
        <f t="shared" ref="D162:D193" si="15">VLOOKUP(B162, $I$102:$J$121, 2)</f>
        <v>5</v>
      </c>
      <c r="E162" s="892"/>
      <c r="F162" s="921">
        <f t="shared" si="10"/>
        <v>4.8</v>
      </c>
      <c r="G162" s="921">
        <f>VLOOKUP('Journey distribution (ex Gold)'!$A36, $F$102:$G$103, 2)</f>
        <v>7.65</v>
      </c>
      <c r="H162" s="921">
        <f>VLOOKUP('Journey distribution (ex Gold)'!$A36, $B$102:$D$104, 3)</f>
        <v>4.8</v>
      </c>
      <c r="I162" s="810">
        <f t="shared" si="11"/>
        <v>2.2400000000000002</v>
      </c>
      <c r="J162" s="921">
        <f t="shared" si="12"/>
        <v>5.15</v>
      </c>
      <c r="K162" s="892"/>
      <c r="L162" s="921">
        <f>VLOOKUP('Journey distribution (ex Gold)'!$A36, $B$102:$E$104, 4)</f>
        <v>6</v>
      </c>
      <c r="M162" s="892">
        <f>VLOOKUP('Journey distribution (ex Gold)'!$A36, $F$102:$H$103, 3)</f>
        <v>9.1999999999999993</v>
      </c>
      <c r="N162" s="921">
        <f>VLOOKUP('Journey distribution (ex Gold)'!$A36, $B$102:$E$104, 4)</f>
        <v>6</v>
      </c>
      <c r="O162" s="922">
        <f t="shared" si="13"/>
        <v>6.3</v>
      </c>
    </row>
    <row r="163" spans="2:15" s="718" customFormat="1" ht="12" hidden="1" x14ac:dyDescent="0.2">
      <c r="B163" s="920">
        <v>33</v>
      </c>
      <c r="C163" s="921">
        <f t="shared" si="14"/>
        <v>4.2</v>
      </c>
      <c r="D163" s="921">
        <f t="shared" si="15"/>
        <v>5</v>
      </c>
      <c r="E163" s="892"/>
      <c r="F163" s="921">
        <f t="shared" si="10"/>
        <v>4.8</v>
      </c>
      <c r="G163" s="921">
        <f>VLOOKUP('Journey distribution (ex Gold)'!$A37, $F$102:$G$103, 2)</f>
        <v>7.65</v>
      </c>
      <c r="H163" s="921">
        <f>VLOOKUP('Journey distribution (ex Gold)'!$A37, $B$102:$D$104, 3)</f>
        <v>4.8</v>
      </c>
      <c r="I163" s="810">
        <f t="shared" ref="I163:I194" si="16">I162</f>
        <v>2.2400000000000002</v>
      </c>
      <c r="J163" s="921">
        <f t="shared" si="12"/>
        <v>5.15</v>
      </c>
      <c r="K163" s="892"/>
      <c r="L163" s="921">
        <f>VLOOKUP('Journey distribution (ex Gold)'!$A37, $B$102:$E$104, 4)</f>
        <v>6</v>
      </c>
      <c r="M163" s="892">
        <f>VLOOKUP('Journey distribution (ex Gold)'!$A37, $F$102:$H$103, 3)</f>
        <v>9.1999999999999993</v>
      </c>
      <c r="N163" s="921">
        <f>VLOOKUP('Journey distribution (ex Gold)'!$A37, $B$102:$E$104, 4)</f>
        <v>6</v>
      </c>
      <c r="O163" s="922">
        <f t="shared" si="13"/>
        <v>6.3</v>
      </c>
    </row>
    <row r="164" spans="2:15" s="718" customFormat="1" ht="12" hidden="1" x14ac:dyDescent="0.2">
      <c r="B164" s="920">
        <v>34</v>
      </c>
      <c r="C164" s="921">
        <f t="shared" si="14"/>
        <v>4.2</v>
      </c>
      <c r="D164" s="921">
        <f t="shared" si="15"/>
        <v>5</v>
      </c>
      <c r="E164" s="892"/>
      <c r="F164" s="921">
        <f t="shared" si="10"/>
        <v>4.8</v>
      </c>
      <c r="G164" s="921">
        <f>VLOOKUP('Journey distribution (ex Gold)'!$A38, $F$102:$G$103, 2)</f>
        <v>7.65</v>
      </c>
      <c r="H164" s="921">
        <f>VLOOKUP('Journey distribution (ex Gold)'!$A38, $B$102:$D$104, 3)</f>
        <v>4.8</v>
      </c>
      <c r="I164" s="810">
        <f t="shared" si="16"/>
        <v>2.2400000000000002</v>
      </c>
      <c r="J164" s="921">
        <f t="shared" si="12"/>
        <v>5.15</v>
      </c>
      <c r="K164" s="892"/>
      <c r="L164" s="921">
        <f>VLOOKUP('Journey distribution (ex Gold)'!$A38, $B$102:$E$104, 4)</f>
        <v>6</v>
      </c>
      <c r="M164" s="892">
        <f>VLOOKUP('Journey distribution (ex Gold)'!$A38, $F$102:$H$103, 3)</f>
        <v>9.1999999999999993</v>
      </c>
      <c r="N164" s="921">
        <f>VLOOKUP('Journey distribution (ex Gold)'!$A38, $B$102:$E$104, 4)</f>
        <v>6</v>
      </c>
      <c r="O164" s="922">
        <f t="shared" si="13"/>
        <v>6.3</v>
      </c>
    </row>
    <row r="165" spans="2:15" s="718" customFormat="1" ht="12" hidden="1" x14ac:dyDescent="0.2">
      <c r="B165" s="920">
        <v>35</v>
      </c>
      <c r="C165" s="921">
        <f t="shared" si="14"/>
        <v>4.2</v>
      </c>
      <c r="D165" s="921">
        <f t="shared" si="15"/>
        <v>5.6</v>
      </c>
      <c r="E165" s="892"/>
      <c r="F165" s="921">
        <f t="shared" si="10"/>
        <v>4.8</v>
      </c>
      <c r="G165" s="921">
        <f>VLOOKUP('Journey distribution (ex Gold)'!$A39, $F$102:$G$103, 2)</f>
        <v>7.65</v>
      </c>
      <c r="H165" s="921">
        <f>VLOOKUP('Journey distribution (ex Gold)'!$A39, $B$102:$D$104, 3)</f>
        <v>4.8</v>
      </c>
      <c r="I165" s="810">
        <f t="shared" si="16"/>
        <v>2.2400000000000002</v>
      </c>
      <c r="J165" s="921">
        <f t="shared" si="12"/>
        <v>6.89</v>
      </c>
      <c r="K165" s="892"/>
      <c r="L165" s="921">
        <f>VLOOKUP('Journey distribution (ex Gold)'!$A39, $B$102:$E$104, 4)</f>
        <v>6</v>
      </c>
      <c r="M165" s="892">
        <f>VLOOKUP('Journey distribution (ex Gold)'!$A39, $F$102:$H$103, 3)</f>
        <v>9.1999999999999993</v>
      </c>
      <c r="N165" s="921">
        <f>VLOOKUP('Journey distribution (ex Gold)'!$A39, $B$102:$E$104, 4)</f>
        <v>6</v>
      </c>
      <c r="O165" s="922">
        <f t="shared" si="13"/>
        <v>8.3000000000000007</v>
      </c>
    </row>
    <row r="166" spans="2:15" s="718" customFormat="1" ht="12" hidden="1" x14ac:dyDescent="0.2">
      <c r="B166" s="920">
        <v>36</v>
      </c>
      <c r="C166" s="921">
        <f t="shared" si="14"/>
        <v>4.2</v>
      </c>
      <c r="D166" s="921">
        <f t="shared" si="15"/>
        <v>5.6</v>
      </c>
      <c r="E166" s="892"/>
      <c r="F166" s="921">
        <f t="shared" si="10"/>
        <v>4.8</v>
      </c>
      <c r="G166" s="921">
        <f>VLOOKUP('Journey distribution (ex Gold)'!$A40, $F$102:$G$103, 2)</f>
        <v>7.65</v>
      </c>
      <c r="H166" s="921">
        <f>VLOOKUP('Journey distribution (ex Gold)'!$A40, $B$102:$D$104, 3)</f>
        <v>4.8</v>
      </c>
      <c r="I166" s="810">
        <f t="shared" si="16"/>
        <v>2.2400000000000002</v>
      </c>
      <c r="J166" s="921">
        <f t="shared" si="12"/>
        <v>6.89</v>
      </c>
      <c r="K166" s="892"/>
      <c r="L166" s="921">
        <f>VLOOKUP('Journey distribution (ex Gold)'!$A40, $B$102:$E$104, 4)</f>
        <v>6</v>
      </c>
      <c r="M166" s="892">
        <f>VLOOKUP('Journey distribution (ex Gold)'!$A40, $F$102:$H$103, 3)</f>
        <v>9.1999999999999993</v>
      </c>
      <c r="N166" s="921">
        <f>VLOOKUP('Journey distribution (ex Gold)'!$A40, $B$102:$E$104, 4)</f>
        <v>6</v>
      </c>
      <c r="O166" s="922">
        <f t="shared" si="13"/>
        <v>8.3000000000000007</v>
      </c>
    </row>
    <row r="167" spans="2:15" s="718" customFormat="1" ht="12" hidden="1" x14ac:dyDescent="0.2">
      <c r="B167" s="920">
        <v>37</v>
      </c>
      <c r="C167" s="921">
        <f t="shared" si="14"/>
        <v>4.2</v>
      </c>
      <c r="D167" s="921">
        <f t="shared" si="15"/>
        <v>5.6</v>
      </c>
      <c r="E167" s="892"/>
      <c r="F167" s="921">
        <f t="shared" si="10"/>
        <v>4.8</v>
      </c>
      <c r="G167" s="921">
        <f>VLOOKUP('Journey distribution (ex Gold)'!$A41, $F$102:$G$103, 2)</f>
        <v>7.65</v>
      </c>
      <c r="H167" s="921">
        <f>VLOOKUP('Journey distribution (ex Gold)'!$A41, $B$102:$D$104, 3)</f>
        <v>4.8</v>
      </c>
      <c r="I167" s="810">
        <f t="shared" si="16"/>
        <v>2.2400000000000002</v>
      </c>
      <c r="J167" s="921">
        <f t="shared" si="12"/>
        <v>6.89</v>
      </c>
      <c r="K167" s="892"/>
      <c r="L167" s="921">
        <f>VLOOKUP('Journey distribution (ex Gold)'!$A41, $B$102:$E$104, 4)</f>
        <v>6</v>
      </c>
      <c r="M167" s="892">
        <f>VLOOKUP('Journey distribution (ex Gold)'!$A41, $F$102:$H$103, 3)</f>
        <v>9.1999999999999993</v>
      </c>
      <c r="N167" s="921">
        <f>VLOOKUP('Journey distribution (ex Gold)'!$A41, $B$102:$E$104, 4)</f>
        <v>6</v>
      </c>
      <c r="O167" s="922">
        <f t="shared" si="13"/>
        <v>8.3000000000000007</v>
      </c>
    </row>
    <row r="168" spans="2:15" s="718" customFormat="1" ht="12" hidden="1" x14ac:dyDescent="0.2">
      <c r="B168" s="920">
        <v>38</v>
      </c>
      <c r="C168" s="921">
        <f t="shared" si="14"/>
        <v>4.2</v>
      </c>
      <c r="D168" s="921">
        <f t="shared" si="15"/>
        <v>5.6</v>
      </c>
      <c r="E168" s="892"/>
      <c r="F168" s="921">
        <f t="shared" si="10"/>
        <v>4.8</v>
      </c>
      <c r="G168" s="921">
        <f>VLOOKUP('Journey distribution (ex Gold)'!$A42, $F$102:$G$103, 2)</f>
        <v>7.65</v>
      </c>
      <c r="H168" s="921">
        <f>VLOOKUP('Journey distribution (ex Gold)'!$A42, $B$102:$D$104, 3)</f>
        <v>4.8</v>
      </c>
      <c r="I168" s="810">
        <f t="shared" si="16"/>
        <v>2.2400000000000002</v>
      </c>
      <c r="J168" s="921">
        <f t="shared" si="12"/>
        <v>6.89</v>
      </c>
      <c r="K168" s="892"/>
      <c r="L168" s="921">
        <f>VLOOKUP('Journey distribution (ex Gold)'!$A42, $B$102:$E$104, 4)</f>
        <v>6</v>
      </c>
      <c r="M168" s="892">
        <f>VLOOKUP('Journey distribution (ex Gold)'!$A42, $F$102:$H$103, 3)</f>
        <v>9.1999999999999993</v>
      </c>
      <c r="N168" s="921">
        <f>VLOOKUP('Journey distribution (ex Gold)'!$A42, $B$102:$E$104, 4)</f>
        <v>6</v>
      </c>
      <c r="O168" s="922">
        <f t="shared" si="13"/>
        <v>8.3000000000000007</v>
      </c>
    </row>
    <row r="169" spans="2:15" s="718" customFormat="1" ht="12" hidden="1" x14ac:dyDescent="0.2">
      <c r="B169" s="920">
        <v>39</v>
      </c>
      <c r="C169" s="921">
        <f t="shared" si="14"/>
        <v>4.2</v>
      </c>
      <c r="D169" s="921">
        <f t="shared" si="15"/>
        <v>5.6</v>
      </c>
      <c r="E169" s="892"/>
      <c r="F169" s="921">
        <f t="shared" si="10"/>
        <v>4.8</v>
      </c>
      <c r="G169" s="921">
        <f>VLOOKUP('Journey distribution (ex Gold)'!$A43, $F$102:$G$103, 2)</f>
        <v>7.65</v>
      </c>
      <c r="H169" s="921">
        <f>VLOOKUP('Journey distribution (ex Gold)'!$A43, $B$102:$D$104, 3)</f>
        <v>4.8</v>
      </c>
      <c r="I169" s="810">
        <f t="shared" si="16"/>
        <v>2.2400000000000002</v>
      </c>
      <c r="J169" s="921">
        <f t="shared" si="12"/>
        <v>6.89</v>
      </c>
      <c r="K169" s="892"/>
      <c r="L169" s="921">
        <f>VLOOKUP('Journey distribution (ex Gold)'!$A43, $B$102:$E$104, 4)</f>
        <v>6</v>
      </c>
      <c r="M169" s="892">
        <f>VLOOKUP('Journey distribution (ex Gold)'!$A43, $F$102:$H$103, 3)</f>
        <v>9.1999999999999993</v>
      </c>
      <c r="N169" s="921">
        <f>VLOOKUP('Journey distribution (ex Gold)'!$A43, $B$102:$E$104, 4)</f>
        <v>6</v>
      </c>
      <c r="O169" s="922">
        <f t="shared" si="13"/>
        <v>8.3000000000000007</v>
      </c>
    </row>
    <row r="170" spans="2:15" s="718" customFormat="1" ht="12" hidden="1" x14ac:dyDescent="0.2">
      <c r="B170" s="920">
        <v>40</v>
      </c>
      <c r="C170" s="921">
        <f t="shared" si="14"/>
        <v>4.2</v>
      </c>
      <c r="D170" s="921">
        <f t="shared" si="15"/>
        <v>5.6</v>
      </c>
      <c r="E170" s="892"/>
      <c r="F170" s="921">
        <f t="shared" si="10"/>
        <v>4.8</v>
      </c>
      <c r="G170" s="921">
        <f>VLOOKUP('Journey distribution (ex Gold)'!$A44, $F$102:$G$103, 2)</f>
        <v>7.65</v>
      </c>
      <c r="H170" s="921">
        <f>VLOOKUP('Journey distribution (ex Gold)'!$A44, $B$102:$D$104, 3)</f>
        <v>4.8</v>
      </c>
      <c r="I170" s="810">
        <f t="shared" si="16"/>
        <v>2.2400000000000002</v>
      </c>
      <c r="J170" s="921">
        <f t="shared" si="12"/>
        <v>6.89</v>
      </c>
      <c r="K170" s="892"/>
      <c r="L170" s="921">
        <f>VLOOKUP('Journey distribution (ex Gold)'!$A44, $B$102:$E$104, 4)</f>
        <v>6</v>
      </c>
      <c r="M170" s="892">
        <f>VLOOKUP('Journey distribution (ex Gold)'!$A44, $F$102:$H$103, 3)</f>
        <v>9.1999999999999993</v>
      </c>
      <c r="N170" s="921">
        <f>VLOOKUP('Journey distribution (ex Gold)'!$A44, $B$102:$E$104, 4)</f>
        <v>6</v>
      </c>
      <c r="O170" s="922">
        <f t="shared" si="13"/>
        <v>8.3000000000000007</v>
      </c>
    </row>
    <row r="171" spans="2:15" s="718" customFormat="1" ht="12" hidden="1" x14ac:dyDescent="0.2">
      <c r="B171" s="920">
        <v>41</v>
      </c>
      <c r="C171" s="921">
        <f t="shared" si="14"/>
        <v>4.2</v>
      </c>
      <c r="D171" s="921">
        <f t="shared" si="15"/>
        <v>5.6</v>
      </c>
      <c r="E171" s="892"/>
      <c r="F171" s="921">
        <f t="shared" si="10"/>
        <v>4.8</v>
      </c>
      <c r="G171" s="921">
        <f>VLOOKUP('Journey distribution (ex Gold)'!$A45, $F$102:$G$103, 2)</f>
        <v>7.65</v>
      </c>
      <c r="H171" s="921">
        <f>VLOOKUP('Journey distribution (ex Gold)'!$A45, $B$102:$D$104, 3)</f>
        <v>4.8</v>
      </c>
      <c r="I171" s="810">
        <f t="shared" si="16"/>
        <v>2.2400000000000002</v>
      </c>
      <c r="J171" s="921">
        <f t="shared" si="12"/>
        <v>6.89</v>
      </c>
      <c r="K171" s="892"/>
      <c r="L171" s="921">
        <f>VLOOKUP('Journey distribution (ex Gold)'!$A45, $B$102:$E$104, 4)</f>
        <v>6</v>
      </c>
      <c r="M171" s="892">
        <f>VLOOKUP('Journey distribution (ex Gold)'!$A45, $F$102:$H$103, 3)</f>
        <v>9.1999999999999993</v>
      </c>
      <c r="N171" s="921">
        <f>VLOOKUP('Journey distribution (ex Gold)'!$A45, $B$102:$E$104, 4)</f>
        <v>6</v>
      </c>
      <c r="O171" s="922">
        <f t="shared" si="13"/>
        <v>8.3000000000000007</v>
      </c>
    </row>
    <row r="172" spans="2:15" s="718" customFormat="1" ht="12" hidden="1" x14ac:dyDescent="0.2">
      <c r="B172" s="920">
        <v>42</v>
      </c>
      <c r="C172" s="921">
        <f t="shared" si="14"/>
        <v>4.2</v>
      </c>
      <c r="D172" s="921">
        <f t="shared" si="15"/>
        <v>5.6</v>
      </c>
      <c r="E172" s="892"/>
      <c r="F172" s="921">
        <f t="shared" si="10"/>
        <v>4.8</v>
      </c>
      <c r="G172" s="921">
        <f>VLOOKUP('Journey distribution (ex Gold)'!$A46, $F$102:$G$103, 2)</f>
        <v>7.65</v>
      </c>
      <c r="H172" s="921">
        <f>VLOOKUP('Journey distribution (ex Gold)'!$A46, $B$102:$D$104, 3)</f>
        <v>4.8</v>
      </c>
      <c r="I172" s="810">
        <f t="shared" si="16"/>
        <v>2.2400000000000002</v>
      </c>
      <c r="J172" s="921">
        <f t="shared" si="12"/>
        <v>6.89</v>
      </c>
      <c r="K172" s="892"/>
      <c r="L172" s="921">
        <f>VLOOKUP('Journey distribution (ex Gold)'!$A46, $B$102:$E$104, 4)</f>
        <v>6</v>
      </c>
      <c r="M172" s="892">
        <f>VLOOKUP('Journey distribution (ex Gold)'!$A46, $F$102:$H$103, 3)</f>
        <v>9.1999999999999993</v>
      </c>
      <c r="N172" s="921">
        <f>VLOOKUP('Journey distribution (ex Gold)'!$A46, $B$102:$E$104, 4)</f>
        <v>6</v>
      </c>
      <c r="O172" s="922">
        <f t="shared" si="13"/>
        <v>8.3000000000000007</v>
      </c>
    </row>
    <row r="173" spans="2:15" s="718" customFormat="1" ht="12" hidden="1" x14ac:dyDescent="0.2">
      <c r="B173" s="920">
        <v>43</v>
      </c>
      <c r="C173" s="921">
        <f t="shared" si="14"/>
        <v>4.2</v>
      </c>
      <c r="D173" s="921">
        <f t="shared" si="15"/>
        <v>5.6</v>
      </c>
      <c r="E173" s="892"/>
      <c r="F173" s="921">
        <f t="shared" si="10"/>
        <v>4.8</v>
      </c>
      <c r="G173" s="921">
        <f>VLOOKUP('Journey distribution (ex Gold)'!$A47, $F$102:$G$103, 2)</f>
        <v>7.65</v>
      </c>
      <c r="H173" s="921">
        <f>VLOOKUP('Journey distribution (ex Gold)'!$A47, $B$102:$D$104, 3)</f>
        <v>4.8</v>
      </c>
      <c r="I173" s="810">
        <f t="shared" si="16"/>
        <v>2.2400000000000002</v>
      </c>
      <c r="J173" s="921">
        <f t="shared" si="12"/>
        <v>6.89</v>
      </c>
      <c r="K173" s="892"/>
      <c r="L173" s="921">
        <f>VLOOKUP('Journey distribution (ex Gold)'!$A47, $B$102:$E$104, 4)</f>
        <v>6</v>
      </c>
      <c r="M173" s="892">
        <f>VLOOKUP('Journey distribution (ex Gold)'!$A47, $F$102:$H$103, 3)</f>
        <v>9.1999999999999993</v>
      </c>
      <c r="N173" s="921">
        <f>VLOOKUP('Journey distribution (ex Gold)'!$A47, $B$102:$E$104, 4)</f>
        <v>6</v>
      </c>
      <c r="O173" s="922">
        <f t="shared" si="13"/>
        <v>8.3000000000000007</v>
      </c>
    </row>
    <row r="174" spans="2:15" s="718" customFormat="1" ht="12" hidden="1" x14ac:dyDescent="0.2">
      <c r="B174" s="920">
        <v>44</v>
      </c>
      <c r="C174" s="921">
        <f t="shared" si="14"/>
        <v>4.2</v>
      </c>
      <c r="D174" s="921">
        <f t="shared" si="15"/>
        <v>5.6</v>
      </c>
      <c r="E174" s="892"/>
      <c r="F174" s="921">
        <f t="shared" si="10"/>
        <v>4.8</v>
      </c>
      <c r="G174" s="921">
        <f>VLOOKUP('Journey distribution (ex Gold)'!$A48, $F$102:$G$103, 2)</f>
        <v>7.65</v>
      </c>
      <c r="H174" s="921">
        <f>VLOOKUP('Journey distribution (ex Gold)'!$A48, $B$102:$D$104, 3)</f>
        <v>4.8</v>
      </c>
      <c r="I174" s="810">
        <f t="shared" si="16"/>
        <v>2.2400000000000002</v>
      </c>
      <c r="J174" s="921">
        <f t="shared" si="12"/>
        <v>6.89</v>
      </c>
      <c r="K174" s="892"/>
      <c r="L174" s="921">
        <f>VLOOKUP('Journey distribution (ex Gold)'!$A48, $B$102:$E$104, 4)</f>
        <v>6</v>
      </c>
      <c r="M174" s="892">
        <f>VLOOKUP('Journey distribution (ex Gold)'!$A48, $F$102:$H$103, 3)</f>
        <v>9.1999999999999993</v>
      </c>
      <c r="N174" s="921">
        <f>VLOOKUP('Journey distribution (ex Gold)'!$A48, $B$102:$E$104, 4)</f>
        <v>6</v>
      </c>
      <c r="O174" s="922">
        <f t="shared" si="13"/>
        <v>8.3000000000000007</v>
      </c>
    </row>
    <row r="175" spans="2:15" s="718" customFormat="1" ht="12" hidden="1" x14ac:dyDescent="0.2">
      <c r="B175" s="920">
        <v>45</v>
      </c>
      <c r="C175" s="921">
        <f t="shared" si="14"/>
        <v>4.2</v>
      </c>
      <c r="D175" s="921">
        <f t="shared" si="15"/>
        <v>6.6</v>
      </c>
      <c r="E175" s="892"/>
      <c r="F175" s="921">
        <f t="shared" si="10"/>
        <v>4.8</v>
      </c>
      <c r="G175" s="921">
        <f>VLOOKUP('Journey distribution (ex Gold)'!$A49, $F$102:$G$103, 2)</f>
        <v>7.65</v>
      </c>
      <c r="H175" s="921">
        <f>VLOOKUP('Journey distribution (ex Gold)'!$A49, $B$102:$D$104, 3)</f>
        <v>4.8</v>
      </c>
      <c r="I175" s="810">
        <f t="shared" si="16"/>
        <v>2.2400000000000002</v>
      </c>
      <c r="J175" s="921">
        <f t="shared" si="12"/>
        <v>6.89</v>
      </c>
      <c r="K175" s="892"/>
      <c r="L175" s="921">
        <f>VLOOKUP('Journey distribution (ex Gold)'!$A49, $B$102:$E$104, 4)</f>
        <v>6</v>
      </c>
      <c r="M175" s="892">
        <f>VLOOKUP('Journey distribution (ex Gold)'!$A49, $F$102:$H$103, 3)</f>
        <v>9.1999999999999993</v>
      </c>
      <c r="N175" s="921">
        <f>VLOOKUP('Journey distribution (ex Gold)'!$A49, $B$102:$E$104, 4)</f>
        <v>6</v>
      </c>
      <c r="O175" s="922">
        <f t="shared" si="13"/>
        <v>8.3000000000000007</v>
      </c>
    </row>
    <row r="176" spans="2:15" s="718" customFormat="1" ht="12" hidden="1" x14ac:dyDescent="0.2">
      <c r="B176" s="920">
        <v>46</v>
      </c>
      <c r="C176" s="921">
        <f t="shared" si="14"/>
        <v>4.2</v>
      </c>
      <c r="D176" s="921">
        <f t="shared" si="15"/>
        <v>6.6</v>
      </c>
      <c r="E176" s="892"/>
      <c r="F176" s="921">
        <f t="shared" si="10"/>
        <v>4.8</v>
      </c>
      <c r="G176" s="921">
        <f>VLOOKUP('Journey distribution (ex Gold)'!$A50, $F$102:$G$103, 2)</f>
        <v>7.65</v>
      </c>
      <c r="H176" s="921">
        <f>VLOOKUP('Journey distribution (ex Gold)'!$A50, $B$102:$D$104, 3)</f>
        <v>4.8</v>
      </c>
      <c r="I176" s="810">
        <f t="shared" si="16"/>
        <v>2.2400000000000002</v>
      </c>
      <c r="J176" s="921">
        <f t="shared" si="12"/>
        <v>6.89</v>
      </c>
      <c r="K176" s="892"/>
      <c r="L176" s="921">
        <f>VLOOKUP('Journey distribution (ex Gold)'!$A50, $B$102:$E$104, 4)</f>
        <v>6</v>
      </c>
      <c r="M176" s="892">
        <f>VLOOKUP('Journey distribution (ex Gold)'!$A50, $F$102:$H$103, 3)</f>
        <v>9.1999999999999993</v>
      </c>
      <c r="N176" s="921">
        <f>VLOOKUP('Journey distribution (ex Gold)'!$A50, $B$102:$E$104, 4)</f>
        <v>6</v>
      </c>
      <c r="O176" s="922">
        <f t="shared" si="13"/>
        <v>8.3000000000000007</v>
      </c>
    </row>
    <row r="177" spans="2:15" s="718" customFormat="1" ht="12" hidden="1" x14ac:dyDescent="0.2">
      <c r="B177" s="920">
        <v>47</v>
      </c>
      <c r="C177" s="921">
        <f t="shared" si="14"/>
        <v>4.2</v>
      </c>
      <c r="D177" s="921">
        <f t="shared" si="15"/>
        <v>6.6</v>
      </c>
      <c r="E177" s="892"/>
      <c r="F177" s="921">
        <f t="shared" si="10"/>
        <v>4.8</v>
      </c>
      <c r="G177" s="921">
        <f>VLOOKUP('Journey distribution (ex Gold)'!$A51, $F$102:$G$103, 2)</f>
        <v>7.65</v>
      </c>
      <c r="H177" s="921">
        <f>VLOOKUP('Journey distribution (ex Gold)'!$A51, $B$102:$D$104, 3)</f>
        <v>4.8</v>
      </c>
      <c r="I177" s="810">
        <f t="shared" si="16"/>
        <v>2.2400000000000002</v>
      </c>
      <c r="J177" s="921">
        <f t="shared" si="12"/>
        <v>6.89</v>
      </c>
      <c r="K177" s="892"/>
      <c r="L177" s="921">
        <f>VLOOKUP('Journey distribution (ex Gold)'!$A51, $B$102:$E$104, 4)</f>
        <v>6</v>
      </c>
      <c r="M177" s="892">
        <f>VLOOKUP('Journey distribution (ex Gold)'!$A51, $F$102:$H$103, 3)</f>
        <v>9.1999999999999993</v>
      </c>
      <c r="N177" s="921">
        <f>VLOOKUP('Journey distribution (ex Gold)'!$A51, $B$102:$E$104, 4)</f>
        <v>6</v>
      </c>
      <c r="O177" s="922">
        <f t="shared" si="13"/>
        <v>8.3000000000000007</v>
      </c>
    </row>
    <row r="178" spans="2:15" s="718" customFormat="1" ht="12" hidden="1" x14ac:dyDescent="0.2">
      <c r="B178" s="920">
        <v>48</v>
      </c>
      <c r="C178" s="921">
        <f t="shared" si="14"/>
        <v>4.2</v>
      </c>
      <c r="D178" s="921">
        <f t="shared" si="15"/>
        <v>6.6</v>
      </c>
      <c r="E178" s="892"/>
      <c r="F178" s="921">
        <f t="shared" si="10"/>
        <v>4.8</v>
      </c>
      <c r="G178" s="921">
        <f>VLOOKUP('Journey distribution (ex Gold)'!$A52, $F$102:$G$103, 2)</f>
        <v>7.65</v>
      </c>
      <c r="H178" s="921">
        <f>VLOOKUP('Journey distribution (ex Gold)'!$A52, $B$102:$D$104, 3)</f>
        <v>4.8</v>
      </c>
      <c r="I178" s="810">
        <f t="shared" si="16"/>
        <v>2.2400000000000002</v>
      </c>
      <c r="J178" s="921">
        <f t="shared" si="12"/>
        <v>6.89</v>
      </c>
      <c r="K178" s="892"/>
      <c r="L178" s="921">
        <f>VLOOKUP('Journey distribution (ex Gold)'!$A52, $B$102:$E$104, 4)</f>
        <v>6</v>
      </c>
      <c r="M178" s="892">
        <f>VLOOKUP('Journey distribution (ex Gold)'!$A52, $F$102:$H$103, 3)</f>
        <v>9.1999999999999993</v>
      </c>
      <c r="N178" s="921">
        <f>VLOOKUP('Journey distribution (ex Gold)'!$A52, $B$102:$E$104, 4)</f>
        <v>6</v>
      </c>
      <c r="O178" s="922">
        <f t="shared" si="13"/>
        <v>8.3000000000000007</v>
      </c>
    </row>
    <row r="179" spans="2:15" s="718" customFormat="1" ht="12" hidden="1" x14ac:dyDescent="0.2">
      <c r="B179" s="920">
        <v>49</v>
      </c>
      <c r="C179" s="921">
        <f t="shared" si="14"/>
        <v>4.2</v>
      </c>
      <c r="D179" s="921">
        <f t="shared" si="15"/>
        <v>6.6</v>
      </c>
      <c r="E179" s="892"/>
      <c r="F179" s="921">
        <f t="shared" si="10"/>
        <v>4.8</v>
      </c>
      <c r="G179" s="921">
        <f>VLOOKUP('Journey distribution (ex Gold)'!$A53, $F$102:$G$103, 2)</f>
        <v>7.65</v>
      </c>
      <c r="H179" s="921">
        <f>VLOOKUP('Journey distribution (ex Gold)'!$A53, $B$102:$D$104, 3)</f>
        <v>4.8</v>
      </c>
      <c r="I179" s="810">
        <f t="shared" si="16"/>
        <v>2.2400000000000002</v>
      </c>
      <c r="J179" s="921">
        <f t="shared" si="12"/>
        <v>6.89</v>
      </c>
      <c r="K179" s="892"/>
      <c r="L179" s="921">
        <f>VLOOKUP('Journey distribution (ex Gold)'!$A53, $B$102:$E$104, 4)</f>
        <v>6</v>
      </c>
      <c r="M179" s="892">
        <f>VLOOKUP('Journey distribution (ex Gold)'!$A53, $F$102:$H$103, 3)</f>
        <v>9.1999999999999993</v>
      </c>
      <c r="N179" s="921">
        <f>VLOOKUP('Journey distribution (ex Gold)'!$A53, $B$102:$E$104, 4)</f>
        <v>6</v>
      </c>
      <c r="O179" s="922">
        <f t="shared" si="13"/>
        <v>8.3000000000000007</v>
      </c>
    </row>
    <row r="180" spans="2:15" s="718" customFormat="1" ht="12" hidden="1" x14ac:dyDescent="0.2">
      <c r="B180" s="920">
        <v>50</v>
      </c>
      <c r="C180" s="921">
        <f t="shared" si="14"/>
        <v>4.2</v>
      </c>
      <c r="D180" s="921">
        <f t="shared" si="15"/>
        <v>6.6</v>
      </c>
      <c r="E180" s="892"/>
      <c r="F180" s="921">
        <f t="shared" si="10"/>
        <v>4.8</v>
      </c>
      <c r="G180" s="921">
        <f>VLOOKUP('Journey distribution (ex Gold)'!$A54, $F$102:$G$103, 2)</f>
        <v>7.65</v>
      </c>
      <c r="H180" s="921">
        <f>VLOOKUP('Journey distribution (ex Gold)'!$A54, $B$102:$D$104, 3)</f>
        <v>4.8</v>
      </c>
      <c r="I180" s="810">
        <f t="shared" si="16"/>
        <v>2.2400000000000002</v>
      </c>
      <c r="J180" s="921">
        <f t="shared" si="12"/>
        <v>6.89</v>
      </c>
      <c r="K180" s="892"/>
      <c r="L180" s="921">
        <f>VLOOKUP('Journey distribution (ex Gold)'!$A54, $B$102:$E$104, 4)</f>
        <v>6</v>
      </c>
      <c r="M180" s="892">
        <f>VLOOKUP('Journey distribution (ex Gold)'!$A54, $F$102:$H$103, 3)</f>
        <v>9.1999999999999993</v>
      </c>
      <c r="N180" s="921">
        <f>VLOOKUP('Journey distribution (ex Gold)'!$A54, $B$102:$E$104, 4)</f>
        <v>6</v>
      </c>
      <c r="O180" s="922">
        <f t="shared" si="13"/>
        <v>8.3000000000000007</v>
      </c>
    </row>
    <row r="181" spans="2:15" s="718" customFormat="1" ht="12" hidden="1" x14ac:dyDescent="0.2">
      <c r="B181" s="920">
        <v>51</v>
      </c>
      <c r="C181" s="921">
        <f t="shared" si="14"/>
        <v>4.2</v>
      </c>
      <c r="D181" s="921">
        <f t="shared" si="15"/>
        <v>6.6</v>
      </c>
      <c r="E181" s="892"/>
      <c r="F181" s="921">
        <f t="shared" si="10"/>
        <v>4.8</v>
      </c>
      <c r="G181" s="921">
        <f>VLOOKUP('Journey distribution (ex Gold)'!$A55, $F$102:$G$103, 2)</f>
        <v>7.65</v>
      </c>
      <c r="H181" s="921">
        <f>VLOOKUP('Journey distribution (ex Gold)'!$A55, $B$102:$D$104, 3)</f>
        <v>4.8</v>
      </c>
      <c r="I181" s="810">
        <f t="shared" si="16"/>
        <v>2.2400000000000002</v>
      </c>
      <c r="J181" s="921">
        <f t="shared" si="12"/>
        <v>6.89</v>
      </c>
      <c r="K181" s="892"/>
      <c r="L181" s="921">
        <f>VLOOKUP('Journey distribution (ex Gold)'!$A55, $B$102:$E$104, 4)</f>
        <v>6</v>
      </c>
      <c r="M181" s="892">
        <f>VLOOKUP('Journey distribution (ex Gold)'!$A55, $F$102:$H$103, 3)</f>
        <v>9.1999999999999993</v>
      </c>
      <c r="N181" s="921">
        <f>VLOOKUP('Journey distribution (ex Gold)'!$A55, $B$102:$E$104, 4)</f>
        <v>6</v>
      </c>
      <c r="O181" s="922">
        <f t="shared" si="13"/>
        <v>8.3000000000000007</v>
      </c>
    </row>
    <row r="182" spans="2:15" s="718" customFormat="1" ht="12" hidden="1" x14ac:dyDescent="0.2">
      <c r="B182" s="920">
        <v>52</v>
      </c>
      <c r="C182" s="921">
        <f t="shared" si="14"/>
        <v>4.2</v>
      </c>
      <c r="D182" s="921">
        <f t="shared" si="15"/>
        <v>6.6</v>
      </c>
      <c r="E182" s="892"/>
      <c r="F182" s="921">
        <f t="shared" si="10"/>
        <v>4.8</v>
      </c>
      <c r="G182" s="921">
        <f>VLOOKUP('Journey distribution (ex Gold)'!$A56, $F$102:$G$103, 2)</f>
        <v>7.65</v>
      </c>
      <c r="H182" s="921">
        <f>VLOOKUP('Journey distribution (ex Gold)'!$A56, $B$102:$D$104, 3)</f>
        <v>4.8</v>
      </c>
      <c r="I182" s="810">
        <f t="shared" si="16"/>
        <v>2.2400000000000002</v>
      </c>
      <c r="J182" s="921">
        <f t="shared" si="12"/>
        <v>6.89</v>
      </c>
      <c r="K182" s="892"/>
      <c r="L182" s="921">
        <f>VLOOKUP('Journey distribution (ex Gold)'!$A56, $B$102:$E$104, 4)</f>
        <v>6</v>
      </c>
      <c r="M182" s="892">
        <f>VLOOKUP('Journey distribution (ex Gold)'!$A56, $F$102:$H$103, 3)</f>
        <v>9.1999999999999993</v>
      </c>
      <c r="N182" s="921">
        <f>VLOOKUP('Journey distribution (ex Gold)'!$A56, $B$102:$E$104, 4)</f>
        <v>6</v>
      </c>
      <c r="O182" s="922">
        <f t="shared" si="13"/>
        <v>8.3000000000000007</v>
      </c>
    </row>
    <row r="183" spans="2:15" s="718" customFormat="1" ht="12" hidden="1" x14ac:dyDescent="0.2">
      <c r="B183" s="920">
        <v>53</v>
      </c>
      <c r="C183" s="921">
        <f t="shared" si="14"/>
        <v>4.2</v>
      </c>
      <c r="D183" s="921">
        <f t="shared" si="15"/>
        <v>6.6</v>
      </c>
      <c r="E183" s="892"/>
      <c r="F183" s="921">
        <f t="shared" si="10"/>
        <v>4.8</v>
      </c>
      <c r="G183" s="921">
        <f>VLOOKUP('Journey distribution (ex Gold)'!$A57, $F$102:$G$103, 2)</f>
        <v>7.65</v>
      </c>
      <c r="H183" s="921">
        <f>VLOOKUP('Journey distribution (ex Gold)'!$A57, $B$102:$D$104, 3)</f>
        <v>4.8</v>
      </c>
      <c r="I183" s="810">
        <f t="shared" si="16"/>
        <v>2.2400000000000002</v>
      </c>
      <c r="J183" s="921">
        <f t="shared" si="12"/>
        <v>6.89</v>
      </c>
      <c r="K183" s="892"/>
      <c r="L183" s="921">
        <f>VLOOKUP('Journey distribution (ex Gold)'!$A57, $B$102:$E$104, 4)</f>
        <v>6</v>
      </c>
      <c r="M183" s="892">
        <f>VLOOKUP('Journey distribution (ex Gold)'!$A57, $F$102:$H$103, 3)</f>
        <v>9.1999999999999993</v>
      </c>
      <c r="N183" s="921">
        <f>VLOOKUP('Journey distribution (ex Gold)'!$A57, $B$102:$E$104, 4)</f>
        <v>6</v>
      </c>
      <c r="O183" s="922">
        <f t="shared" si="13"/>
        <v>8.3000000000000007</v>
      </c>
    </row>
    <row r="184" spans="2:15" s="718" customFormat="1" ht="12" hidden="1" x14ac:dyDescent="0.2">
      <c r="B184" s="920">
        <v>54</v>
      </c>
      <c r="C184" s="921">
        <f t="shared" si="14"/>
        <v>4.2</v>
      </c>
      <c r="D184" s="921">
        <f t="shared" si="15"/>
        <v>6.6</v>
      </c>
      <c r="E184" s="892"/>
      <c r="F184" s="921">
        <f t="shared" si="10"/>
        <v>4.8</v>
      </c>
      <c r="G184" s="921">
        <f>VLOOKUP('Journey distribution (ex Gold)'!$A58, $F$102:$G$103, 2)</f>
        <v>7.65</v>
      </c>
      <c r="H184" s="921">
        <f>VLOOKUP('Journey distribution (ex Gold)'!$A58, $B$102:$D$104, 3)</f>
        <v>4.8</v>
      </c>
      <c r="I184" s="810">
        <f t="shared" si="16"/>
        <v>2.2400000000000002</v>
      </c>
      <c r="J184" s="921">
        <f t="shared" si="12"/>
        <v>6.89</v>
      </c>
      <c r="K184" s="892"/>
      <c r="L184" s="921">
        <f>VLOOKUP('Journey distribution (ex Gold)'!$A58, $B$102:$E$104, 4)</f>
        <v>6</v>
      </c>
      <c r="M184" s="892">
        <f>VLOOKUP('Journey distribution (ex Gold)'!$A58, $F$102:$H$103, 3)</f>
        <v>9.1999999999999993</v>
      </c>
      <c r="N184" s="921">
        <f>VLOOKUP('Journey distribution (ex Gold)'!$A58, $B$102:$E$104, 4)</f>
        <v>6</v>
      </c>
      <c r="O184" s="922">
        <f t="shared" si="13"/>
        <v>8.3000000000000007</v>
      </c>
    </row>
    <row r="185" spans="2:15" s="718" customFormat="1" ht="12" hidden="1" x14ac:dyDescent="0.2">
      <c r="B185" s="920">
        <v>55</v>
      </c>
      <c r="C185" s="921">
        <f t="shared" si="14"/>
        <v>4.2</v>
      </c>
      <c r="D185" s="921">
        <f t="shared" si="15"/>
        <v>7.2</v>
      </c>
      <c r="E185" s="892"/>
      <c r="F185" s="921">
        <f t="shared" si="10"/>
        <v>4.8</v>
      </c>
      <c r="G185" s="921">
        <f>VLOOKUP('Journey distribution (ex Gold)'!$A59, $F$102:$G$103, 2)</f>
        <v>7.65</v>
      </c>
      <c r="H185" s="921">
        <f>VLOOKUP('Journey distribution (ex Gold)'!$A59, $B$102:$D$104, 3)</f>
        <v>4.8</v>
      </c>
      <c r="I185" s="810">
        <f t="shared" si="16"/>
        <v>2.2400000000000002</v>
      </c>
      <c r="J185" s="921">
        <f t="shared" si="12"/>
        <v>6.89</v>
      </c>
      <c r="K185" s="892"/>
      <c r="L185" s="921">
        <f>VLOOKUP('Journey distribution (ex Gold)'!$A59, $B$102:$E$104, 4)</f>
        <v>6</v>
      </c>
      <c r="M185" s="892">
        <f>VLOOKUP('Journey distribution (ex Gold)'!$A59, $F$102:$H$103, 3)</f>
        <v>9.1999999999999993</v>
      </c>
      <c r="N185" s="921">
        <f>VLOOKUP('Journey distribution (ex Gold)'!$A59, $B$102:$E$104, 4)</f>
        <v>6</v>
      </c>
      <c r="O185" s="922">
        <f t="shared" si="13"/>
        <v>8.3000000000000007</v>
      </c>
    </row>
    <row r="186" spans="2:15" s="718" customFormat="1" ht="12" hidden="1" x14ac:dyDescent="0.2">
      <c r="B186" s="920">
        <v>56</v>
      </c>
      <c r="C186" s="921">
        <f t="shared" si="14"/>
        <v>4.2</v>
      </c>
      <c r="D186" s="921">
        <f t="shared" si="15"/>
        <v>7.2</v>
      </c>
      <c r="E186" s="892"/>
      <c r="F186" s="921">
        <f t="shared" si="10"/>
        <v>4.8</v>
      </c>
      <c r="G186" s="921">
        <f>VLOOKUP('Journey distribution (ex Gold)'!$A60, $F$102:$G$103, 2)</f>
        <v>7.65</v>
      </c>
      <c r="H186" s="921">
        <f>VLOOKUP('Journey distribution (ex Gold)'!$A60, $B$102:$D$104, 3)</f>
        <v>4.8</v>
      </c>
      <c r="I186" s="810">
        <f t="shared" si="16"/>
        <v>2.2400000000000002</v>
      </c>
      <c r="J186" s="921">
        <f t="shared" si="12"/>
        <v>6.89</v>
      </c>
      <c r="K186" s="892"/>
      <c r="L186" s="921">
        <f>VLOOKUP('Journey distribution (ex Gold)'!$A60, $B$102:$E$104, 4)</f>
        <v>6</v>
      </c>
      <c r="M186" s="892">
        <f>VLOOKUP('Journey distribution (ex Gold)'!$A60, $F$102:$H$103, 3)</f>
        <v>9.1999999999999993</v>
      </c>
      <c r="N186" s="921">
        <f>VLOOKUP('Journey distribution (ex Gold)'!$A60, $B$102:$E$104, 4)</f>
        <v>6</v>
      </c>
      <c r="O186" s="922">
        <f t="shared" si="13"/>
        <v>8.3000000000000007</v>
      </c>
    </row>
    <row r="187" spans="2:15" s="718" customFormat="1" ht="12" hidden="1" x14ac:dyDescent="0.2">
      <c r="B187" s="920">
        <v>57</v>
      </c>
      <c r="C187" s="921">
        <f t="shared" si="14"/>
        <v>4.2</v>
      </c>
      <c r="D187" s="921">
        <f t="shared" si="15"/>
        <v>7.2</v>
      </c>
      <c r="E187" s="892"/>
      <c r="F187" s="921">
        <f t="shared" si="10"/>
        <v>4.8</v>
      </c>
      <c r="G187" s="921">
        <f>VLOOKUP('Journey distribution (ex Gold)'!$A61, $F$102:$G$103, 2)</f>
        <v>7.65</v>
      </c>
      <c r="H187" s="921">
        <f>VLOOKUP('Journey distribution (ex Gold)'!$A61, $B$102:$D$104, 3)</f>
        <v>4.8</v>
      </c>
      <c r="I187" s="810">
        <f t="shared" si="16"/>
        <v>2.2400000000000002</v>
      </c>
      <c r="J187" s="921">
        <f t="shared" si="12"/>
        <v>6.89</v>
      </c>
      <c r="K187" s="892"/>
      <c r="L187" s="921">
        <f>VLOOKUP('Journey distribution (ex Gold)'!$A61, $B$102:$E$104, 4)</f>
        <v>6</v>
      </c>
      <c r="M187" s="892">
        <f>VLOOKUP('Journey distribution (ex Gold)'!$A61, $F$102:$H$103, 3)</f>
        <v>9.1999999999999993</v>
      </c>
      <c r="N187" s="921">
        <f>VLOOKUP('Journey distribution (ex Gold)'!$A61, $B$102:$E$104, 4)</f>
        <v>6</v>
      </c>
      <c r="O187" s="922">
        <f t="shared" si="13"/>
        <v>8.3000000000000007</v>
      </c>
    </row>
    <row r="188" spans="2:15" s="718" customFormat="1" ht="12" hidden="1" x14ac:dyDescent="0.2">
      <c r="B188" s="920">
        <v>58</v>
      </c>
      <c r="C188" s="921">
        <f t="shared" si="14"/>
        <v>4.2</v>
      </c>
      <c r="D188" s="921">
        <f t="shared" si="15"/>
        <v>7.2</v>
      </c>
      <c r="E188" s="892"/>
      <c r="F188" s="921">
        <f t="shared" si="10"/>
        <v>4.8</v>
      </c>
      <c r="G188" s="921">
        <f>VLOOKUP('Journey distribution (ex Gold)'!$A62, $F$102:$G$103, 2)</f>
        <v>7.65</v>
      </c>
      <c r="H188" s="921">
        <f>VLOOKUP('Journey distribution (ex Gold)'!$A62, $B$102:$D$104, 3)</f>
        <v>4.8</v>
      </c>
      <c r="I188" s="810">
        <f t="shared" si="16"/>
        <v>2.2400000000000002</v>
      </c>
      <c r="J188" s="921">
        <f t="shared" si="12"/>
        <v>6.89</v>
      </c>
      <c r="K188" s="892"/>
      <c r="L188" s="921">
        <f>VLOOKUP('Journey distribution (ex Gold)'!$A62, $B$102:$E$104, 4)</f>
        <v>6</v>
      </c>
      <c r="M188" s="892">
        <f>VLOOKUP('Journey distribution (ex Gold)'!$A62, $F$102:$H$103, 3)</f>
        <v>9.1999999999999993</v>
      </c>
      <c r="N188" s="921">
        <f>VLOOKUP('Journey distribution (ex Gold)'!$A62, $B$102:$E$104, 4)</f>
        <v>6</v>
      </c>
      <c r="O188" s="922">
        <f t="shared" si="13"/>
        <v>8.3000000000000007</v>
      </c>
    </row>
    <row r="189" spans="2:15" s="718" customFormat="1" ht="12" hidden="1" x14ac:dyDescent="0.2">
      <c r="B189" s="920">
        <v>59</v>
      </c>
      <c r="C189" s="921">
        <f t="shared" si="14"/>
        <v>4.2</v>
      </c>
      <c r="D189" s="921">
        <f t="shared" si="15"/>
        <v>7.2</v>
      </c>
      <c r="E189" s="892"/>
      <c r="F189" s="921">
        <f t="shared" si="10"/>
        <v>4.8</v>
      </c>
      <c r="G189" s="921">
        <f>VLOOKUP('Journey distribution (ex Gold)'!$A63, $F$102:$G$103, 2)</f>
        <v>7.65</v>
      </c>
      <c r="H189" s="921">
        <f>VLOOKUP('Journey distribution (ex Gold)'!$A63, $B$102:$D$104, 3)</f>
        <v>4.8</v>
      </c>
      <c r="I189" s="810">
        <f t="shared" si="16"/>
        <v>2.2400000000000002</v>
      </c>
      <c r="J189" s="921">
        <f t="shared" si="12"/>
        <v>6.89</v>
      </c>
      <c r="K189" s="892"/>
      <c r="L189" s="921">
        <f>VLOOKUP('Journey distribution (ex Gold)'!$A63, $B$102:$E$104, 4)</f>
        <v>6</v>
      </c>
      <c r="M189" s="892">
        <f>VLOOKUP('Journey distribution (ex Gold)'!$A63, $F$102:$H$103, 3)</f>
        <v>9.1999999999999993</v>
      </c>
      <c r="N189" s="921">
        <f>VLOOKUP('Journey distribution (ex Gold)'!$A63, $B$102:$E$104, 4)</f>
        <v>6</v>
      </c>
      <c r="O189" s="922">
        <f t="shared" si="13"/>
        <v>8.3000000000000007</v>
      </c>
    </row>
    <row r="190" spans="2:15" s="718" customFormat="1" ht="12" hidden="1" x14ac:dyDescent="0.2">
      <c r="B190" s="920">
        <v>60</v>
      </c>
      <c r="C190" s="921">
        <f t="shared" si="14"/>
        <v>4.2</v>
      </c>
      <c r="D190" s="921">
        <f t="shared" si="15"/>
        <v>7.2</v>
      </c>
      <c r="E190" s="892"/>
      <c r="F190" s="921">
        <f t="shared" si="10"/>
        <v>4.8</v>
      </c>
      <c r="G190" s="921">
        <f>VLOOKUP('Journey distribution (ex Gold)'!$A64, $F$102:$G$103, 2)</f>
        <v>7.65</v>
      </c>
      <c r="H190" s="921">
        <f>VLOOKUP('Journey distribution (ex Gold)'!$A64, $B$102:$D$104, 3)</f>
        <v>4.8</v>
      </c>
      <c r="I190" s="810">
        <f t="shared" si="16"/>
        <v>2.2400000000000002</v>
      </c>
      <c r="J190" s="921">
        <f t="shared" si="12"/>
        <v>6.89</v>
      </c>
      <c r="K190" s="892"/>
      <c r="L190" s="921">
        <f>VLOOKUP('Journey distribution (ex Gold)'!$A64, $B$102:$E$104, 4)</f>
        <v>6</v>
      </c>
      <c r="M190" s="892">
        <f>VLOOKUP('Journey distribution (ex Gold)'!$A64, $F$102:$H$103, 3)</f>
        <v>9.1999999999999993</v>
      </c>
      <c r="N190" s="921">
        <f>VLOOKUP('Journey distribution (ex Gold)'!$A64, $B$102:$E$104, 4)</f>
        <v>6</v>
      </c>
      <c r="O190" s="922">
        <f t="shared" si="13"/>
        <v>8.3000000000000007</v>
      </c>
    </row>
    <row r="191" spans="2:15" s="718" customFormat="1" ht="12" hidden="1" x14ac:dyDescent="0.2">
      <c r="B191" s="920">
        <v>61</v>
      </c>
      <c r="C191" s="921">
        <f t="shared" si="14"/>
        <v>4.2</v>
      </c>
      <c r="D191" s="921">
        <f t="shared" si="15"/>
        <v>7.2</v>
      </c>
      <c r="E191" s="892"/>
      <c r="F191" s="921">
        <f t="shared" si="10"/>
        <v>4.8</v>
      </c>
      <c r="G191" s="921">
        <f>VLOOKUP('Journey distribution (ex Gold)'!$A65, $F$102:$G$103, 2)</f>
        <v>7.65</v>
      </c>
      <c r="H191" s="921">
        <f>VLOOKUP('Journey distribution (ex Gold)'!$A65, $B$102:$D$104, 3)</f>
        <v>4.8</v>
      </c>
      <c r="I191" s="810">
        <f t="shared" si="16"/>
        <v>2.2400000000000002</v>
      </c>
      <c r="J191" s="921">
        <f t="shared" si="12"/>
        <v>6.89</v>
      </c>
      <c r="K191" s="892"/>
      <c r="L191" s="921">
        <f>VLOOKUP('Journey distribution (ex Gold)'!$A65, $B$102:$E$104, 4)</f>
        <v>6</v>
      </c>
      <c r="M191" s="892">
        <f>VLOOKUP('Journey distribution (ex Gold)'!$A65, $F$102:$H$103, 3)</f>
        <v>9.1999999999999993</v>
      </c>
      <c r="N191" s="921">
        <f>VLOOKUP('Journey distribution (ex Gold)'!$A65, $B$102:$E$104, 4)</f>
        <v>6</v>
      </c>
      <c r="O191" s="922">
        <f t="shared" si="13"/>
        <v>8.3000000000000007</v>
      </c>
    </row>
    <row r="192" spans="2:15" s="718" customFormat="1" ht="12" hidden="1" x14ac:dyDescent="0.2">
      <c r="B192" s="920">
        <v>62</v>
      </c>
      <c r="C192" s="921">
        <f t="shared" si="14"/>
        <v>4.2</v>
      </c>
      <c r="D192" s="921">
        <f t="shared" si="15"/>
        <v>7.2</v>
      </c>
      <c r="E192" s="892"/>
      <c r="F192" s="921">
        <f t="shared" si="10"/>
        <v>4.8</v>
      </c>
      <c r="G192" s="921">
        <f>VLOOKUP('Journey distribution (ex Gold)'!$A66, $F$102:$G$103, 2)</f>
        <v>7.65</v>
      </c>
      <c r="H192" s="921">
        <f>VLOOKUP('Journey distribution (ex Gold)'!$A66, $B$102:$D$104, 3)</f>
        <v>4.8</v>
      </c>
      <c r="I192" s="810">
        <f t="shared" si="16"/>
        <v>2.2400000000000002</v>
      </c>
      <c r="J192" s="921">
        <f t="shared" si="12"/>
        <v>6.89</v>
      </c>
      <c r="K192" s="892"/>
      <c r="L192" s="921">
        <f>VLOOKUP('Journey distribution (ex Gold)'!$A66, $B$102:$E$104, 4)</f>
        <v>6</v>
      </c>
      <c r="M192" s="892">
        <f>VLOOKUP('Journey distribution (ex Gold)'!$A66, $F$102:$H$103, 3)</f>
        <v>9.1999999999999993</v>
      </c>
      <c r="N192" s="921">
        <f>VLOOKUP('Journey distribution (ex Gold)'!$A66, $B$102:$E$104, 4)</f>
        <v>6</v>
      </c>
      <c r="O192" s="922">
        <f t="shared" si="13"/>
        <v>8.3000000000000007</v>
      </c>
    </row>
    <row r="193" spans="2:15" s="718" customFormat="1" ht="12" hidden="1" x14ac:dyDescent="0.2">
      <c r="B193" s="920">
        <v>63</v>
      </c>
      <c r="C193" s="921">
        <f t="shared" si="14"/>
        <v>4.2</v>
      </c>
      <c r="D193" s="921">
        <f t="shared" si="15"/>
        <v>7.2</v>
      </c>
      <c r="E193" s="892"/>
      <c r="F193" s="921">
        <f t="shared" si="10"/>
        <v>4.8</v>
      </c>
      <c r="G193" s="921">
        <f>VLOOKUP('Journey distribution (ex Gold)'!$A67, $F$102:$G$103, 2)</f>
        <v>7.65</v>
      </c>
      <c r="H193" s="921">
        <f>VLOOKUP('Journey distribution (ex Gold)'!$A67, $B$102:$D$104, 3)</f>
        <v>4.8</v>
      </c>
      <c r="I193" s="810">
        <f t="shared" si="16"/>
        <v>2.2400000000000002</v>
      </c>
      <c r="J193" s="921">
        <f t="shared" si="12"/>
        <v>6.89</v>
      </c>
      <c r="K193" s="892"/>
      <c r="L193" s="921">
        <f>VLOOKUP('Journey distribution (ex Gold)'!$A67, $B$102:$E$104, 4)</f>
        <v>6</v>
      </c>
      <c r="M193" s="892">
        <f>VLOOKUP('Journey distribution (ex Gold)'!$A67, $F$102:$H$103, 3)</f>
        <v>9.1999999999999993</v>
      </c>
      <c r="N193" s="921">
        <f>VLOOKUP('Journey distribution (ex Gold)'!$A67, $B$102:$E$104, 4)</f>
        <v>6</v>
      </c>
      <c r="O193" s="922">
        <f t="shared" si="13"/>
        <v>8.3000000000000007</v>
      </c>
    </row>
    <row r="194" spans="2:15" s="718" customFormat="1" ht="12" hidden="1" x14ac:dyDescent="0.2">
      <c r="B194" s="920">
        <v>64</v>
      </c>
      <c r="C194" s="921">
        <f t="shared" ref="C194:C225" si="17">VLOOKUP(B194, $B$102:$C$104, 2)</f>
        <v>4.2</v>
      </c>
      <c r="D194" s="921">
        <f t="shared" ref="D194:D225" si="18">VLOOKUP(B194, $I$102:$J$121, 2)</f>
        <v>7.2</v>
      </c>
      <c r="E194" s="892"/>
      <c r="F194" s="921">
        <f t="shared" si="10"/>
        <v>4.8</v>
      </c>
      <c r="G194" s="921">
        <f>VLOOKUP('Journey distribution (ex Gold)'!$A68, $F$102:$G$103, 2)</f>
        <v>7.65</v>
      </c>
      <c r="H194" s="921">
        <f>VLOOKUP('Journey distribution (ex Gold)'!$A68, $B$102:$D$104, 3)</f>
        <v>4.8</v>
      </c>
      <c r="I194" s="810">
        <f t="shared" si="16"/>
        <v>2.2400000000000002</v>
      </c>
      <c r="J194" s="921">
        <f t="shared" si="12"/>
        <v>6.89</v>
      </c>
      <c r="K194" s="892"/>
      <c r="L194" s="921">
        <f>VLOOKUP('Journey distribution (ex Gold)'!$A68, $B$102:$E$104, 4)</f>
        <v>6</v>
      </c>
      <c r="M194" s="892">
        <f>VLOOKUP('Journey distribution (ex Gold)'!$A68, $F$102:$H$103, 3)</f>
        <v>9.1999999999999993</v>
      </c>
      <c r="N194" s="921">
        <f>VLOOKUP('Journey distribution (ex Gold)'!$A68, $B$102:$E$104, 4)</f>
        <v>6</v>
      </c>
      <c r="O194" s="922">
        <f t="shared" si="13"/>
        <v>8.3000000000000007</v>
      </c>
    </row>
    <row r="195" spans="2:15" s="718" customFormat="1" ht="12" hidden="1" x14ac:dyDescent="0.2">
      <c r="B195" s="920">
        <v>65</v>
      </c>
      <c r="C195" s="921">
        <f t="shared" si="17"/>
        <v>4.2</v>
      </c>
      <c r="D195" s="921">
        <f t="shared" si="18"/>
        <v>8.6</v>
      </c>
      <c r="E195" s="892"/>
      <c r="F195" s="921">
        <f t="shared" ref="F195:F258" si="19">VLOOKUP(B195, $B$102:$D$104, 3)</f>
        <v>4.8</v>
      </c>
      <c r="G195" s="921">
        <f>VLOOKUP('Journey distribution (ex Gold)'!$A69, $F$102:$G$103, 2)</f>
        <v>7.65</v>
      </c>
      <c r="H195" s="921">
        <f>VLOOKUP('Journey distribution (ex Gold)'!$A69, $B$102:$D$104, 3)</f>
        <v>4.8</v>
      </c>
      <c r="I195" s="810">
        <f t="shared" ref="I195:I226" si="20">I194</f>
        <v>2.2400000000000002</v>
      </c>
      <c r="J195" s="921">
        <f t="shared" ref="J195:J258" si="21">VLOOKUP($B195, $K$101:$M$106, 2)</f>
        <v>8.86</v>
      </c>
      <c r="K195" s="892"/>
      <c r="L195" s="921">
        <f>VLOOKUP('Journey distribution (ex Gold)'!$A69, $B$102:$E$104, 4)</f>
        <v>6</v>
      </c>
      <c r="M195" s="892">
        <f>VLOOKUP('Journey distribution (ex Gold)'!$A69, $F$102:$H$103, 3)</f>
        <v>9.1999999999999993</v>
      </c>
      <c r="N195" s="921">
        <f>VLOOKUP('Journey distribution (ex Gold)'!$A69, $B$102:$E$104, 4)</f>
        <v>6</v>
      </c>
      <c r="O195" s="922">
        <f t="shared" ref="O195:O258" si="22">VLOOKUP($B195, $K$101:$M$106, 3)</f>
        <v>10.7</v>
      </c>
    </row>
    <row r="196" spans="2:15" s="718" customFormat="1" ht="12" hidden="1" x14ac:dyDescent="0.2">
      <c r="B196" s="920">
        <v>66</v>
      </c>
      <c r="C196" s="921">
        <f t="shared" si="17"/>
        <v>4.2</v>
      </c>
      <c r="D196" s="921">
        <f t="shared" si="18"/>
        <v>8.6</v>
      </c>
      <c r="E196" s="892"/>
      <c r="F196" s="921">
        <f t="shared" si="19"/>
        <v>4.8</v>
      </c>
      <c r="G196" s="921">
        <f>VLOOKUP('Journey distribution (ex Gold)'!$A70, $F$102:$G$103, 2)</f>
        <v>7.65</v>
      </c>
      <c r="H196" s="921">
        <f>VLOOKUP('Journey distribution (ex Gold)'!$A70, $B$102:$D$104, 3)</f>
        <v>4.8</v>
      </c>
      <c r="I196" s="810">
        <f t="shared" si="20"/>
        <v>2.2400000000000002</v>
      </c>
      <c r="J196" s="921">
        <f t="shared" si="21"/>
        <v>8.86</v>
      </c>
      <c r="K196" s="892"/>
      <c r="L196" s="921">
        <f>VLOOKUP('Journey distribution (ex Gold)'!$A70, $B$102:$E$104, 4)</f>
        <v>6</v>
      </c>
      <c r="M196" s="892">
        <f>VLOOKUP('Journey distribution (ex Gold)'!$A70, $F$102:$H$103, 3)</f>
        <v>9.1999999999999993</v>
      </c>
      <c r="N196" s="921">
        <f>VLOOKUP('Journey distribution (ex Gold)'!$A70, $B$102:$E$104, 4)</f>
        <v>6</v>
      </c>
      <c r="O196" s="922">
        <f t="shared" si="22"/>
        <v>10.7</v>
      </c>
    </row>
    <row r="197" spans="2:15" s="718" customFormat="1" ht="12" hidden="1" x14ac:dyDescent="0.2">
      <c r="B197" s="920">
        <v>67</v>
      </c>
      <c r="C197" s="921">
        <f t="shared" si="17"/>
        <v>4.2</v>
      </c>
      <c r="D197" s="921">
        <f t="shared" si="18"/>
        <v>8.6</v>
      </c>
      <c r="E197" s="892"/>
      <c r="F197" s="921">
        <f t="shared" si="19"/>
        <v>4.8</v>
      </c>
      <c r="G197" s="921">
        <f>VLOOKUP('Journey distribution (ex Gold)'!$A71, $F$102:$G$103, 2)</f>
        <v>7.65</v>
      </c>
      <c r="H197" s="921">
        <f>VLOOKUP('Journey distribution (ex Gold)'!$A71, $B$102:$D$104, 3)</f>
        <v>4.8</v>
      </c>
      <c r="I197" s="810">
        <f t="shared" si="20"/>
        <v>2.2400000000000002</v>
      </c>
      <c r="J197" s="921">
        <f t="shared" si="21"/>
        <v>8.86</v>
      </c>
      <c r="K197" s="892"/>
      <c r="L197" s="921">
        <f>VLOOKUP('Journey distribution (ex Gold)'!$A71, $B$102:$E$104, 4)</f>
        <v>6</v>
      </c>
      <c r="M197" s="892">
        <f>VLOOKUP('Journey distribution (ex Gold)'!$A71, $F$102:$H$103, 3)</f>
        <v>9.1999999999999993</v>
      </c>
      <c r="N197" s="921">
        <f>VLOOKUP('Journey distribution (ex Gold)'!$A71, $B$102:$E$104, 4)</f>
        <v>6</v>
      </c>
      <c r="O197" s="922">
        <f t="shared" si="22"/>
        <v>10.7</v>
      </c>
    </row>
    <row r="198" spans="2:15" s="718" customFormat="1" ht="12" hidden="1" x14ac:dyDescent="0.2">
      <c r="B198" s="920">
        <v>68</v>
      </c>
      <c r="C198" s="921">
        <f t="shared" si="17"/>
        <v>4.2</v>
      </c>
      <c r="D198" s="921">
        <f t="shared" si="18"/>
        <v>8.6</v>
      </c>
      <c r="E198" s="892"/>
      <c r="F198" s="921">
        <f t="shared" si="19"/>
        <v>4.8</v>
      </c>
      <c r="G198" s="921">
        <f>VLOOKUP('Journey distribution (ex Gold)'!$A72, $F$102:$G$103, 2)</f>
        <v>7.65</v>
      </c>
      <c r="H198" s="921">
        <f>VLOOKUP('Journey distribution (ex Gold)'!$A72, $B$102:$D$104, 3)</f>
        <v>4.8</v>
      </c>
      <c r="I198" s="810">
        <f t="shared" si="20"/>
        <v>2.2400000000000002</v>
      </c>
      <c r="J198" s="921">
        <f t="shared" si="21"/>
        <v>8.86</v>
      </c>
      <c r="K198" s="892"/>
      <c r="L198" s="921">
        <f>VLOOKUP('Journey distribution (ex Gold)'!$A72, $B$102:$E$104, 4)</f>
        <v>6</v>
      </c>
      <c r="M198" s="892">
        <f>VLOOKUP('Journey distribution (ex Gold)'!$A72, $F$102:$H$103, 3)</f>
        <v>9.1999999999999993</v>
      </c>
      <c r="N198" s="921">
        <f>VLOOKUP('Journey distribution (ex Gold)'!$A72, $B$102:$E$104, 4)</f>
        <v>6</v>
      </c>
      <c r="O198" s="922">
        <f t="shared" si="22"/>
        <v>10.7</v>
      </c>
    </row>
    <row r="199" spans="2:15" s="718" customFormat="1" ht="12" hidden="1" x14ac:dyDescent="0.2">
      <c r="B199" s="920">
        <v>69</v>
      </c>
      <c r="C199" s="921">
        <f t="shared" si="17"/>
        <v>4.2</v>
      </c>
      <c r="D199" s="921">
        <f t="shared" si="18"/>
        <v>8.6</v>
      </c>
      <c r="E199" s="892"/>
      <c r="F199" s="921">
        <f t="shared" si="19"/>
        <v>4.8</v>
      </c>
      <c r="G199" s="921">
        <f>VLOOKUP('Journey distribution (ex Gold)'!$A73, $F$102:$G$103, 2)</f>
        <v>7.65</v>
      </c>
      <c r="H199" s="921">
        <f>VLOOKUP('Journey distribution (ex Gold)'!$A73, $B$102:$D$104, 3)</f>
        <v>4.8</v>
      </c>
      <c r="I199" s="810">
        <f t="shared" si="20"/>
        <v>2.2400000000000002</v>
      </c>
      <c r="J199" s="921">
        <f t="shared" si="21"/>
        <v>8.86</v>
      </c>
      <c r="K199" s="892"/>
      <c r="L199" s="921">
        <f>VLOOKUP('Journey distribution (ex Gold)'!$A73, $B$102:$E$104, 4)</f>
        <v>6</v>
      </c>
      <c r="M199" s="892">
        <f>VLOOKUP('Journey distribution (ex Gold)'!$A73, $F$102:$H$103, 3)</f>
        <v>9.1999999999999993</v>
      </c>
      <c r="N199" s="921">
        <f>VLOOKUP('Journey distribution (ex Gold)'!$A73, $B$102:$E$104, 4)</f>
        <v>6</v>
      </c>
      <c r="O199" s="922">
        <f t="shared" si="22"/>
        <v>10.7</v>
      </c>
    </row>
    <row r="200" spans="2:15" s="718" customFormat="1" ht="12" hidden="1" x14ac:dyDescent="0.2">
      <c r="B200" s="920">
        <v>70</v>
      </c>
      <c r="C200" s="921">
        <f t="shared" si="17"/>
        <v>4.2</v>
      </c>
      <c r="D200" s="921">
        <f t="shared" si="18"/>
        <v>8.6</v>
      </c>
      <c r="E200" s="892"/>
      <c r="F200" s="921">
        <f t="shared" si="19"/>
        <v>4.8</v>
      </c>
      <c r="G200" s="921">
        <f>VLOOKUP('Journey distribution (ex Gold)'!$A74, $F$102:$G$103, 2)</f>
        <v>7.65</v>
      </c>
      <c r="H200" s="921">
        <f>VLOOKUP('Journey distribution (ex Gold)'!$A74, $B$102:$D$104, 3)</f>
        <v>4.8</v>
      </c>
      <c r="I200" s="810">
        <f t="shared" si="20"/>
        <v>2.2400000000000002</v>
      </c>
      <c r="J200" s="921">
        <f t="shared" si="21"/>
        <v>8.86</v>
      </c>
      <c r="K200" s="892"/>
      <c r="L200" s="921">
        <f>VLOOKUP('Journey distribution (ex Gold)'!$A74, $B$102:$E$104, 4)</f>
        <v>6</v>
      </c>
      <c r="M200" s="892">
        <f>VLOOKUP('Journey distribution (ex Gold)'!$A74, $F$102:$H$103, 3)</f>
        <v>9.1999999999999993</v>
      </c>
      <c r="N200" s="921">
        <f>VLOOKUP('Journey distribution (ex Gold)'!$A74, $B$102:$E$104, 4)</f>
        <v>6</v>
      </c>
      <c r="O200" s="922">
        <f t="shared" si="22"/>
        <v>10.7</v>
      </c>
    </row>
    <row r="201" spans="2:15" s="718" customFormat="1" ht="12" hidden="1" x14ac:dyDescent="0.2">
      <c r="B201" s="920">
        <v>71</v>
      </c>
      <c r="C201" s="921">
        <f t="shared" si="17"/>
        <v>4.2</v>
      </c>
      <c r="D201" s="921">
        <f t="shared" si="18"/>
        <v>8.6</v>
      </c>
      <c r="E201" s="892"/>
      <c r="F201" s="921">
        <f t="shared" si="19"/>
        <v>4.8</v>
      </c>
      <c r="G201" s="921">
        <f>VLOOKUP('Journey distribution (ex Gold)'!$A75, $F$102:$G$103, 2)</f>
        <v>7.65</v>
      </c>
      <c r="H201" s="921">
        <f>VLOOKUP('Journey distribution (ex Gold)'!$A75, $B$102:$D$104, 3)</f>
        <v>4.8</v>
      </c>
      <c r="I201" s="810">
        <f t="shared" si="20"/>
        <v>2.2400000000000002</v>
      </c>
      <c r="J201" s="921">
        <f t="shared" si="21"/>
        <v>8.86</v>
      </c>
      <c r="K201" s="892"/>
      <c r="L201" s="921">
        <f>VLOOKUP('Journey distribution (ex Gold)'!$A75, $B$102:$E$104, 4)</f>
        <v>6</v>
      </c>
      <c r="M201" s="892">
        <f>VLOOKUP('Journey distribution (ex Gold)'!$A75, $F$102:$H$103, 3)</f>
        <v>9.1999999999999993</v>
      </c>
      <c r="N201" s="921">
        <f>VLOOKUP('Journey distribution (ex Gold)'!$A75, $B$102:$E$104, 4)</f>
        <v>6</v>
      </c>
      <c r="O201" s="922">
        <f t="shared" si="22"/>
        <v>10.7</v>
      </c>
    </row>
    <row r="202" spans="2:15" s="718" customFormat="1" ht="12" hidden="1" x14ac:dyDescent="0.2">
      <c r="B202" s="920">
        <v>72</v>
      </c>
      <c r="C202" s="921">
        <f t="shared" si="17"/>
        <v>4.2</v>
      </c>
      <c r="D202" s="921">
        <f t="shared" si="18"/>
        <v>8.6</v>
      </c>
      <c r="E202" s="892"/>
      <c r="F202" s="921">
        <f t="shared" si="19"/>
        <v>4.8</v>
      </c>
      <c r="G202" s="921">
        <f>VLOOKUP('Journey distribution (ex Gold)'!$A76, $F$102:$G$103, 2)</f>
        <v>7.65</v>
      </c>
      <c r="H202" s="921">
        <f>VLOOKUP('Journey distribution (ex Gold)'!$A76, $B$102:$D$104, 3)</f>
        <v>4.8</v>
      </c>
      <c r="I202" s="810">
        <f t="shared" si="20"/>
        <v>2.2400000000000002</v>
      </c>
      <c r="J202" s="921">
        <f t="shared" si="21"/>
        <v>8.86</v>
      </c>
      <c r="K202" s="892"/>
      <c r="L202" s="921">
        <f>VLOOKUP('Journey distribution (ex Gold)'!$A76, $B$102:$E$104, 4)</f>
        <v>6</v>
      </c>
      <c r="M202" s="892">
        <f>VLOOKUP('Journey distribution (ex Gold)'!$A76, $F$102:$H$103, 3)</f>
        <v>9.1999999999999993</v>
      </c>
      <c r="N202" s="921">
        <f>VLOOKUP('Journey distribution (ex Gold)'!$A76, $B$102:$E$104, 4)</f>
        <v>6</v>
      </c>
      <c r="O202" s="922">
        <f t="shared" si="22"/>
        <v>10.7</v>
      </c>
    </row>
    <row r="203" spans="2:15" s="718" customFormat="1" ht="12" hidden="1" x14ac:dyDescent="0.2">
      <c r="B203" s="920">
        <v>73</v>
      </c>
      <c r="C203" s="921">
        <f t="shared" si="17"/>
        <v>4.2</v>
      </c>
      <c r="D203" s="921">
        <f t="shared" si="18"/>
        <v>8.6</v>
      </c>
      <c r="E203" s="892"/>
      <c r="F203" s="921">
        <f t="shared" si="19"/>
        <v>4.8</v>
      </c>
      <c r="G203" s="921">
        <f>VLOOKUP('Journey distribution (ex Gold)'!$A77, $F$102:$G$103, 2)</f>
        <v>7.65</v>
      </c>
      <c r="H203" s="921">
        <f>VLOOKUP('Journey distribution (ex Gold)'!$A77, $B$102:$D$104, 3)</f>
        <v>4.8</v>
      </c>
      <c r="I203" s="810">
        <f t="shared" si="20"/>
        <v>2.2400000000000002</v>
      </c>
      <c r="J203" s="921">
        <f t="shared" si="21"/>
        <v>8.86</v>
      </c>
      <c r="K203" s="892"/>
      <c r="L203" s="921">
        <f>VLOOKUP('Journey distribution (ex Gold)'!$A77, $B$102:$E$104, 4)</f>
        <v>6</v>
      </c>
      <c r="M203" s="892">
        <f>VLOOKUP('Journey distribution (ex Gold)'!$A77, $F$102:$H$103, 3)</f>
        <v>9.1999999999999993</v>
      </c>
      <c r="N203" s="921">
        <f>VLOOKUP('Journey distribution (ex Gold)'!$A77, $B$102:$E$104, 4)</f>
        <v>6</v>
      </c>
      <c r="O203" s="922">
        <f t="shared" si="22"/>
        <v>10.7</v>
      </c>
    </row>
    <row r="204" spans="2:15" s="718" customFormat="1" ht="12" hidden="1" x14ac:dyDescent="0.2">
      <c r="B204" s="920">
        <v>74</v>
      </c>
      <c r="C204" s="921">
        <f t="shared" si="17"/>
        <v>4.2</v>
      </c>
      <c r="D204" s="921">
        <f t="shared" si="18"/>
        <v>8.6</v>
      </c>
      <c r="E204" s="892"/>
      <c r="F204" s="921">
        <f t="shared" si="19"/>
        <v>4.8</v>
      </c>
      <c r="G204" s="921">
        <f>VLOOKUP('Journey distribution (ex Gold)'!$A78, $F$102:$G$103, 2)</f>
        <v>7.65</v>
      </c>
      <c r="H204" s="921">
        <f>VLOOKUP('Journey distribution (ex Gold)'!$A78, $B$102:$D$104, 3)</f>
        <v>4.8</v>
      </c>
      <c r="I204" s="810">
        <f t="shared" si="20"/>
        <v>2.2400000000000002</v>
      </c>
      <c r="J204" s="921">
        <f t="shared" si="21"/>
        <v>8.86</v>
      </c>
      <c r="K204" s="892"/>
      <c r="L204" s="921">
        <f>VLOOKUP('Journey distribution (ex Gold)'!$A78, $B$102:$E$104, 4)</f>
        <v>6</v>
      </c>
      <c r="M204" s="892">
        <f>VLOOKUP('Journey distribution (ex Gold)'!$A78, $F$102:$H$103, 3)</f>
        <v>9.1999999999999993</v>
      </c>
      <c r="N204" s="921">
        <f>VLOOKUP('Journey distribution (ex Gold)'!$A78, $B$102:$E$104, 4)</f>
        <v>6</v>
      </c>
      <c r="O204" s="922">
        <f t="shared" si="22"/>
        <v>10.7</v>
      </c>
    </row>
    <row r="205" spans="2:15" s="718" customFormat="1" ht="12" hidden="1" x14ac:dyDescent="0.2">
      <c r="B205" s="920">
        <v>75</v>
      </c>
      <c r="C205" s="921">
        <f t="shared" si="17"/>
        <v>4.2</v>
      </c>
      <c r="D205" s="921">
        <f t="shared" si="18"/>
        <v>9.6</v>
      </c>
      <c r="E205" s="892"/>
      <c r="F205" s="921">
        <f t="shared" si="19"/>
        <v>4.8</v>
      </c>
      <c r="G205" s="921">
        <f>VLOOKUP('Journey distribution (ex Gold)'!$A79, $F$102:$G$103, 2)</f>
        <v>7.65</v>
      </c>
      <c r="H205" s="921">
        <f>VLOOKUP('Journey distribution (ex Gold)'!$A79, $B$102:$D$104, 3)</f>
        <v>4.8</v>
      </c>
      <c r="I205" s="810">
        <f t="shared" si="20"/>
        <v>2.2400000000000002</v>
      </c>
      <c r="J205" s="921">
        <f t="shared" si="21"/>
        <v>8.86</v>
      </c>
      <c r="K205" s="892"/>
      <c r="L205" s="921">
        <f>VLOOKUP('Journey distribution (ex Gold)'!$A79, $B$102:$E$104, 4)</f>
        <v>6</v>
      </c>
      <c r="M205" s="892">
        <f>VLOOKUP('Journey distribution (ex Gold)'!$A79, $F$102:$H$103, 3)</f>
        <v>9.1999999999999993</v>
      </c>
      <c r="N205" s="921">
        <f>VLOOKUP('Journey distribution (ex Gold)'!$A79, $B$102:$E$104, 4)</f>
        <v>6</v>
      </c>
      <c r="O205" s="922">
        <f t="shared" si="22"/>
        <v>10.7</v>
      </c>
    </row>
    <row r="206" spans="2:15" s="718" customFormat="1" ht="12" hidden="1" x14ac:dyDescent="0.2">
      <c r="B206" s="920">
        <v>76</v>
      </c>
      <c r="C206" s="921">
        <f t="shared" si="17"/>
        <v>4.2</v>
      </c>
      <c r="D206" s="921">
        <f t="shared" si="18"/>
        <v>9.6</v>
      </c>
      <c r="E206" s="892"/>
      <c r="F206" s="921">
        <f t="shared" si="19"/>
        <v>4.8</v>
      </c>
      <c r="G206" s="921">
        <f>VLOOKUP('Journey distribution (ex Gold)'!$A80, $F$102:$G$103, 2)</f>
        <v>7.65</v>
      </c>
      <c r="H206" s="921">
        <f>VLOOKUP('Journey distribution (ex Gold)'!$A80, $B$102:$D$104, 3)</f>
        <v>4.8</v>
      </c>
      <c r="I206" s="810">
        <f t="shared" si="20"/>
        <v>2.2400000000000002</v>
      </c>
      <c r="J206" s="921">
        <f t="shared" si="21"/>
        <v>8.86</v>
      </c>
      <c r="K206" s="892"/>
      <c r="L206" s="921">
        <f>VLOOKUP('Journey distribution (ex Gold)'!$A80, $B$102:$E$104, 4)</f>
        <v>6</v>
      </c>
      <c r="M206" s="892">
        <f>VLOOKUP('Journey distribution (ex Gold)'!$A80, $F$102:$H$103, 3)</f>
        <v>9.1999999999999993</v>
      </c>
      <c r="N206" s="921">
        <f>VLOOKUP('Journey distribution (ex Gold)'!$A80, $B$102:$E$104, 4)</f>
        <v>6</v>
      </c>
      <c r="O206" s="922">
        <f t="shared" si="22"/>
        <v>10.7</v>
      </c>
    </row>
    <row r="207" spans="2:15" s="718" customFormat="1" ht="12" hidden="1" x14ac:dyDescent="0.2">
      <c r="B207" s="920">
        <v>77</v>
      </c>
      <c r="C207" s="921">
        <f t="shared" si="17"/>
        <v>4.2</v>
      </c>
      <c r="D207" s="921">
        <f t="shared" si="18"/>
        <v>9.6</v>
      </c>
      <c r="E207" s="892"/>
      <c r="F207" s="921">
        <f t="shared" si="19"/>
        <v>4.8</v>
      </c>
      <c r="G207" s="921">
        <f>VLOOKUP('Journey distribution (ex Gold)'!$A81, $F$102:$G$103, 2)</f>
        <v>7.65</v>
      </c>
      <c r="H207" s="921">
        <f>VLOOKUP('Journey distribution (ex Gold)'!$A81, $B$102:$D$104, 3)</f>
        <v>4.8</v>
      </c>
      <c r="I207" s="810">
        <f t="shared" si="20"/>
        <v>2.2400000000000002</v>
      </c>
      <c r="J207" s="921">
        <f t="shared" si="21"/>
        <v>8.86</v>
      </c>
      <c r="K207" s="892"/>
      <c r="L207" s="921">
        <f>VLOOKUP('Journey distribution (ex Gold)'!$A81, $B$102:$E$104, 4)</f>
        <v>6</v>
      </c>
      <c r="M207" s="892">
        <f>VLOOKUP('Journey distribution (ex Gold)'!$A81, $F$102:$H$103, 3)</f>
        <v>9.1999999999999993</v>
      </c>
      <c r="N207" s="921">
        <f>VLOOKUP('Journey distribution (ex Gold)'!$A81, $B$102:$E$104, 4)</f>
        <v>6</v>
      </c>
      <c r="O207" s="922">
        <f t="shared" si="22"/>
        <v>10.7</v>
      </c>
    </row>
    <row r="208" spans="2:15" s="718" customFormat="1" ht="12" hidden="1" x14ac:dyDescent="0.2">
      <c r="B208" s="920">
        <v>78</v>
      </c>
      <c r="C208" s="921">
        <f t="shared" si="17"/>
        <v>4.2</v>
      </c>
      <c r="D208" s="921">
        <f t="shared" si="18"/>
        <v>9.6</v>
      </c>
      <c r="E208" s="892"/>
      <c r="F208" s="921">
        <f t="shared" si="19"/>
        <v>4.8</v>
      </c>
      <c r="G208" s="921">
        <f>VLOOKUP('Journey distribution (ex Gold)'!$A82, $F$102:$G$103, 2)</f>
        <v>7.65</v>
      </c>
      <c r="H208" s="921">
        <f>VLOOKUP('Journey distribution (ex Gold)'!$A82, $B$102:$D$104, 3)</f>
        <v>4.8</v>
      </c>
      <c r="I208" s="810">
        <f t="shared" si="20"/>
        <v>2.2400000000000002</v>
      </c>
      <c r="J208" s="921">
        <f t="shared" si="21"/>
        <v>8.86</v>
      </c>
      <c r="K208" s="892"/>
      <c r="L208" s="921">
        <f>VLOOKUP('Journey distribution (ex Gold)'!$A82, $B$102:$E$104, 4)</f>
        <v>6</v>
      </c>
      <c r="M208" s="892">
        <f>VLOOKUP('Journey distribution (ex Gold)'!$A82, $F$102:$H$103, 3)</f>
        <v>9.1999999999999993</v>
      </c>
      <c r="N208" s="921">
        <f>VLOOKUP('Journey distribution (ex Gold)'!$A82, $B$102:$E$104, 4)</f>
        <v>6</v>
      </c>
      <c r="O208" s="922">
        <f t="shared" si="22"/>
        <v>10.7</v>
      </c>
    </row>
    <row r="209" spans="2:15" s="718" customFormat="1" ht="12" hidden="1" x14ac:dyDescent="0.2">
      <c r="B209" s="920">
        <v>79</v>
      </c>
      <c r="C209" s="921">
        <f t="shared" si="17"/>
        <v>4.2</v>
      </c>
      <c r="D209" s="921">
        <f t="shared" si="18"/>
        <v>9.6</v>
      </c>
      <c r="E209" s="892"/>
      <c r="F209" s="921">
        <f t="shared" si="19"/>
        <v>4.8</v>
      </c>
      <c r="G209" s="921">
        <f>VLOOKUP('Journey distribution (ex Gold)'!$A83, $F$102:$G$103, 2)</f>
        <v>7.65</v>
      </c>
      <c r="H209" s="921">
        <f>VLOOKUP('Journey distribution (ex Gold)'!$A83, $B$102:$D$104, 3)</f>
        <v>4.8</v>
      </c>
      <c r="I209" s="810">
        <f t="shared" si="20"/>
        <v>2.2400000000000002</v>
      </c>
      <c r="J209" s="921">
        <f t="shared" si="21"/>
        <v>8.86</v>
      </c>
      <c r="K209" s="892"/>
      <c r="L209" s="921">
        <f>VLOOKUP('Journey distribution (ex Gold)'!$A83, $B$102:$E$104, 4)</f>
        <v>6</v>
      </c>
      <c r="M209" s="892">
        <f>VLOOKUP('Journey distribution (ex Gold)'!$A83, $F$102:$H$103, 3)</f>
        <v>9.1999999999999993</v>
      </c>
      <c r="N209" s="921">
        <f>VLOOKUP('Journey distribution (ex Gold)'!$A83, $B$102:$E$104, 4)</f>
        <v>6</v>
      </c>
      <c r="O209" s="922">
        <f t="shared" si="22"/>
        <v>10.7</v>
      </c>
    </row>
    <row r="210" spans="2:15" s="718" customFormat="1" ht="12" hidden="1" x14ac:dyDescent="0.2">
      <c r="B210" s="920">
        <v>80</v>
      </c>
      <c r="C210" s="921">
        <f t="shared" si="17"/>
        <v>4.2</v>
      </c>
      <c r="D210" s="921">
        <f t="shared" si="18"/>
        <v>9.6</v>
      </c>
      <c r="E210" s="892"/>
      <c r="F210" s="921">
        <f t="shared" si="19"/>
        <v>4.8</v>
      </c>
      <c r="G210" s="921">
        <f>VLOOKUP('Journey distribution (ex Gold)'!$A84, $F$102:$G$103, 2)</f>
        <v>7.65</v>
      </c>
      <c r="H210" s="921">
        <f>VLOOKUP('Journey distribution (ex Gold)'!$A84, $B$102:$D$104, 3)</f>
        <v>4.8</v>
      </c>
      <c r="I210" s="810">
        <f t="shared" si="20"/>
        <v>2.2400000000000002</v>
      </c>
      <c r="J210" s="921">
        <f t="shared" si="21"/>
        <v>8.86</v>
      </c>
      <c r="K210" s="892"/>
      <c r="L210" s="921">
        <f>VLOOKUP('Journey distribution (ex Gold)'!$A84, $B$102:$E$104, 4)</f>
        <v>6</v>
      </c>
      <c r="M210" s="892">
        <f>VLOOKUP('Journey distribution (ex Gold)'!$A84, $F$102:$H$103, 3)</f>
        <v>9.1999999999999993</v>
      </c>
      <c r="N210" s="921">
        <f>VLOOKUP('Journey distribution (ex Gold)'!$A84, $B$102:$E$104, 4)</f>
        <v>6</v>
      </c>
      <c r="O210" s="922">
        <f t="shared" si="22"/>
        <v>10.7</v>
      </c>
    </row>
    <row r="211" spans="2:15" s="718" customFormat="1" ht="12" hidden="1" x14ac:dyDescent="0.2">
      <c r="B211" s="920">
        <v>81</v>
      </c>
      <c r="C211" s="921">
        <f t="shared" si="17"/>
        <v>4.2</v>
      </c>
      <c r="D211" s="921">
        <f t="shared" si="18"/>
        <v>9.6</v>
      </c>
      <c r="E211" s="892"/>
      <c r="F211" s="921">
        <f t="shared" si="19"/>
        <v>4.8</v>
      </c>
      <c r="G211" s="921">
        <f>VLOOKUP('Journey distribution (ex Gold)'!$A85, $F$102:$G$103, 2)</f>
        <v>7.65</v>
      </c>
      <c r="H211" s="921">
        <f>VLOOKUP('Journey distribution (ex Gold)'!$A85, $B$102:$D$104, 3)</f>
        <v>4.8</v>
      </c>
      <c r="I211" s="810">
        <f t="shared" si="20"/>
        <v>2.2400000000000002</v>
      </c>
      <c r="J211" s="921">
        <f t="shared" si="21"/>
        <v>8.86</v>
      </c>
      <c r="K211" s="892"/>
      <c r="L211" s="921">
        <f>VLOOKUP('Journey distribution (ex Gold)'!$A85, $B$102:$E$104, 4)</f>
        <v>6</v>
      </c>
      <c r="M211" s="892">
        <f>VLOOKUP('Journey distribution (ex Gold)'!$A85, $F$102:$H$103, 3)</f>
        <v>9.1999999999999993</v>
      </c>
      <c r="N211" s="921">
        <f>VLOOKUP('Journey distribution (ex Gold)'!$A85, $B$102:$E$104, 4)</f>
        <v>6</v>
      </c>
      <c r="O211" s="922">
        <f t="shared" si="22"/>
        <v>10.7</v>
      </c>
    </row>
    <row r="212" spans="2:15" s="718" customFormat="1" ht="12" hidden="1" x14ac:dyDescent="0.2">
      <c r="B212" s="920">
        <v>82</v>
      </c>
      <c r="C212" s="921">
        <f t="shared" si="17"/>
        <v>4.2</v>
      </c>
      <c r="D212" s="921">
        <f t="shared" si="18"/>
        <v>9.6</v>
      </c>
      <c r="E212" s="892"/>
      <c r="F212" s="921">
        <f t="shared" si="19"/>
        <v>4.8</v>
      </c>
      <c r="G212" s="921">
        <f>VLOOKUP('Journey distribution (ex Gold)'!$A86, $F$102:$G$103, 2)</f>
        <v>7.65</v>
      </c>
      <c r="H212" s="921">
        <f>VLOOKUP('Journey distribution (ex Gold)'!$A86, $B$102:$D$104, 3)</f>
        <v>4.8</v>
      </c>
      <c r="I212" s="810">
        <f t="shared" si="20"/>
        <v>2.2400000000000002</v>
      </c>
      <c r="J212" s="921">
        <f t="shared" si="21"/>
        <v>8.86</v>
      </c>
      <c r="K212" s="892"/>
      <c r="L212" s="921">
        <f>VLOOKUP('Journey distribution (ex Gold)'!$A86, $B$102:$E$104, 4)</f>
        <v>6</v>
      </c>
      <c r="M212" s="892">
        <f>VLOOKUP('Journey distribution (ex Gold)'!$A86, $F$102:$H$103, 3)</f>
        <v>9.1999999999999993</v>
      </c>
      <c r="N212" s="921">
        <f>VLOOKUP('Journey distribution (ex Gold)'!$A86, $B$102:$E$104, 4)</f>
        <v>6</v>
      </c>
      <c r="O212" s="922">
        <f t="shared" si="22"/>
        <v>10.7</v>
      </c>
    </row>
    <row r="213" spans="2:15" s="718" customFormat="1" ht="12" hidden="1" x14ac:dyDescent="0.2">
      <c r="B213" s="920">
        <v>83</v>
      </c>
      <c r="C213" s="921">
        <f t="shared" si="17"/>
        <v>4.2</v>
      </c>
      <c r="D213" s="921">
        <f t="shared" si="18"/>
        <v>9.6</v>
      </c>
      <c r="E213" s="892"/>
      <c r="F213" s="921">
        <f t="shared" si="19"/>
        <v>4.8</v>
      </c>
      <c r="G213" s="921">
        <f>VLOOKUP('Journey distribution (ex Gold)'!$A87, $F$102:$G$103, 2)</f>
        <v>7.65</v>
      </c>
      <c r="H213" s="921">
        <f>VLOOKUP('Journey distribution (ex Gold)'!$A87, $B$102:$D$104, 3)</f>
        <v>4.8</v>
      </c>
      <c r="I213" s="810">
        <f t="shared" si="20"/>
        <v>2.2400000000000002</v>
      </c>
      <c r="J213" s="921">
        <f t="shared" si="21"/>
        <v>8.86</v>
      </c>
      <c r="K213" s="892"/>
      <c r="L213" s="921">
        <f>VLOOKUP('Journey distribution (ex Gold)'!$A87, $B$102:$E$104, 4)</f>
        <v>6</v>
      </c>
      <c r="M213" s="892">
        <f>VLOOKUP('Journey distribution (ex Gold)'!$A87, $F$102:$H$103, 3)</f>
        <v>9.1999999999999993</v>
      </c>
      <c r="N213" s="921">
        <f>VLOOKUP('Journey distribution (ex Gold)'!$A87, $B$102:$E$104, 4)</f>
        <v>6</v>
      </c>
      <c r="O213" s="922">
        <f t="shared" si="22"/>
        <v>10.7</v>
      </c>
    </row>
    <row r="214" spans="2:15" s="718" customFormat="1" ht="12" hidden="1" x14ac:dyDescent="0.2">
      <c r="B214" s="920">
        <v>84</v>
      </c>
      <c r="C214" s="921">
        <f t="shared" si="17"/>
        <v>4.2</v>
      </c>
      <c r="D214" s="921">
        <f t="shared" si="18"/>
        <v>9.6</v>
      </c>
      <c r="E214" s="892"/>
      <c r="F214" s="921">
        <f t="shared" si="19"/>
        <v>4.8</v>
      </c>
      <c r="G214" s="921">
        <f>VLOOKUP('Journey distribution (ex Gold)'!$A88, $F$102:$G$103, 2)</f>
        <v>7.65</v>
      </c>
      <c r="H214" s="921">
        <f>VLOOKUP('Journey distribution (ex Gold)'!$A88, $B$102:$D$104, 3)</f>
        <v>4.8</v>
      </c>
      <c r="I214" s="810">
        <f t="shared" si="20"/>
        <v>2.2400000000000002</v>
      </c>
      <c r="J214" s="921">
        <f t="shared" si="21"/>
        <v>8.86</v>
      </c>
      <c r="K214" s="892"/>
      <c r="L214" s="921">
        <f>VLOOKUP('Journey distribution (ex Gold)'!$A88, $B$102:$E$104, 4)</f>
        <v>6</v>
      </c>
      <c r="M214" s="892">
        <f>VLOOKUP('Journey distribution (ex Gold)'!$A88, $F$102:$H$103, 3)</f>
        <v>9.1999999999999993</v>
      </c>
      <c r="N214" s="921">
        <f>VLOOKUP('Journey distribution (ex Gold)'!$A88, $B$102:$E$104, 4)</f>
        <v>6</v>
      </c>
      <c r="O214" s="922">
        <f t="shared" si="22"/>
        <v>10.7</v>
      </c>
    </row>
    <row r="215" spans="2:15" s="718" customFormat="1" ht="12" hidden="1" x14ac:dyDescent="0.2">
      <c r="B215" s="920">
        <v>85</v>
      </c>
      <c r="C215" s="921">
        <f t="shared" si="17"/>
        <v>4.2</v>
      </c>
      <c r="D215" s="921">
        <f t="shared" si="18"/>
        <v>10.6</v>
      </c>
      <c r="E215" s="892"/>
      <c r="F215" s="921">
        <f t="shared" si="19"/>
        <v>4.8</v>
      </c>
      <c r="G215" s="921">
        <f>VLOOKUP('Journey distribution (ex Gold)'!$A89, $F$102:$G$103, 2)</f>
        <v>7.65</v>
      </c>
      <c r="H215" s="921">
        <f>VLOOKUP('Journey distribution (ex Gold)'!$A89, $B$102:$D$104, 3)</f>
        <v>4.8</v>
      </c>
      <c r="I215" s="810">
        <f t="shared" si="20"/>
        <v>2.2400000000000002</v>
      </c>
      <c r="J215" s="921">
        <f t="shared" si="21"/>
        <v>8.86</v>
      </c>
      <c r="K215" s="892"/>
      <c r="L215" s="921">
        <f>VLOOKUP('Journey distribution (ex Gold)'!$A89, $B$102:$E$104, 4)</f>
        <v>6</v>
      </c>
      <c r="M215" s="892">
        <f>VLOOKUP('Journey distribution (ex Gold)'!$A89, $F$102:$H$103, 3)</f>
        <v>9.1999999999999993</v>
      </c>
      <c r="N215" s="921">
        <f>VLOOKUP('Journey distribution (ex Gold)'!$A89, $B$102:$E$104, 4)</f>
        <v>6</v>
      </c>
      <c r="O215" s="922">
        <f t="shared" si="22"/>
        <v>10.7</v>
      </c>
    </row>
    <row r="216" spans="2:15" s="718" customFormat="1" ht="12" hidden="1" x14ac:dyDescent="0.2">
      <c r="B216" s="920">
        <v>86</v>
      </c>
      <c r="C216" s="921">
        <f t="shared" si="17"/>
        <v>4.2</v>
      </c>
      <c r="D216" s="921">
        <f t="shared" si="18"/>
        <v>10.6</v>
      </c>
      <c r="E216" s="892"/>
      <c r="F216" s="921">
        <f t="shared" si="19"/>
        <v>4.8</v>
      </c>
      <c r="G216" s="921">
        <f>VLOOKUP('Journey distribution (ex Gold)'!$A90, $F$102:$G$103, 2)</f>
        <v>7.65</v>
      </c>
      <c r="H216" s="921">
        <f>VLOOKUP('Journey distribution (ex Gold)'!$A90, $B$102:$D$104, 3)</f>
        <v>4.8</v>
      </c>
      <c r="I216" s="810">
        <f t="shared" si="20"/>
        <v>2.2400000000000002</v>
      </c>
      <c r="J216" s="921">
        <f t="shared" si="21"/>
        <v>8.86</v>
      </c>
      <c r="K216" s="892"/>
      <c r="L216" s="921">
        <f>VLOOKUP('Journey distribution (ex Gold)'!$A90, $B$102:$E$104, 4)</f>
        <v>6</v>
      </c>
      <c r="M216" s="892">
        <f>VLOOKUP('Journey distribution (ex Gold)'!$A90, $F$102:$H$103, 3)</f>
        <v>9.1999999999999993</v>
      </c>
      <c r="N216" s="921">
        <f>VLOOKUP('Journey distribution (ex Gold)'!$A90, $B$102:$E$104, 4)</f>
        <v>6</v>
      </c>
      <c r="O216" s="922">
        <f t="shared" si="22"/>
        <v>10.7</v>
      </c>
    </row>
    <row r="217" spans="2:15" s="718" customFormat="1" ht="12" hidden="1" x14ac:dyDescent="0.2">
      <c r="B217" s="920">
        <v>87</v>
      </c>
      <c r="C217" s="921">
        <f t="shared" si="17"/>
        <v>4.2</v>
      </c>
      <c r="D217" s="921">
        <f t="shared" si="18"/>
        <v>10.6</v>
      </c>
      <c r="E217" s="892"/>
      <c r="F217" s="921">
        <f t="shared" si="19"/>
        <v>4.8</v>
      </c>
      <c r="G217" s="921">
        <f>VLOOKUP('Journey distribution (ex Gold)'!$A91, $F$102:$G$103, 2)</f>
        <v>7.65</v>
      </c>
      <c r="H217" s="921">
        <f>VLOOKUP('Journey distribution (ex Gold)'!$A91, $B$102:$D$104, 3)</f>
        <v>4.8</v>
      </c>
      <c r="I217" s="810">
        <f t="shared" si="20"/>
        <v>2.2400000000000002</v>
      </c>
      <c r="J217" s="921">
        <f t="shared" si="21"/>
        <v>8.86</v>
      </c>
      <c r="K217" s="892"/>
      <c r="L217" s="921">
        <f>VLOOKUP('Journey distribution (ex Gold)'!$A91, $B$102:$E$104, 4)</f>
        <v>6</v>
      </c>
      <c r="M217" s="892">
        <f>VLOOKUP('Journey distribution (ex Gold)'!$A91, $F$102:$H$103, 3)</f>
        <v>9.1999999999999993</v>
      </c>
      <c r="N217" s="921">
        <f>VLOOKUP('Journey distribution (ex Gold)'!$A91, $B$102:$E$104, 4)</f>
        <v>6</v>
      </c>
      <c r="O217" s="922">
        <f t="shared" si="22"/>
        <v>10.7</v>
      </c>
    </row>
    <row r="218" spans="2:15" s="718" customFormat="1" ht="12" hidden="1" x14ac:dyDescent="0.2">
      <c r="B218" s="920">
        <v>88</v>
      </c>
      <c r="C218" s="921">
        <f t="shared" si="17"/>
        <v>4.2</v>
      </c>
      <c r="D218" s="921">
        <f t="shared" si="18"/>
        <v>10.6</v>
      </c>
      <c r="E218" s="892"/>
      <c r="F218" s="921">
        <f t="shared" si="19"/>
        <v>4.8</v>
      </c>
      <c r="G218" s="921">
        <f>VLOOKUP('Journey distribution (ex Gold)'!$A92, $F$102:$G$103, 2)</f>
        <v>7.65</v>
      </c>
      <c r="H218" s="921">
        <f>VLOOKUP('Journey distribution (ex Gold)'!$A92, $B$102:$D$104, 3)</f>
        <v>4.8</v>
      </c>
      <c r="I218" s="810">
        <f t="shared" si="20"/>
        <v>2.2400000000000002</v>
      </c>
      <c r="J218" s="921">
        <f t="shared" si="21"/>
        <v>8.86</v>
      </c>
      <c r="K218" s="892"/>
      <c r="L218" s="921">
        <f>VLOOKUP('Journey distribution (ex Gold)'!$A92, $B$102:$E$104, 4)</f>
        <v>6</v>
      </c>
      <c r="M218" s="892">
        <f>VLOOKUP('Journey distribution (ex Gold)'!$A92, $F$102:$H$103, 3)</f>
        <v>9.1999999999999993</v>
      </c>
      <c r="N218" s="921">
        <f>VLOOKUP('Journey distribution (ex Gold)'!$A92, $B$102:$E$104, 4)</f>
        <v>6</v>
      </c>
      <c r="O218" s="922">
        <f t="shared" si="22"/>
        <v>10.7</v>
      </c>
    </row>
    <row r="219" spans="2:15" s="718" customFormat="1" ht="12" hidden="1" x14ac:dyDescent="0.2">
      <c r="B219" s="920">
        <v>89</v>
      </c>
      <c r="C219" s="921">
        <f t="shared" si="17"/>
        <v>4.2</v>
      </c>
      <c r="D219" s="921">
        <f t="shared" si="18"/>
        <v>10.6</v>
      </c>
      <c r="E219" s="892"/>
      <c r="F219" s="921">
        <f t="shared" si="19"/>
        <v>4.8</v>
      </c>
      <c r="G219" s="921">
        <f>VLOOKUP('Journey distribution (ex Gold)'!$A93, $F$102:$G$103, 2)</f>
        <v>7.65</v>
      </c>
      <c r="H219" s="921">
        <f>VLOOKUP('Journey distribution (ex Gold)'!$A93, $B$102:$D$104, 3)</f>
        <v>4.8</v>
      </c>
      <c r="I219" s="810">
        <f t="shared" si="20"/>
        <v>2.2400000000000002</v>
      </c>
      <c r="J219" s="921">
        <f t="shared" si="21"/>
        <v>8.86</v>
      </c>
      <c r="K219" s="892"/>
      <c r="L219" s="921">
        <f>VLOOKUP('Journey distribution (ex Gold)'!$A93, $B$102:$E$104, 4)</f>
        <v>6</v>
      </c>
      <c r="M219" s="892">
        <f>VLOOKUP('Journey distribution (ex Gold)'!$A93, $F$102:$H$103, 3)</f>
        <v>9.1999999999999993</v>
      </c>
      <c r="N219" s="921">
        <f>VLOOKUP('Journey distribution (ex Gold)'!$A93, $B$102:$E$104, 4)</f>
        <v>6</v>
      </c>
      <c r="O219" s="922">
        <f t="shared" si="22"/>
        <v>10.7</v>
      </c>
    </row>
    <row r="220" spans="2:15" s="718" customFormat="1" ht="12" hidden="1" x14ac:dyDescent="0.2">
      <c r="B220" s="920">
        <v>90</v>
      </c>
      <c r="C220" s="921">
        <f t="shared" si="17"/>
        <v>4.2</v>
      </c>
      <c r="D220" s="921">
        <f t="shared" si="18"/>
        <v>10.6</v>
      </c>
      <c r="E220" s="892"/>
      <c r="F220" s="921">
        <f t="shared" si="19"/>
        <v>4.8</v>
      </c>
      <c r="G220" s="921">
        <f>VLOOKUP('Journey distribution (ex Gold)'!$A94, $F$102:$G$103, 2)</f>
        <v>7.65</v>
      </c>
      <c r="H220" s="921">
        <f>VLOOKUP('Journey distribution (ex Gold)'!$A94, $B$102:$D$104, 3)</f>
        <v>4.8</v>
      </c>
      <c r="I220" s="810">
        <f t="shared" si="20"/>
        <v>2.2400000000000002</v>
      </c>
      <c r="J220" s="921">
        <f t="shared" si="21"/>
        <v>8.86</v>
      </c>
      <c r="K220" s="892"/>
      <c r="L220" s="921">
        <f>VLOOKUP('Journey distribution (ex Gold)'!$A94, $B$102:$E$104, 4)</f>
        <v>6</v>
      </c>
      <c r="M220" s="892">
        <f>VLOOKUP('Journey distribution (ex Gold)'!$A94, $F$102:$H$103, 3)</f>
        <v>9.1999999999999993</v>
      </c>
      <c r="N220" s="921">
        <f>VLOOKUP('Journey distribution (ex Gold)'!$A94, $B$102:$E$104, 4)</f>
        <v>6</v>
      </c>
      <c r="O220" s="922">
        <f t="shared" si="22"/>
        <v>10.7</v>
      </c>
    </row>
    <row r="221" spans="2:15" s="718" customFormat="1" ht="12" hidden="1" x14ac:dyDescent="0.2">
      <c r="B221" s="920">
        <v>91</v>
      </c>
      <c r="C221" s="921">
        <f t="shared" si="17"/>
        <v>4.2</v>
      </c>
      <c r="D221" s="921">
        <f t="shared" si="18"/>
        <v>10.6</v>
      </c>
      <c r="E221" s="892"/>
      <c r="F221" s="921">
        <f t="shared" si="19"/>
        <v>4.8</v>
      </c>
      <c r="G221" s="921">
        <f>VLOOKUP('Journey distribution (ex Gold)'!$A95, $F$102:$G$103, 2)</f>
        <v>7.65</v>
      </c>
      <c r="H221" s="921">
        <f>VLOOKUP('Journey distribution (ex Gold)'!$A95, $B$102:$D$104, 3)</f>
        <v>4.8</v>
      </c>
      <c r="I221" s="810">
        <f t="shared" si="20"/>
        <v>2.2400000000000002</v>
      </c>
      <c r="J221" s="921">
        <f t="shared" si="21"/>
        <v>8.86</v>
      </c>
      <c r="K221" s="892"/>
      <c r="L221" s="921">
        <f>VLOOKUP('Journey distribution (ex Gold)'!$A95, $B$102:$E$104, 4)</f>
        <v>6</v>
      </c>
      <c r="M221" s="892">
        <f>VLOOKUP('Journey distribution (ex Gold)'!$A95, $F$102:$H$103, 3)</f>
        <v>9.1999999999999993</v>
      </c>
      <c r="N221" s="921">
        <f>VLOOKUP('Journey distribution (ex Gold)'!$A95, $B$102:$E$104, 4)</f>
        <v>6</v>
      </c>
      <c r="O221" s="922">
        <f t="shared" si="22"/>
        <v>10.7</v>
      </c>
    </row>
    <row r="222" spans="2:15" s="718" customFormat="1" ht="12" hidden="1" x14ac:dyDescent="0.2">
      <c r="B222" s="920">
        <v>92</v>
      </c>
      <c r="C222" s="921">
        <f t="shared" si="17"/>
        <v>4.2</v>
      </c>
      <c r="D222" s="921">
        <f t="shared" si="18"/>
        <v>10.6</v>
      </c>
      <c r="E222" s="892"/>
      <c r="F222" s="921">
        <f t="shared" si="19"/>
        <v>4.8</v>
      </c>
      <c r="G222" s="921">
        <f>VLOOKUP('Journey distribution (ex Gold)'!$A96, $F$102:$G$103, 2)</f>
        <v>7.65</v>
      </c>
      <c r="H222" s="921">
        <f>VLOOKUP('Journey distribution (ex Gold)'!$A96, $B$102:$D$104, 3)</f>
        <v>4.8</v>
      </c>
      <c r="I222" s="810">
        <f t="shared" si="20"/>
        <v>2.2400000000000002</v>
      </c>
      <c r="J222" s="921">
        <f t="shared" si="21"/>
        <v>8.86</v>
      </c>
      <c r="K222" s="892"/>
      <c r="L222" s="921">
        <f>VLOOKUP('Journey distribution (ex Gold)'!$A96, $B$102:$E$104, 4)</f>
        <v>6</v>
      </c>
      <c r="M222" s="892">
        <f>VLOOKUP('Journey distribution (ex Gold)'!$A96, $F$102:$H$103, 3)</f>
        <v>9.1999999999999993</v>
      </c>
      <c r="N222" s="921">
        <f>VLOOKUP('Journey distribution (ex Gold)'!$A96, $B$102:$E$104, 4)</f>
        <v>6</v>
      </c>
      <c r="O222" s="922">
        <f t="shared" si="22"/>
        <v>10.7</v>
      </c>
    </row>
    <row r="223" spans="2:15" s="718" customFormat="1" ht="12" hidden="1" x14ac:dyDescent="0.2">
      <c r="B223" s="920">
        <v>93</v>
      </c>
      <c r="C223" s="921">
        <f t="shared" si="17"/>
        <v>4.2</v>
      </c>
      <c r="D223" s="921">
        <f t="shared" si="18"/>
        <v>10.6</v>
      </c>
      <c r="E223" s="892"/>
      <c r="F223" s="921">
        <f t="shared" si="19"/>
        <v>4.8</v>
      </c>
      <c r="G223" s="921">
        <f>VLOOKUP('Journey distribution (ex Gold)'!$A97, $F$102:$G$103, 2)</f>
        <v>7.65</v>
      </c>
      <c r="H223" s="921">
        <f>VLOOKUP('Journey distribution (ex Gold)'!$A97, $B$102:$D$104, 3)</f>
        <v>4.8</v>
      </c>
      <c r="I223" s="810">
        <f t="shared" si="20"/>
        <v>2.2400000000000002</v>
      </c>
      <c r="J223" s="921">
        <f t="shared" si="21"/>
        <v>8.86</v>
      </c>
      <c r="K223" s="892"/>
      <c r="L223" s="921">
        <f>VLOOKUP('Journey distribution (ex Gold)'!$A97, $B$102:$E$104, 4)</f>
        <v>6</v>
      </c>
      <c r="M223" s="892">
        <f>VLOOKUP('Journey distribution (ex Gold)'!$A97, $F$102:$H$103, 3)</f>
        <v>9.1999999999999993</v>
      </c>
      <c r="N223" s="921">
        <f>VLOOKUP('Journey distribution (ex Gold)'!$A97, $B$102:$E$104, 4)</f>
        <v>6</v>
      </c>
      <c r="O223" s="922">
        <f t="shared" si="22"/>
        <v>10.7</v>
      </c>
    </row>
    <row r="224" spans="2:15" s="718" customFormat="1" ht="12" hidden="1" x14ac:dyDescent="0.2">
      <c r="B224" s="920">
        <v>94</v>
      </c>
      <c r="C224" s="921">
        <f t="shared" si="17"/>
        <v>4.2</v>
      </c>
      <c r="D224" s="921">
        <f t="shared" si="18"/>
        <v>10.6</v>
      </c>
      <c r="E224" s="892"/>
      <c r="F224" s="921">
        <f t="shared" si="19"/>
        <v>4.8</v>
      </c>
      <c r="G224" s="921">
        <f>VLOOKUP('Journey distribution (ex Gold)'!$A98, $F$102:$G$103, 2)</f>
        <v>7.65</v>
      </c>
      <c r="H224" s="921">
        <f>VLOOKUP('Journey distribution (ex Gold)'!$A98, $B$102:$D$104, 3)</f>
        <v>4.8</v>
      </c>
      <c r="I224" s="810">
        <f t="shared" si="20"/>
        <v>2.2400000000000002</v>
      </c>
      <c r="J224" s="921">
        <f t="shared" si="21"/>
        <v>8.86</v>
      </c>
      <c r="K224" s="892"/>
      <c r="L224" s="921">
        <f>VLOOKUP('Journey distribution (ex Gold)'!$A98, $B$102:$E$104, 4)</f>
        <v>6</v>
      </c>
      <c r="M224" s="892">
        <f>VLOOKUP('Journey distribution (ex Gold)'!$A98, $F$102:$H$103, 3)</f>
        <v>9.1999999999999993</v>
      </c>
      <c r="N224" s="921">
        <f>VLOOKUP('Journey distribution (ex Gold)'!$A98, $B$102:$E$104, 4)</f>
        <v>6</v>
      </c>
      <c r="O224" s="922">
        <f t="shared" si="22"/>
        <v>10.7</v>
      </c>
    </row>
    <row r="225" spans="2:15" s="718" customFormat="1" ht="12" hidden="1" x14ac:dyDescent="0.2">
      <c r="B225" s="920">
        <v>95</v>
      </c>
      <c r="C225" s="921">
        <f t="shared" si="17"/>
        <v>4.2</v>
      </c>
      <c r="D225" s="921">
        <f t="shared" si="18"/>
        <v>11</v>
      </c>
      <c r="E225" s="892"/>
      <c r="F225" s="921">
        <f t="shared" si="19"/>
        <v>4.8</v>
      </c>
      <c r="G225" s="921">
        <f>VLOOKUP('Journey distribution (ex Gold)'!$A99, $F$102:$G$103, 2)</f>
        <v>7.65</v>
      </c>
      <c r="H225" s="921">
        <f>VLOOKUP('Journey distribution (ex Gold)'!$A99, $B$102:$D$104, 3)</f>
        <v>4.8</v>
      </c>
      <c r="I225" s="810">
        <f t="shared" si="20"/>
        <v>2.2400000000000002</v>
      </c>
      <c r="J225" s="921">
        <f t="shared" si="21"/>
        <v>8.86</v>
      </c>
      <c r="K225" s="892"/>
      <c r="L225" s="921">
        <f>VLOOKUP('Journey distribution (ex Gold)'!$A99, $B$102:$E$104, 4)</f>
        <v>6</v>
      </c>
      <c r="M225" s="892">
        <f>VLOOKUP('Journey distribution (ex Gold)'!$A99, $F$102:$H$103, 3)</f>
        <v>9.1999999999999993</v>
      </c>
      <c r="N225" s="921">
        <f>VLOOKUP('Journey distribution (ex Gold)'!$A99, $B$102:$E$104, 4)</f>
        <v>6</v>
      </c>
      <c r="O225" s="922">
        <f t="shared" si="22"/>
        <v>10.7</v>
      </c>
    </row>
    <row r="226" spans="2:15" s="718" customFormat="1" ht="12" hidden="1" x14ac:dyDescent="0.2">
      <c r="B226" s="920">
        <v>96</v>
      </c>
      <c r="C226" s="921">
        <f t="shared" ref="C226:C257" si="23">VLOOKUP(B226, $B$102:$C$104, 2)</f>
        <v>4.2</v>
      </c>
      <c r="D226" s="921">
        <f t="shared" ref="D226:D257" si="24">VLOOKUP(B226, $I$102:$J$121, 2)</f>
        <v>11</v>
      </c>
      <c r="E226" s="892"/>
      <c r="F226" s="921">
        <f t="shared" si="19"/>
        <v>4.8</v>
      </c>
      <c r="G226" s="921">
        <f>VLOOKUP('Journey distribution (ex Gold)'!$A100, $F$102:$G$103, 2)</f>
        <v>7.65</v>
      </c>
      <c r="H226" s="921">
        <f>VLOOKUP('Journey distribution (ex Gold)'!$A100, $B$102:$D$104, 3)</f>
        <v>4.8</v>
      </c>
      <c r="I226" s="810">
        <f t="shared" si="20"/>
        <v>2.2400000000000002</v>
      </c>
      <c r="J226" s="921">
        <f t="shared" si="21"/>
        <v>8.86</v>
      </c>
      <c r="K226" s="892"/>
      <c r="L226" s="921">
        <f>VLOOKUP('Journey distribution (ex Gold)'!$A100, $B$102:$E$104, 4)</f>
        <v>6</v>
      </c>
      <c r="M226" s="892">
        <f>VLOOKUP('Journey distribution (ex Gold)'!$A100, $F$102:$H$103, 3)</f>
        <v>9.1999999999999993</v>
      </c>
      <c r="N226" s="921">
        <f>VLOOKUP('Journey distribution (ex Gold)'!$A100, $B$102:$E$104, 4)</f>
        <v>6</v>
      </c>
      <c r="O226" s="922">
        <f t="shared" si="22"/>
        <v>10.7</v>
      </c>
    </row>
    <row r="227" spans="2:15" s="718" customFormat="1" ht="12" hidden="1" x14ac:dyDescent="0.2">
      <c r="B227" s="920">
        <v>97</v>
      </c>
      <c r="C227" s="921">
        <f t="shared" si="23"/>
        <v>4.2</v>
      </c>
      <c r="D227" s="921">
        <f t="shared" si="24"/>
        <v>11</v>
      </c>
      <c r="E227" s="892"/>
      <c r="F227" s="921">
        <f t="shared" si="19"/>
        <v>4.8</v>
      </c>
      <c r="G227" s="921">
        <f>VLOOKUP('Journey distribution (ex Gold)'!$A101, $F$102:$G$103, 2)</f>
        <v>7.65</v>
      </c>
      <c r="H227" s="921">
        <f>VLOOKUP('Journey distribution (ex Gold)'!$A101, $B$102:$D$104, 3)</f>
        <v>4.8</v>
      </c>
      <c r="I227" s="810">
        <f t="shared" ref="I227:I258" si="25">I226</f>
        <v>2.2400000000000002</v>
      </c>
      <c r="J227" s="921">
        <f t="shared" si="21"/>
        <v>8.86</v>
      </c>
      <c r="K227" s="892"/>
      <c r="L227" s="921">
        <f>VLOOKUP('Journey distribution (ex Gold)'!$A101, $B$102:$E$104, 4)</f>
        <v>6</v>
      </c>
      <c r="M227" s="892">
        <f>VLOOKUP('Journey distribution (ex Gold)'!$A101, $F$102:$H$103, 3)</f>
        <v>9.1999999999999993</v>
      </c>
      <c r="N227" s="921">
        <f>VLOOKUP('Journey distribution (ex Gold)'!$A101, $B$102:$E$104, 4)</f>
        <v>6</v>
      </c>
      <c r="O227" s="922">
        <f t="shared" si="22"/>
        <v>10.7</v>
      </c>
    </row>
    <row r="228" spans="2:15" s="718" customFormat="1" ht="12" hidden="1" x14ac:dyDescent="0.2">
      <c r="B228" s="920">
        <v>98</v>
      </c>
      <c r="C228" s="921">
        <f t="shared" si="23"/>
        <v>4.2</v>
      </c>
      <c r="D228" s="921">
        <f t="shared" si="24"/>
        <v>11</v>
      </c>
      <c r="E228" s="892"/>
      <c r="F228" s="921">
        <f t="shared" si="19"/>
        <v>4.8</v>
      </c>
      <c r="G228" s="921">
        <f>VLOOKUP('Journey distribution (ex Gold)'!$A102, $F$102:$G$103, 2)</f>
        <v>7.65</v>
      </c>
      <c r="H228" s="921">
        <f>VLOOKUP('Journey distribution (ex Gold)'!$A102, $B$102:$D$104, 3)</f>
        <v>4.8</v>
      </c>
      <c r="I228" s="810">
        <f t="shared" si="25"/>
        <v>2.2400000000000002</v>
      </c>
      <c r="J228" s="921">
        <f t="shared" si="21"/>
        <v>8.86</v>
      </c>
      <c r="K228" s="892"/>
      <c r="L228" s="921">
        <f>VLOOKUP('Journey distribution (ex Gold)'!$A102, $B$102:$E$104, 4)</f>
        <v>6</v>
      </c>
      <c r="M228" s="892">
        <f>VLOOKUP('Journey distribution (ex Gold)'!$A102, $F$102:$H$103, 3)</f>
        <v>9.1999999999999993</v>
      </c>
      <c r="N228" s="921">
        <f>VLOOKUP('Journey distribution (ex Gold)'!$A102, $B$102:$E$104, 4)</f>
        <v>6</v>
      </c>
      <c r="O228" s="922">
        <f t="shared" si="22"/>
        <v>10.7</v>
      </c>
    </row>
    <row r="229" spans="2:15" s="718" customFormat="1" ht="12" hidden="1" x14ac:dyDescent="0.2">
      <c r="B229" s="920">
        <v>99</v>
      </c>
      <c r="C229" s="921">
        <f t="shared" si="23"/>
        <v>4.2</v>
      </c>
      <c r="D229" s="921">
        <f t="shared" si="24"/>
        <v>11</v>
      </c>
      <c r="E229" s="892"/>
      <c r="F229" s="921">
        <f t="shared" si="19"/>
        <v>4.8</v>
      </c>
      <c r="G229" s="921">
        <f>VLOOKUP('Journey distribution (ex Gold)'!$A103, $F$102:$G$103, 2)</f>
        <v>7.65</v>
      </c>
      <c r="H229" s="921">
        <f>VLOOKUP('Journey distribution (ex Gold)'!$A103, $B$102:$D$104, 3)</f>
        <v>4.8</v>
      </c>
      <c r="I229" s="810">
        <f t="shared" si="25"/>
        <v>2.2400000000000002</v>
      </c>
      <c r="J229" s="921">
        <f t="shared" si="21"/>
        <v>8.86</v>
      </c>
      <c r="K229" s="892"/>
      <c r="L229" s="921">
        <f>VLOOKUP('Journey distribution (ex Gold)'!$A103, $B$102:$E$104, 4)</f>
        <v>6</v>
      </c>
      <c r="M229" s="892">
        <f>VLOOKUP('Journey distribution (ex Gold)'!$A103, $F$102:$H$103, 3)</f>
        <v>9.1999999999999993</v>
      </c>
      <c r="N229" s="921">
        <f>VLOOKUP('Journey distribution (ex Gold)'!$A103, $B$102:$E$104, 4)</f>
        <v>6</v>
      </c>
      <c r="O229" s="922">
        <f t="shared" si="22"/>
        <v>10.7</v>
      </c>
    </row>
    <row r="230" spans="2:15" s="718" customFormat="1" ht="12" hidden="1" x14ac:dyDescent="0.2">
      <c r="B230" s="920">
        <v>100</v>
      </c>
      <c r="C230" s="921">
        <f t="shared" si="23"/>
        <v>4.2</v>
      </c>
      <c r="D230" s="921">
        <f t="shared" si="24"/>
        <v>11</v>
      </c>
      <c r="E230" s="892"/>
      <c r="F230" s="921">
        <f t="shared" si="19"/>
        <v>4.8</v>
      </c>
      <c r="G230" s="921">
        <f>VLOOKUP('Journey distribution (ex Gold)'!$A104, $F$102:$G$103, 2)</f>
        <v>7.65</v>
      </c>
      <c r="H230" s="921">
        <f>VLOOKUP('Journey distribution (ex Gold)'!$A104, $B$102:$D$104, 3)</f>
        <v>4.8</v>
      </c>
      <c r="I230" s="810">
        <f t="shared" si="25"/>
        <v>2.2400000000000002</v>
      </c>
      <c r="J230" s="921">
        <f t="shared" si="21"/>
        <v>8.86</v>
      </c>
      <c r="K230" s="892"/>
      <c r="L230" s="921">
        <f>VLOOKUP('Journey distribution (ex Gold)'!$A104, $B$102:$E$104, 4)</f>
        <v>6</v>
      </c>
      <c r="M230" s="892">
        <f>VLOOKUP('Journey distribution (ex Gold)'!$A104, $F$102:$H$103, 3)</f>
        <v>9.1999999999999993</v>
      </c>
      <c r="N230" s="921">
        <f>VLOOKUP('Journey distribution (ex Gold)'!$A104, $B$102:$E$104, 4)</f>
        <v>6</v>
      </c>
      <c r="O230" s="922">
        <f t="shared" si="22"/>
        <v>10.7</v>
      </c>
    </row>
    <row r="231" spans="2:15" s="718" customFormat="1" ht="12" hidden="1" x14ac:dyDescent="0.2">
      <c r="B231" s="920">
        <v>101</v>
      </c>
      <c r="C231" s="921">
        <f t="shared" si="23"/>
        <v>4.2</v>
      </c>
      <c r="D231" s="921">
        <f t="shared" si="24"/>
        <v>11</v>
      </c>
      <c r="E231" s="892"/>
      <c r="F231" s="921">
        <f t="shared" si="19"/>
        <v>4.8</v>
      </c>
      <c r="G231" s="921">
        <f>VLOOKUP('Journey distribution (ex Gold)'!$A105, $F$102:$G$103, 2)</f>
        <v>7.65</v>
      </c>
      <c r="H231" s="921">
        <f>VLOOKUP('Journey distribution (ex Gold)'!$A105, $B$102:$D$104, 3)</f>
        <v>4.8</v>
      </c>
      <c r="I231" s="810">
        <f t="shared" si="25"/>
        <v>2.2400000000000002</v>
      </c>
      <c r="J231" s="921">
        <f t="shared" si="21"/>
        <v>8.86</v>
      </c>
      <c r="K231" s="892"/>
      <c r="L231" s="921">
        <f>VLOOKUP('Journey distribution (ex Gold)'!$A105, $B$102:$E$104, 4)</f>
        <v>6</v>
      </c>
      <c r="M231" s="892">
        <f>VLOOKUP('Journey distribution (ex Gold)'!$A105, $F$102:$H$103, 3)</f>
        <v>9.1999999999999993</v>
      </c>
      <c r="N231" s="921">
        <f>VLOOKUP('Journey distribution (ex Gold)'!$A105, $B$102:$E$104, 4)</f>
        <v>6</v>
      </c>
      <c r="O231" s="922">
        <f t="shared" si="22"/>
        <v>10.7</v>
      </c>
    </row>
    <row r="232" spans="2:15" s="718" customFormat="1" ht="12" hidden="1" x14ac:dyDescent="0.2">
      <c r="B232" s="920">
        <v>102</v>
      </c>
      <c r="C232" s="921">
        <f t="shared" si="23"/>
        <v>4.2</v>
      </c>
      <c r="D232" s="921">
        <f t="shared" si="24"/>
        <v>11</v>
      </c>
      <c r="E232" s="892"/>
      <c r="F232" s="921">
        <f t="shared" si="19"/>
        <v>4.8</v>
      </c>
      <c r="G232" s="921">
        <f>VLOOKUP('Journey distribution (ex Gold)'!$A106, $F$102:$G$103, 2)</f>
        <v>7.65</v>
      </c>
      <c r="H232" s="921">
        <f>VLOOKUP('Journey distribution (ex Gold)'!$A106, $B$102:$D$104, 3)</f>
        <v>4.8</v>
      </c>
      <c r="I232" s="810">
        <f t="shared" si="25"/>
        <v>2.2400000000000002</v>
      </c>
      <c r="J232" s="921">
        <f t="shared" si="21"/>
        <v>8.86</v>
      </c>
      <c r="K232" s="892"/>
      <c r="L232" s="921">
        <f>VLOOKUP('Journey distribution (ex Gold)'!$A106, $B$102:$E$104, 4)</f>
        <v>6</v>
      </c>
      <c r="M232" s="892">
        <f>VLOOKUP('Journey distribution (ex Gold)'!$A106, $F$102:$H$103, 3)</f>
        <v>9.1999999999999993</v>
      </c>
      <c r="N232" s="921">
        <f>VLOOKUP('Journey distribution (ex Gold)'!$A106, $B$102:$E$104, 4)</f>
        <v>6</v>
      </c>
      <c r="O232" s="922">
        <f t="shared" si="22"/>
        <v>10.7</v>
      </c>
    </row>
    <row r="233" spans="2:15" s="718" customFormat="1" ht="12" hidden="1" x14ac:dyDescent="0.2">
      <c r="B233" s="920">
        <v>103</v>
      </c>
      <c r="C233" s="921">
        <f t="shared" si="23"/>
        <v>4.2</v>
      </c>
      <c r="D233" s="921">
        <f t="shared" si="24"/>
        <v>11</v>
      </c>
      <c r="E233" s="892"/>
      <c r="F233" s="921">
        <f t="shared" si="19"/>
        <v>4.8</v>
      </c>
      <c r="G233" s="921">
        <f>VLOOKUP('Journey distribution (ex Gold)'!$A107, $F$102:$G$103, 2)</f>
        <v>7.65</v>
      </c>
      <c r="H233" s="921">
        <f>VLOOKUP('Journey distribution (ex Gold)'!$A107, $B$102:$D$104, 3)</f>
        <v>4.8</v>
      </c>
      <c r="I233" s="810">
        <f t="shared" si="25"/>
        <v>2.2400000000000002</v>
      </c>
      <c r="J233" s="921">
        <f t="shared" si="21"/>
        <v>8.86</v>
      </c>
      <c r="K233" s="892"/>
      <c r="L233" s="921">
        <f>VLOOKUP('Journey distribution (ex Gold)'!$A107, $B$102:$E$104, 4)</f>
        <v>6</v>
      </c>
      <c r="M233" s="892">
        <f>VLOOKUP('Journey distribution (ex Gold)'!$A107, $F$102:$H$103, 3)</f>
        <v>9.1999999999999993</v>
      </c>
      <c r="N233" s="921">
        <f>VLOOKUP('Journey distribution (ex Gold)'!$A107, $B$102:$E$104, 4)</f>
        <v>6</v>
      </c>
      <c r="O233" s="922">
        <f t="shared" si="22"/>
        <v>10.7</v>
      </c>
    </row>
    <row r="234" spans="2:15" s="718" customFormat="1" ht="12" hidden="1" x14ac:dyDescent="0.2">
      <c r="B234" s="920">
        <v>104</v>
      </c>
      <c r="C234" s="921">
        <f t="shared" si="23"/>
        <v>4.2</v>
      </c>
      <c r="D234" s="921">
        <f t="shared" si="24"/>
        <v>11</v>
      </c>
      <c r="E234" s="892"/>
      <c r="F234" s="921">
        <f t="shared" si="19"/>
        <v>4.8</v>
      </c>
      <c r="G234" s="921">
        <f>VLOOKUP('Journey distribution (ex Gold)'!$A108, $F$102:$G$103, 2)</f>
        <v>7.65</v>
      </c>
      <c r="H234" s="921">
        <f>VLOOKUP('Journey distribution (ex Gold)'!$A108, $B$102:$D$104, 3)</f>
        <v>4.8</v>
      </c>
      <c r="I234" s="810">
        <f t="shared" si="25"/>
        <v>2.2400000000000002</v>
      </c>
      <c r="J234" s="921">
        <f t="shared" si="21"/>
        <v>8.86</v>
      </c>
      <c r="K234" s="892"/>
      <c r="L234" s="921">
        <f>VLOOKUP('Journey distribution (ex Gold)'!$A108, $B$102:$E$104, 4)</f>
        <v>6</v>
      </c>
      <c r="M234" s="892">
        <f>VLOOKUP('Journey distribution (ex Gold)'!$A108, $F$102:$H$103, 3)</f>
        <v>9.1999999999999993</v>
      </c>
      <c r="N234" s="921">
        <f>VLOOKUP('Journey distribution (ex Gold)'!$A108, $B$102:$E$104, 4)</f>
        <v>6</v>
      </c>
      <c r="O234" s="922">
        <f t="shared" si="22"/>
        <v>10.7</v>
      </c>
    </row>
    <row r="235" spans="2:15" s="718" customFormat="1" ht="12" hidden="1" x14ac:dyDescent="0.2">
      <c r="B235" s="920">
        <v>105</v>
      </c>
      <c r="C235" s="921">
        <f t="shared" si="23"/>
        <v>4.2</v>
      </c>
      <c r="D235" s="921">
        <f t="shared" si="24"/>
        <v>12.2</v>
      </c>
      <c r="E235" s="892"/>
      <c r="F235" s="921">
        <f t="shared" si="19"/>
        <v>4.8</v>
      </c>
      <c r="G235" s="921">
        <f>VLOOKUP('Journey distribution (ex Gold)'!$A109, $F$102:$G$103, 2)</f>
        <v>7.65</v>
      </c>
      <c r="H235" s="921">
        <f>VLOOKUP('Journey distribution (ex Gold)'!$A109, $B$102:$D$104, 3)</f>
        <v>4.8</v>
      </c>
      <c r="I235" s="810">
        <f t="shared" si="25"/>
        <v>2.2400000000000002</v>
      </c>
      <c r="J235" s="921">
        <f t="shared" si="21"/>
        <v>8.86</v>
      </c>
      <c r="K235" s="892"/>
      <c r="L235" s="921">
        <f>VLOOKUP('Journey distribution (ex Gold)'!$A109, $B$102:$E$104, 4)</f>
        <v>6</v>
      </c>
      <c r="M235" s="892">
        <f>VLOOKUP('Journey distribution (ex Gold)'!$A109, $F$102:$H$103, 3)</f>
        <v>9.1999999999999993</v>
      </c>
      <c r="N235" s="921">
        <f>VLOOKUP('Journey distribution (ex Gold)'!$A109, $B$102:$E$104, 4)</f>
        <v>6</v>
      </c>
      <c r="O235" s="922">
        <f t="shared" si="22"/>
        <v>10.7</v>
      </c>
    </row>
    <row r="236" spans="2:15" s="718" customFormat="1" ht="12" hidden="1" x14ac:dyDescent="0.2">
      <c r="B236" s="920">
        <v>106</v>
      </c>
      <c r="C236" s="921">
        <f t="shared" si="23"/>
        <v>4.2</v>
      </c>
      <c r="D236" s="921">
        <f t="shared" si="24"/>
        <v>12.2</v>
      </c>
      <c r="E236" s="892"/>
      <c r="F236" s="921">
        <f t="shared" si="19"/>
        <v>4.8</v>
      </c>
      <c r="G236" s="921">
        <f>VLOOKUP('Journey distribution (ex Gold)'!$A110, $F$102:$G$103, 2)</f>
        <v>7.65</v>
      </c>
      <c r="H236" s="921">
        <f>VLOOKUP('Journey distribution (ex Gold)'!$A110, $B$102:$D$104, 3)</f>
        <v>4.8</v>
      </c>
      <c r="I236" s="810">
        <f t="shared" si="25"/>
        <v>2.2400000000000002</v>
      </c>
      <c r="J236" s="921">
        <f t="shared" si="21"/>
        <v>8.86</v>
      </c>
      <c r="K236" s="892"/>
      <c r="L236" s="921">
        <f>VLOOKUP('Journey distribution (ex Gold)'!$A110, $B$102:$E$104, 4)</f>
        <v>6</v>
      </c>
      <c r="M236" s="892">
        <f>VLOOKUP('Journey distribution (ex Gold)'!$A110, $F$102:$H$103, 3)</f>
        <v>9.1999999999999993</v>
      </c>
      <c r="N236" s="921">
        <f>VLOOKUP('Journey distribution (ex Gold)'!$A110, $B$102:$E$104, 4)</f>
        <v>6</v>
      </c>
      <c r="O236" s="922">
        <f t="shared" si="22"/>
        <v>10.7</v>
      </c>
    </row>
    <row r="237" spans="2:15" s="718" customFormat="1" ht="12" hidden="1" x14ac:dyDescent="0.2">
      <c r="B237" s="920">
        <v>107</v>
      </c>
      <c r="C237" s="921">
        <f t="shared" si="23"/>
        <v>4.2</v>
      </c>
      <c r="D237" s="921">
        <f t="shared" si="24"/>
        <v>12.2</v>
      </c>
      <c r="E237" s="892"/>
      <c r="F237" s="921">
        <f t="shared" si="19"/>
        <v>4.8</v>
      </c>
      <c r="G237" s="921">
        <f>VLOOKUP('Journey distribution (ex Gold)'!$A111, $F$102:$G$103, 2)</f>
        <v>7.65</v>
      </c>
      <c r="H237" s="921">
        <f>VLOOKUP('Journey distribution (ex Gold)'!$A111, $B$102:$D$104, 3)</f>
        <v>4.8</v>
      </c>
      <c r="I237" s="810">
        <f t="shared" si="25"/>
        <v>2.2400000000000002</v>
      </c>
      <c r="J237" s="921">
        <f t="shared" si="21"/>
        <v>8.86</v>
      </c>
      <c r="K237" s="892"/>
      <c r="L237" s="921">
        <f>VLOOKUP('Journey distribution (ex Gold)'!$A111, $B$102:$E$104, 4)</f>
        <v>6</v>
      </c>
      <c r="M237" s="892">
        <f>VLOOKUP('Journey distribution (ex Gold)'!$A111, $F$102:$H$103, 3)</f>
        <v>9.1999999999999993</v>
      </c>
      <c r="N237" s="921">
        <f>VLOOKUP('Journey distribution (ex Gold)'!$A111, $B$102:$E$104, 4)</f>
        <v>6</v>
      </c>
      <c r="O237" s="922">
        <f t="shared" si="22"/>
        <v>10.7</v>
      </c>
    </row>
    <row r="238" spans="2:15" s="718" customFormat="1" ht="12" hidden="1" x14ac:dyDescent="0.2">
      <c r="B238" s="920">
        <v>108</v>
      </c>
      <c r="C238" s="921">
        <f t="shared" si="23"/>
        <v>4.2</v>
      </c>
      <c r="D238" s="921">
        <f t="shared" si="24"/>
        <v>12.2</v>
      </c>
      <c r="E238" s="892"/>
      <c r="F238" s="921">
        <f t="shared" si="19"/>
        <v>4.8</v>
      </c>
      <c r="G238" s="921">
        <f>VLOOKUP('Journey distribution (ex Gold)'!$A112, $F$102:$G$103, 2)</f>
        <v>7.65</v>
      </c>
      <c r="H238" s="921">
        <f>VLOOKUP('Journey distribution (ex Gold)'!$A112, $B$102:$D$104, 3)</f>
        <v>4.8</v>
      </c>
      <c r="I238" s="810">
        <f t="shared" si="25"/>
        <v>2.2400000000000002</v>
      </c>
      <c r="J238" s="921">
        <f t="shared" si="21"/>
        <v>8.86</v>
      </c>
      <c r="K238" s="892"/>
      <c r="L238" s="921">
        <f>VLOOKUP('Journey distribution (ex Gold)'!$A112, $B$102:$E$104, 4)</f>
        <v>6</v>
      </c>
      <c r="M238" s="892">
        <f>VLOOKUP('Journey distribution (ex Gold)'!$A112, $F$102:$H$103, 3)</f>
        <v>9.1999999999999993</v>
      </c>
      <c r="N238" s="921">
        <f>VLOOKUP('Journey distribution (ex Gold)'!$A112, $B$102:$E$104, 4)</f>
        <v>6</v>
      </c>
      <c r="O238" s="922">
        <f t="shared" si="22"/>
        <v>10.7</v>
      </c>
    </row>
    <row r="239" spans="2:15" s="718" customFormat="1" ht="12" hidden="1" x14ac:dyDescent="0.2">
      <c r="B239" s="920">
        <v>109</v>
      </c>
      <c r="C239" s="921">
        <f t="shared" si="23"/>
        <v>4.2</v>
      </c>
      <c r="D239" s="921">
        <f t="shared" si="24"/>
        <v>12.2</v>
      </c>
      <c r="E239" s="892"/>
      <c r="F239" s="921">
        <f t="shared" si="19"/>
        <v>4.8</v>
      </c>
      <c r="G239" s="921">
        <f>VLOOKUP('Journey distribution (ex Gold)'!$A113, $F$102:$G$103, 2)</f>
        <v>7.65</v>
      </c>
      <c r="H239" s="921">
        <f>VLOOKUP('Journey distribution (ex Gold)'!$A113, $B$102:$D$104, 3)</f>
        <v>4.8</v>
      </c>
      <c r="I239" s="810">
        <f t="shared" si="25"/>
        <v>2.2400000000000002</v>
      </c>
      <c r="J239" s="921">
        <f t="shared" si="21"/>
        <v>8.86</v>
      </c>
      <c r="K239" s="892"/>
      <c r="L239" s="921">
        <f>VLOOKUP('Journey distribution (ex Gold)'!$A113, $B$102:$E$104, 4)</f>
        <v>6</v>
      </c>
      <c r="M239" s="892">
        <f>VLOOKUP('Journey distribution (ex Gold)'!$A113, $F$102:$H$103, 3)</f>
        <v>9.1999999999999993</v>
      </c>
      <c r="N239" s="921">
        <f>VLOOKUP('Journey distribution (ex Gold)'!$A113, $B$102:$E$104, 4)</f>
        <v>6</v>
      </c>
      <c r="O239" s="922">
        <f t="shared" si="22"/>
        <v>10.7</v>
      </c>
    </row>
    <row r="240" spans="2:15" s="718" customFormat="1" ht="12" hidden="1" x14ac:dyDescent="0.2">
      <c r="B240" s="920">
        <v>110</v>
      </c>
      <c r="C240" s="921">
        <f t="shared" si="23"/>
        <v>4.2</v>
      </c>
      <c r="D240" s="921">
        <f t="shared" si="24"/>
        <v>12.2</v>
      </c>
      <c r="E240" s="892"/>
      <c r="F240" s="921">
        <f t="shared" si="19"/>
        <v>4.8</v>
      </c>
      <c r="G240" s="921">
        <f>VLOOKUP('Journey distribution (ex Gold)'!$A114, $F$102:$G$103, 2)</f>
        <v>7.65</v>
      </c>
      <c r="H240" s="921">
        <f>VLOOKUP('Journey distribution (ex Gold)'!$A114, $B$102:$D$104, 3)</f>
        <v>4.8</v>
      </c>
      <c r="I240" s="810">
        <f t="shared" si="25"/>
        <v>2.2400000000000002</v>
      </c>
      <c r="J240" s="921">
        <f t="shared" si="21"/>
        <v>8.86</v>
      </c>
      <c r="K240" s="892"/>
      <c r="L240" s="921">
        <f>VLOOKUP('Journey distribution (ex Gold)'!$A114, $B$102:$E$104, 4)</f>
        <v>6</v>
      </c>
      <c r="M240" s="892">
        <f>VLOOKUP('Journey distribution (ex Gold)'!$A114, $F$102:$H$103, 3)</f>
        <v>9.1999999999999993</v>
      </c>
      <c r="N240" s="921">
        <f>VLOOKUP('Journey distribution (ex Gold)'!$A114, $B$102:$E$104, 4)</f>
        <v>6</v>
      </c>
      <c r="O240" s="922">
        <f t="shared" si="22"/>
        <v>10.7</v>
      </c>
    </row>
    <row r="241" spans="2:15" s="718" customFormat="1" ht="12" hidden="1" x14ac:dyDescent="0.2">
      <c r="B241" s="920">
        <v>111</v>
      </c>
      <c r="C241" s="921">
        <f t="shared" si="23"/>
        <v>4.2</v>
      </c>
      <c r="D241" s="921">
        <f t="shared" si="24"/>
        <v>12.2</v>
      </c>
      <c r="E241" s="892"/>
      <c r="F241" s="921">
        <f t="shared" si="19"/>
        <v>4.8</v>
      </c>
      <c r="G241" s="921">
        <f>VLOOKUP('Journey distribution (ex Gold)'!$A115, $F$102:$G$103, 2)</f>
        <v>7.65</v>
      </c>
      <c r="H241" s="921">
        <f>VLOOKUP('Journey distribution (ex Gold)'!$A115, $B$102:$D$104, 3)</f>
        <v>4.8</v>
      </c>
      <c r="I241" s="810">
        <f t="shared" si="25"/>
        <v>2.2400000000000002</v>
      </c>
      <c r="J241" s="921">
        <f t="shared" si="21"/>
        <v>8.86</v>
      </c>
      <c r="K241" s="892"/>
      <c r="L241" s="921">
        <f>VLOOKUP('Journey distribution (ex Gold)'!$A115, $B$102:$E$104, 4)</f>
        <v>6</v>
      </c>
      <c r="M241" s="892">
        <f>VLOOKUP('Journey distribution (ex Gold)'!$A115, $F$102:$H$103, 3)</f>
        <v>9.1999999999999993</v>
      </c>
      <c r="N241" s="921">
        <f>VLOOKUP('Journey distribution (ex Gold)'!$A115, $B$102:$E$104, 4)</f>
        <v>6</v>
      </c>
      <c r="O241" s="922">
        <f t="shared" si="22"/>
        <v>10.7</v>
      </c>
    </row>
    <row r="242" spans="2:15" s="718" customFormat="1" ht="12" hidden="1" x14ac:dyDescent="0.2">
      <c r="B242" s="920">
        <v>112</v>
      </c>
      <c r="C242" s="921">
        <f t="shared" si="23"/>
        <v>4.2</v>
      </c>
      <c r="D242" s="921">
        <f t="shared" si="24"/>
        <v>12.2</v>
      </c>
      <c r="E242" s="892"/>
      <c r="F242" s="921">
        <f t="shared" si="19"/>
        <v>4.8</v>
      </c>
      <c r="G242" s="921">
        <f>VLOOKUP('Journey distribution (ex Gold)'!$A116, $F$102:$G$103, 2)</f>
        <v>7.65</v>
      </c>
      <c r="H242" s="921">
        <f>VLOOKUP('Journey distribution (ex Gold)'!$A116, $B$102:$D$104, 3)</f>
        <v>4.8</v>
      </c>
      <c r="I242" s="810">
        <f t="shared" si="25"/>
        <v>2.2400000000000002</v>
      </c>
      <c r="J242" s="921">
        <f t="shared" si="21"/>
        <v>8.86</v>
      </c>
      <c r="K242" s="892"/>
      <c r="L242" s="921">
        <f>VLOOKUP('Journey distribution (ex Gold)'!$A116, $B$102:$E$104, 4)</f>
        <v>6</v>
      </c>
      <c r="M242" s="892">
        <f>VLOOKUP('Journey distribution (ex Gold)'!$A116, $F$102:$H$103, 3)</f>
        <v>9.1999999999999993</v>
      </c>
      <c r="N242" s="921">
        <f>VLOOKUP('Journey distribution (ex Gold)'!$A116, $B$102:$E$104, 4)</f>
        <v>6</v>
      </c>
      <c r="O242" s="922">
        <f t="shared" si="22"/>
        <v>10.7</v>
      </c>
    </row>
    <row r="243" spans="2:15" s="718" customFormat="1" ht="12" hidden="1" x14ac:dyDescent="0.2">
      <c r="B243" s="920">
        <v>113</v>
      </c>
      <c r="C243" s="921">
        <f t="shared" si="23"/>
        <v>4.2</v>
      </c>
      <c r="D243" s="921">
        <f t="shared" si="24"/>
        <v>12.2</v>
      </c>
      <c r="E243" s="892"/>
      <c r="F243" s="921">
        <f t="shared" si="19"/>
        <v>4.8</v>
      </c>
      <c r="G243" s="921">
        <f>VLOOKUP('Journey distribution (ex Gold)'!$A117, $F$102:$G$103, 2)</f>
        <v>7.65</v>
      </c>
      <c r="H243" s="921">
        <f>VLOOKUP('Journey distribution (ex Gold)'!$A117, $B$102:$D$104, 3)</f>
        <v>4.8</v>
      </c>
      <c r="I243" s="810">
        <f t="shared" si="25"/>
        <v>2.2400000000000002</v>
      </c>
      <c r="J243" s="921">
        <f t="shared" si="21"/>
        <v>8.86</v>
      </c>
      <c r="K243" s="892"/>
      <c r="L243" s="921">
        <f>VLOOKUP('Journey distribution (ex Gold)'!$A117, $B$102:$E$104, 4)</f>
        <v>6</v>
      </c>
      <c r="M243" s="892">
        <f>VLOOKUP('Journey distribution (ex Gold)'!$A117, $F$102:$H$103, 3)</f>
        <v>9.1999999999999993</v>
      </c>
      <c r="N243" s="921">
        <f>VLOOKUP('Journey distribution (ex Gold)'!$A117, $B$102:$E$104, 4)</f>
        <v>6</v>
      </c>
      <c r="O243" s="922">
        <f t="shared" si="22"/>
        <v>10.7</v>
      </c>
    </row>
    <row r="244" spans="2:15" s="718" customFormat="1" ht="12" hidden="1" x14ac:dyDescent="0.2">
      <c r="B244" s="920">
        <v>114</v>
      </c>
      <c r="C244" s="921">
        <f t="shared" si="23"/>
        <v>4.2</v>
      </c>
      <c r="D244" s="921">
        <f t="shared" si="24"/>
        <v>12.2</v>
      </c>
      <c r="E244" s="892"/>
      <c r="F244" s="921">
        <f t="shared" si="19"/>
        <v>4.8</v>
      </c>
      <c r="G244" s="921">
        <f>VLOOKUP('Journey distribution (ex Gold)'!$A118, $F$102:$G$103, 2)</f>
        <v>7.65</v>
      </c>
      <c r="H244" s="921">
        <f>VLOOKUP('Journey distribution (ex Gold)'!$A118, $B$102:$D$104, 3)</f>
        <v>4.8</v>
      </c>
      <c r="I244" s="810">
        <f t="shared" si="25"/>
        <v>2.2400000000000002</v>
      </c>
      <c r="J244" s="921">
        <f t="shared" si="21"/>
        <v>8.86</v>
      </c>
      <c r="K244" s="892"/>
      <c r="L244" s="921">
        <f>VLOOKUP('Journey distribution (ex Gold)'!$A118, $B$102:$E$104, 4)</f>
        <v>6</v>
      </c>
      <c r="M244" s="892">
        <f>VLOOKUP('Journey distribution (ex Gold)'!$A118, $F$102:$H$103, 3)</f>
        <v>9.1999999999999993</v>
      </c>
      <c r="N244" s="921">
        <f>VLOOKUP('Journey distribution (ex Gold)'!$A118, $B$102:$E$104, 4)</f>
        <v>6</v>
      </c>
      <c r="O244" s="922">
        <f t="shared" si="22"/>
        <v>10.7</v>
      </c>
    </row>
    <row r="245" spans="2:15" s="718" customFormat="1" ht="12" hidden="1" x14ac:dyDescent="0.2">
      <c r="B245" s="920">
        <v>115</v>
      </c>
      <c r="C245" s="921">
        <f t="shared" si="23"/>
        <v>4.2</v>
      </c>
      <c r="D245" s="921">
        <f t="shared" si="24"/>
        <v>13.6</v>
      </c>
      <c r="E245" s="892"/>
      <c r="F245" s="921">
        <f t="shared" si="19"/>
        <v>4.8</v>
      </c>
      <c r="G245" s="921">
        <f>VLOOKUP('Journey distribution (ex Gold)'!$A119, $F$102:$G$103, 2)</f>
        <v>7.65</v>
      </c>
      <c r="H245" s="921">
        <f>VLOOKUP('Journey distribution (ex Gold)'!$A119, $B$102:$D$104, 3)</f>
        <v>4.8</v>
      </c>
      <c r="I245" s="810">
        <f t="shared" si="25"/>
        <v>2.2400000000000002</v>
      </c>
      <c r="J245" s="921">
        <f t="shared" si="21"/>
        <v>8.86</v>
      </c>
      <c r="K245" s="892"/>
      <c r="L245" s="921">
        <f>VLOOKUP('Journey distribution (ex Gold)'!$A119, $B$102:$E$104, 4)</f>
        <v>6</v>
      </c>
      <c r="M245" s="892">
        <f>VLOOKUP('Journey distribution (ex Gold)'!$A119, $F$102:$H$103, 3)</f>
        <v>9.1999999999999993</v>
      </c>
      <c r="N245" s="921">
        <f>VLOOKUP('Journey distribution (ex Gold)'!$A119, $B$102:$E$104, 4)</f>
        <v>6</v>
      </c>
      <c r="O245" s="922">
        <f t="shared" si="22"/>
        <v>10.7</v>
      </c>
    </row>
    <row r="246" spans="2:15" s="718" customFormat="1" ht="12" hidden="1" x14ac:dyDescent="0.2">
      <c r="B246" s="920">
        <v>116</v>
      </c>
      <c r="C246" s="921">
        <f t="shared" si="23"/>
        <v>4.2</v>
      </c>
      <c r="D246" s="921">
        <f t="shared" si="24"/>
        <v>13.6</v>
      </c>
      <c r="E246" s="892"/>
      <c r="F246" s="921">
        <f t="shared" si="19"/>
        <v>4.8</v>
      </c>
      <c r="G246" s="921">
        <f>VLOOKUP('Journey distribution (ex Gold)'!$A120, $F$102:$G$103, 2)</f>
        <v>7.65</v>
      </c>
      <c r="H246" s="921">
        <f>VLOOKUP('Journey distribution (ex Gold)'!$A120, $B$102:$D$104, 3)</f>
        <v>4.8</v>
      </c>
      <c r="I246" s="810">
        <f t="shared" si="25"/>
        <v>2.2400000000000002</v>
      </c>
      <c r="J246" s="921">
        <f t="shared" si="21"/>
        <v>8.86</v>
      </c>
      <c r="K246" s="892"/>
      <c r="L246" s="921">
        <f>VLOOKUP('Journey distribution (ex Gold)'!$A120, $B$102:$E$104, 4)</f>
        <v>6</v>
      </c>
      <c r="M246" s="892">
        <f>VLOOKUP('Journey distribution (ex Gold)'!$A120, $F$102:$H$103, 3)</f>
        <v>9.1999999999999993</v>
      </c>
      <c r="N246" s="921">
        <f>VLOOKUP('Journey distribution (ex Gold)'!$A120, $B$102:$E$104, 4)</f>
        <v>6</v>
      </c>
      <c r="O246" s="922">
        <f t="shared" si="22"/>
        <v>10.7</v>
      </c>
    </row>
    <row r="247" spans="2:15" s="718" customFormat="1" ht="12" hidden="1" x14ac:dyDescent="0.2">
      <c r="B247" s="920">
        <v>117</v>
      </c>
      <c r="C247" s="921">
        <f t="shared" si="23"/>
        <v>4.2</v>
      </c>
      <c r="D247" s="921">
        <f t="shared" si="24"/>
        <v>13.6</v>
      </c>
      <c r="E247" s="892"/>
      <c r="F247" s="921">
        <f t="shared" si="19"/>
        <v>4.8</v>
      </c>
      <c r="G247" s="921">
        <f>VLOOKUP('Journey distribution (ex Gold)'!$A121, $F$102:$G$103, 2)</f>
        <v>7.65</v>
      </c>
      <c r="H247" s="921">
        <f>VLOOKUP('Journey distribution (ex Gold)'!$A121, $B$102:$D$104, 3)</f>
        <v>4.8</v>
      </c>
      <c r="I247" s="810">
        <f t="shared" si="25"/>
        <v>2.2400000000000002</v>
      </c>
      <c r="J247" s="921">
        <f t="shared" si="21"/>
        <v>8.86</v>
      </c>
      <c r="K247" s="892"/>
      <c r="L247" s="921">
        <f>VLOOKUP('Journey distribution (ex Gold)'!$A121, $B$102:$E$104, 4)</f>
        <v>6</v>
      </c>
      <c r="M247" s="892">
        <f>VLOOKUP('Journey distribution (ex Gold)'!$A121, $F$102:$H$103, 3)</f>
        <v>9.1999999999999993</v>
      </c>
      <c r="N247" s="921">
        <f>VLOOKUP('Journey distribution (ex Gold)'!$A121, $B$102:$E$104, 4)</f>
        <v>6</v>
      </c>
      <c r="O247" s="922">
        <f t="shared" si="22"/>
        <v>10.7</v>
      </c>
    </row>
    <row r="248" spans="2:15" s="718" customFormat="1" ht="12" hidden="1" x14ac:dyDescent="0.2">
      <c r="B248" s="920">
        <v>118</v>
      </c>
      <c r="C248" s="921">
        <f t="shared" si="23"/>
        <v>4.2</v>
      </c>
      <c r="D248" s="921">
        <f t="shared" si="24"/>
        <v>13.6</v>
      </c>
      <c r="E248" s="892"/>
      <c r="F248" s="921">
        <f t="shared" si="19"/>
        <v>4.8</v>
      </c>
      <c r="G248" s="921">
        <f>VLOOKUP('Journey distribution (ex Gold)'!$A122, $F$102:$G$103, 2)</f>
        <v>7.65</v>
      </c>
      <c r="H248" s="921">
        <f>VLOOKUP('Journey distribution (ex Gold)'!$A122, $B$102:$D$104, 3)</f>
        <v>4.8</v>
      </c>
      <c r="I248" s="810">
        <f t="shared" si="25"/>
        <v>2.2400000000000002</v>
      </c>
      <c r="J248" s="921">
        <f t="shared" si="21"/>
        <v>8.86</v>
      </c>
      <c r="K248" s="892"/>
      <c r="L248" s="921">
        <f>VLOOKUP('Journey distribution (ex Gold)'!$A122, $B$102:$E$104, 4)</f>
        <v>6</v>
      </c>
      <c r="M248" s="892">
        <f>VLOOKUP('Journey distribution (ex Gold)'!$A122, $F$102:$H$103, 3)</f>
        <v>9.1999999999999993</v>
      </c>
      <c r="N248" s="921">
        <f>VLOOKUP('Journey distribution (ex Gold)'!$A122, $B$102:$E$104, 4)</f>
        <v>6</v>
      </c>
      <c r="O248" s="922">
        <f t="shared" si="22"/>
        <v>10.7</v>
      </c>
    </row>
    <row r="249" spans="2:15" s="718" customFormat="1" ht="12" hidden="1" x14ac:dyDescent="0.2">
      <c r="B249" s="920">
        <v>119</v>
      </c>
      <c r="C249" s="921">
        <f t="shared" si="23"/>
        <v>4.2</v>
      </c>
      <c r="D249" s="921">
        <f t="shared" si="24"/>
        <v>13.6</v>
      </c>
      <c r="E249" s="892"/>
      <c r="F249" s="921">
        <f t="shared" si="19"/>
        <v>4.8</v>
      </c>
      <c r="G249" s="921">
        <f>VLOOKUP('Journey distribution (ex Gold)'!$A123, $F$102:$G$103, 2)</f>
        <v>7.65</v>
      </c>
      <c r="H249" s="921">
        <f>VLOOKUP('Journey distribution (ex Gold)'!$A123, $B$102:$D$104, 3)</f>
        <v>4.8</v>
      </c>
      <c r="I249" s="810">
        <f t="shared" si="25"/>
        <v>2.2400000000000002</v>
      </c>
      <c r="J249" s="921">
        <f t="shared" si="21"/>
        <v>8.86</v>
      </c>
      <c r="K249" s="892"/>
      <c r="L249" s="921">
        <f>VLOOKUP('Journey distribution (ex Gold)'!$A123, $B$102:$E$104, 4)</f>
        <v>6</v>
      </c>
      <c r="M249" s="892">
        <f>VLOOKUP('Journey distribution (ex Gold)'!$A123, $F$102:$H$103, 3)</f>
        <v>9.1999999999999993</v>
      </c>
      <c r="N249" s="921">
        <f>VLOOKUP('Journey distribution (ex Gold)'!$A123, $B$102:$E$104, 4)</f>
        <v>6</v>
      </c>
      <c r="O249" s="922">
        <f t="shared" si="22"/>
        <v>10.7</v>
      </c>
    </row>
    <row r="250" spans="2:15" s="718" customFormat="1" ht="12" hidden="1" x14ac:dyDescent="0.2">
      <c r="B250" s="920">
        <v>120</v>
      </c>
      <c r="C250" s="921">
        <f t="shared" si="23"/>
        <v>4.2</v>
      </c>
      <c r="D250" s="921">
        <f t="shared" si="24"/>
        <v>13.6</v>
      </c>
      <c r="E250" s="892"/>
      <c r="F250" s="921">
        <f t="shared" si="19"/>
        <v>4.8</v>
      </c>
      <c r="G250" s="921">
        <f>VLOOKUP('Journey distribution (ex Gold)'!$A124, $F$102:$G$103, 2)</f>
        <v>7.65</v>
      </c>
      <c r="H250" s="921">
        <f>VLOOKUP('Journey distribution (ex Gold)'!$A124, $B$102:$D$104, 3)</f>
        <v>4.8</v>
      </c>
      <c r="I250" s="810">
        <f t="shared" si="25"/>
        <v>2.2400000000000002</v>
      </c>
      <c r="J250" s="921">
        <f t="shared" si="21"/>
        <v>8.86</v>
      </c>
      <c r="K250" s="892"/>
      <c r="L250" s="921">
        <f>VLOOKUP('Journey distribution (ex Gold)'!$A124, $B$102:$E$104, 4)</f>
        <v>6</v>
      </c>
      <c r="M250" s="892">
        <f>VLOOKUP('Journey distribution (ex Gold)'!$A124, $F$102:$H$103, 3)</f>
        <v>9.1999999999999993</v>
      </c>
      <c r="N250" s="921">
        <f>VLOOKUP('Journey distribution (ex Gold)'!$A124, $B$102:$E$104, 4)</f>
        <v>6</v>
      </c>
      <c r="O250" s="922">
        <f t="shared" si="22"/>
        <v>10.7</v>
      </c>
    </row>
    <row r="251" spans="2:15" s="718" customFormat="1" ht="12" hidden="1" x14ac:dyDescent="0.2">
      <c r="B251" s="920">
        <v>121</v>
      </c>
      <c r="C251" s="921">
        <f t="shared" si="23"/>
        <v>4.2</v>
      </c>
      <c r="D251" s="921">
        <f t="shared" si="24"/>
        <v>13.6</v>
      </c>
      <c r="E251" s="892"/>
      <c r="F251" s="921">
        <f t="shared" si="19"/>
        <v>4.8</v>
      </c>
      <c r="G251" s="921">
        <f>VLOOKUP('Journey distribution (ex Gold)'!$A125, $F$102:$G$103, 2)</f>
        <v>7.65</v>
      </c>
      <c r="H251" s="921">
        <f>VLOOKUP('Journey distribution (ex Gold)'!$A125, $B$102:$D$104, 3)</f>
        <v>4.8</v>
      </c>
      <c r="I251" s="810">
        <f t="shared" si="25"/>
        <v>2.2400000000000002</v>
      </c>
      <c r="J251" s="921">
        <f t="shared" si="21"/>
        <v>8.86</v>
      </c>
      <c r="K251" s="892"/>
      <c r="L251" s="921">
        <f>VLOOKUP('Journey distribution (ex Gold)'!$A125, $B$102:$E$104, 4)</f>
        <v>6</v>
      </c>
      <c r="M251" s="892">
        <f>VLOOKUP('Journey distribution (ex Gold)'!$A125, $F$102:$H$103, 3)</f>
        <v>9.1999999999999993</v>
      </c>
      <c r="N251" s="921">
        <f>VLOOKUP('Journey distribution (ex Gold)'!$A125, $B$102:$E$104, 4)</f>
        <v>6</v>
      </c>
      <c r="O251" s="922">
        <f t="shared" si="22"/>
        <v>10.7</v>
      </c>
    </row>
    <row r="252" spans="2:15" s="718" customFormat="1" ht="12" hidden="1" x14ac:dyDescent="0.2">
      <c r="B252" s="920">
        <v>122</v>
      </c>
      <c r="C252" s="921">
        <f t="shared" si="23"/>
        <v>4.2</v>
      </c>
      <c r="D252" s="921">
        <f t="shared" si="24"/>
        <v>13.6</v>
      </c>
      <c r="E252" s="892"/>
      <c r="F252" s="921">
        <f t="shared" si="19"/>
        <v>4.8</v>
      </c>
      <c r="G252" s="921">
        <f>VLOOKUP('Journey distribution (ex Gold)'!$A126, $F$102:$G$103, 2)</f>
        <v>7.65</v>
      </c>
      <c r="H252" s="921">
        <f>VLOOKUP('Journey distribution (ex Gold)'!$A126, $B$102:$D$104, 3)</f>
        <v>4.8</v>
      </c>
      <c r="I252" s="810">
        <f t="shared" si="25"/>
        <v>2.2400000000000002</v>
      </c>
      <c r="J252" s="921">
        <f t="shared" si="21"/>
        <v>8.86</v>
      </c>
      <c r="K252" s="892"/>
      <c r="L252" s="921">
        <f>VLOOKUP('Journey distribution (ex Gold)'!$A126, $B$102:$E$104, 4)</f>
        <v>6</v>
      </c>
      <c r="M252" s="892">
        <f>VLOOKUP('Journey distribution (ex Gold)'!$A126, $F$102:$H$103, 3)</f>
        <v>9.1999999999999993</v>
      </c>
      <c r="N252" s="921">
        <f>VLOOKUP('Journey distribution (ex Gold)'!$A126, $B$102:$E$104, 4)</f>
        <v>6</v>
      </c>
      <c r="O252" s="922">
        <f t="shared" si="22"/>
        <v>10.7</v>
      </c>
    </row>
    <row r="253" spans="2:15" s="718" customFormat="1" ht="12" hidden="1" x14ac:dyDescent="0.2">
      <c r="B253" s="920">
        <v>123</v>
      </c>
      <c r="C253" s="921">
        <f t="shared" si="23"/>
        <v>4.2</v>
      </c>
      <c r="D253" s="921">
        <f t="shared" si="24"/>
        <v>13.6</v>
      </c>
      <c r="E253" s="892"/>
      <c r="F253" s="921">
        <f t="shared" si="19"/>
        <v>4.8</v>
      </c>
      <c r="G253" s="921">
        <f>VLOOKUP('Journey distribution (ex Gold)'!$A127, $F$102:$G$103, 2)</f>
        <v>7.65</v>
      </c>
      <c r="H253" s="921">
        <f>VLOOKUP('Journey distribution (ex Gold)'!$A127, $B$102:$D$104, 3)</f>
        <v>4.8</v>
      </c>
      <c r="I253" s="810">
        <f t="shared" si="25"/>
        <v>2.2400000000000002</v>
      </c>
      <c r="J253" s="921">
        <f t="shared" si="21"/>
        <v>8.86</v>
      </c>
      <c r="K253" s="892"/>
      <c r="L253" s="921">
        <f>VLOOKUP('Journey distribution (ex Gold)'!$A127, $B$102:$E$104, 4)</f>
        <v>6</v>
      </c>
      <c r="M253" s="892">
        <f>VLOOKUP('Journey distribution (ex Gold)'!$A127, $F$102:$H$103, 3)</f>
        <v>9.1999999999999993</v>
      </c>
      <c r="N253" s="921">
        <f>VLOOKUP('Journey distribution (ex Gold)'!$A127, $B$102:$E$104, 4)</f>
        <v>6</v>
      </c>
      <c r="O253" s="922">
        <f t="shared" si="22"/>
        <v>10.7</v>
      </c>
    </row>
    <row r="254" spans="2:15" s="718" customFormat="1" ht="12" hidden="1" x14ac:dyDescent="0.2">
      <c r="B254" s="920">
        <v>124</v>
      </c>
      <c r="C254" s="921">
        <f t="shared" si="23"/>
        <v>4.2</v>
      </c>
      <c r="D254" s="921">
        <f t="shared" si="24"/>
        <v>13.6</v>
      </c>
      <c r="E254" s="892"/>
      <c r="F254" s="921">
        <f t="shared" si="19"/>
        <v>4.8</v>
      </c>
      <c r="G254" s="921">
        <f>VLOOKUP('Journey distribution (ex Gold)'!$A128, $F$102:$G$103, 2)</f>
        <v>7.65</v>
      </c>
      <c r="H254" s="921">
        <f>VLOOKUP('Journey distribution (ex Gold)'!$A128, $B$102:$D$104, 3)</f>
        <v>4.8</v>
      </c>
      <c r="I254" s="810">
        <f t="shared" si="25"/>
        <v>2.2400000000000002</v>
      </c>
      <c r="J254" s="921">
        <f t="shared" si="21"/>
        <v>8.86</v>
      </c>
      <c r="K254" s="892"/>
      <c r="L254" s="921">
        <f>VLOOKUP('Journey distribution (ex Gold)'!$A128, $B$102:$E$104, 4)</f>
        <v>6</v>
      </c>
      <c r="M254" s="892">
        <f>VLOOKUP('Journey distribution (ex Gold)'!$A128, $F$102:$H$103, 3)</f>
        <v>9.1999999999999993</v>
      </c>
      <c r="N254" s="921">
        <f>VLOOKUP('Journey distribution (ex Gold)'!$A128, $B$102:$E$104, 4)</f>
        <v>6</v>
      </c>
      <c r="O254" s="922">
        <f t="shared" si="22"/>
        <v>10.7</v>
      </c>
    </row>
    <row r="255" spans="2:15" s="718" customFormat="1" ht="12" hidden="1" x14ac:dyDescent="0.2">
      <c r="B255" s="920">
        <v>125</v>
      </c>
      <c r="C255" s="921">
        <f t="shared" si="23"/>
        <v>4.2</v>
      </c>
      <c r="D255" s="921">
        <f t="shared" si="24"/>
        <v>13.8</v>
      </c>
      <c r="E255" s="892"/>
      <c r="F255" s="921">
        <f t="shared" si="19"/>
        <v>4.8</v>
      </c>
      <c r="G255" s="921">
        <f>VLOOKUP('Journey distribution (ex Gold)'!$A129, $F$102:$G$103, 2)</f>
        <v>7.65</v>
      </c>
      <c r="H255" s="921">
        <f>VLOOKUP('Journey distribution (ex Gold)'!$A129, $B$102:$D$104, 3)</f>
        <v>4.8</v>
      </c>
      <c r="I255" s="810">
        <f t="shared" si="25"/>
        <v>2.2400000000000002</v>
      </c>
      <c r="J255" s="921">
        <f t="shared" si="21"/>
        <v>8.86</v>
      </c>
      <c r="K255" s="892"/>
      <c r="L255" s="921">
        <f>VLOOKUP('Journey distribution (ex Gold)'!$A129, $B$102:$E$104, 4)</f>
        <v>6</v>
      </c>
      <c r="M255" s="892">
        <f>VLOOKUP('Journey distribution (ex Gold)'!$A129, $F$102:$H$103, 3)</f>
        <v>9.1999999999999993</v>
      </c>
      <c r="N255" s="921">
        <f>VLOOKUP('Journey distribution (ex Gold)'!$A129, $B$102:$E$104, 4)</f>
        <v>6</v>
      </c>
      <c r="O255" s="922">
        <f t="shared" si="22"/>
        <v>10.7</v>
      </c>
    </row>
    <row r="256" spans="2:15" s="718" customFormat="1" ht="12" hidden="1" x14ac:dyDescent="0.2">
      <c r="B256" s="920">
        <v>126</v>
      </c>
      <c r="C256" s="921">
        <f t="shared" si="23"/>
        <v>4.2</v>
      </c>
      <c r="D256" s="921">
        <f t="shared" si="24"/>
        <v>13.8</v>
      </c>
      <c r="E256" s="892"/>
      <c r="F256" s="921">
        <f t="shared" si="19"/>
        <v>4.8</v>
      </c>
      <c r="G256" s="921">
        <f>VLOOKUP('Journey distribution (ex Gold)'!$A130, $F$102:$G$103, 2)</f>
        <v>7.65</v>
      </c>
      <c r="H256" s="921">
        <f>VLOOKUP('Journey distribution (ex Gold)'!$A130, $B$102:$D$104, 3)</f>
        <v>4.8</v>
      </c>
      <c r="I256" s="810">
        <f t="shared" si="25"/>
        <v>2.2400000000000002</v>
      </c>
      <c r="J256" s="921">
        <f t="shared" si="21"/>
        <v>8.86</v>
      </c>
      <c r="K256" s="892"/>
      <c r="L256" s="921">
        <f>VLOOKUP('Journey distribution (ex Gold)'!$A130, $B$102:$E$104, 4)</f>
        <v>6</v>
      </c>
      <c r="M256" s="892">
        <f>VLOOKUP('Journey distribution (ex Gold)'!$A130, $F$102:$H$103, 3)</f>
        <v>9.1999999999999993</v>
      </c>
      <c r="N256" s="921">
        <f>VLOOKUP('Journey distribution (ex Gold)'!$A130, $B$102:$E$104, 4)</f>
        <v>6</v>
      </c>
      <c r="O256" s="922">
        <f t="shared" si="22"/>
        <v>10.7</v>
      </c>
    </row>
    <row r="257" spans="2:15" s="718" customFormat="1" ht="12" hidden="1" x14ac:dyDescent="0.2">
      <c r="B257" s="920">
        <v>127</v>
      </c>
      <c r="C257" s="921">
        <f t="shared" si="23"/>
        <v>4.2</v>
      </c>
      <c r="D257" s="921">
        <f t="shared" si="24"/>
        <v>13.8</v>
      </c>
      <c r="E257" s="892"/>
      <c r="F257" s="921">
        <f t="shared" si="19"/>
        <v>4.8</v>
      </c>
      <c r="G257" s="921">
        <f>VLOOKUP('Journey distribution (ex Gold)'!$A131, $F$102:$G$103, 2)</f>
        <v>7.65</v>
      </c>
      <c r="H257" s="921">
        <f>VLOOKUP('Journey distribution (ex Gold)'!$A131, $B$102:$D$104, 3)</f>
        <v>4.8</v>
      </c>
      <c r="I257" s="810">
        <f t="shared" si="25"/>
        <v>2.2400000000000002</v>
      </c>
      <c r="J257" s="921">
        <f t="shared" si="21"/>
        <v>8.86</v>
      </c>
      <c r="K257" s="892"/>
      <c r="L257" s="921">
        <f>VLOOKUP('Journey distribution (ex Gold)'!$A131, $B$102:$E$104, 4)</f>
        <v>6</v>
      </c>
      <c r="M257" s="892">
        <f>VLOOKUP('Journey distribution (ex Gold)'!$A131, $F$102:$H$103, 3)</f>
        <v>9.1999999999999993</v>
      </c>
      <c r="N257" s="921">
        <f>VLOOKUP('Journey distribution (ex Gold)'!$A131, $B$102:$E$104, 4)</f>
        <v>6</v>
      </c>
      <c r="O257" s="922">
        <f t="shared" si="22"/>
        <v>10.7</v>
      </c>
    </row>
    <row r="258" spans="2:15" s="718" customFormat="1" ht="12" hidden="1" x14ac:dyDescent="0.2">
      <c r="B258" s="920">
        <v>128</v>
      </c>
      <c r="C258" s="921">
        <f t="shared" ref="C258:C280" si="26">VLOOKUP(B258, $B$102:$C$104, 2)</f>
        <v>4.2</v>
      </c>
      <c r="D258" s="921">
        <f t="shared" ref="D258:D280" si="27">VLOOKUP(B258, $I$102:$J$121, 2)</f>
        <v>13.8</v>
      </c>
      <c r="E258" s="892"/>
      <c r="F258" s="921">
        <f t="shared" si="19"/>
        <v>4.8</v>
      </c>
      <c r="G258" s="921">
        <f>VLOOKUP('Journey distribution (ex Gold)'!$A132, $F$102:$G$103, 2)</f>
        <v>7.65</v>
      </c>
      <c r="H258" s="921">
        <f>VLOOKUP('Journey distribution (ex Gold)'!$A132, $B$102:$D$104, 3)</f>
        <v>4.8</v>
      </c>
      <c r="I258" s="810">
        <f t="shared" si="25"/>
        <v>2.2400000000000002</v>
      </c>
      <c r="J258" s="921">
        <f t="shared" si="21"/>
        <v>8.86</v>
      </c>
      <c r="K258" s="892"/>
      <c r="L258" s="921">
        <f>VLOOKUP('Journey distribution (ex Gold)'!$A132, $B$102:$E$104, 4)</f>
        <v>6</v>
      </c>
      <c r="M258" s="892">
        <f>VLOOKUP('Journey distribution (ex Gold)'!$A132, $F$102:$H$103, 3)</f>
        <v>9.1999999999999993</v>
      </c>
      <c r="N258" s="921">
        <f>VLOOKUP('Journey distribution (ex Gold)'!$A132, $B$102:$E$104, 4)</f>
        <v>6</v>
      </c>
      <c r="O258" s="922">
        <f t="shared" si="22"/>
        <v>10.7</v>
      </c>
    </row>
    <row r="259" spans="2:15" s="718" customFormat="1" ht="12" hidden="1" x14ac:dyDescent="0.2">
      <c r="B259" s="920">
        <v>129</v>
      </c>
      <c r="C259" s="921">
        <f t="shared" si="26"/>
        <v>4.2</v>
      </c>
      <c r="D259" s="921">
        <f t="shared" si="27"/>
        <v>13.8</v>
      </c>
      <c r="E259" s="892"/>
      <c r="F259" s="921">
        <f t="shared" ref="F259:F280" si="28">VLOOKUP(B259, $B$102:$D$104, 3)</f>
        <v>4.8</v>
      </c>
      <c r="G259" s="921">
        <f>VLOOKUP('Journey distribution (ex Gold)'!$A133, $F$102:$G$103, 2)</f>
        <v>7.65</v>
      </c>
      <c r="H259" s="921">
        <f>VLOOKUP('Journey distribution (ex Gold)'!$A133, $B$102:$D$104, 3)</f>
        <v>4.8</v>
      </c>
      <c r="I259" s="810">
        <f t="shared" ref="I259:I280" si="29">I258</f>
        <v>2.2400000000000002</v>
      </c>
      <c r="J259" s="921">
        <f t="shared" ref="J259:J280" si="30">VLOOKUP($B259, $K$101:$M$106, 2)</f>
        <v>8.86</v>
      </c>
      <c r="K259" s="892"/>
      <c r="L259" s="921">
        <f>VLOOKUP('Journey distribution (ex Gold)'!$A133, $B$102:$E$104, 4)</f>
        <v>6</v>
      </c>
      <c r="M259" s="892">
        <f>VLOOKUP('Journey distribution (ex Gold)'!$A133, $F$102:$H$103, 3)</f>
        <v>9.1999999999999993</v>
      </c>
      <c r="N259" s="921">
        <f>VLOOKUP('Journey distribution (ex Gold)'!$A133, $B$102:$E$104, 4)</f>
        <v>6</v>
      </c>
      <c r="O259" s="922">
        <f t="shared" ref="O259:O280" si="31">VLOOKUP($B259, $K$101:$M$106, 3)</f>
        <v>10.7</v>
      </c>
    </row>
    <row r="260" spans="2:15" s="718" customFormat="1" ht="12" hidden="1" x14ac:dyDescent="0.2">
      <c r="B260" s="920">
        <v>130</v>
      </c>
      <c r="C260" s="921">
        <f t="shared" si="26"/>
        <v>4.2</v>
      </c>
      <c r="D260" s="921">
        <f t="shared" si="27"/>
        <v>13.8</v>
      </c>
      <c r="E260" s="892"/>
      <c r="F260" s="921">
        <f t="shared" si="28"/>
        <v>4.8</v>
      </c>
      <c r="G260" s="921">
        <f>VLOOKUP('Journey distribution (ex Gold)'!$A134, $F$102:$G$103, 2)</f>
        <v>7.65</v>
      </c>
      <c r="H260" s="921">
        <f>VLOOKUP('Journey distribution (ex Gold)'!$A134, $B$102:$D$104, 3)</f>
        <v>4.8</v>
      </c>
      <c r="I260" s="810">
        <f t="shared" si="29"/>
        <v>2.2400000000000002</v>
      </c>
      <c r="J260" s="921">
        <f t="shared" si="30"/>
        <v>8.86</v>
      </c>
      <c r="K260" s="892"/>
      <c r="L260" s="921">
        <f>VLOOKUP('Journey distribution (ex Gold)'!$A134, $B$102:$E$104, 4)</f>
        <v>6</v>
      </c>
      <c r="M260" s="892">
        <f>VLOOKUP('Journey distribution (ex Gold)'!$A134, $F$102:$H$103, 3)</f>
        <v>9.1999999999999993</v>
      </c>
      <c r="N260" s="921">
        <f>VLOOKUP('Journey distribution (ex Gold)'!$A134, $B$102:$E$104, 4)</f>
        <v>6</v>
      </c>
      <c r="O260" s="922">
        <f t="shared" si="31"/>
        <v>10.7</v>
      </c>
    </row>
    <row r="261" spans="2:15" s="718" customFormat="1" ht="12" hidden="1" x14ac:dyDescent="0.2">
      <c r="B261" s="920">
        <v>131</v>
      </c>
      <c r="C261" s="921">
        <f t="shared" si="26"/>
        <v>4.2</v>
      </c>
      <c r="D261" s="921">
        <f t="shared" si="27"/>
        <v>13.8</v>
      </c>
      <c r="E261" s="892"/>
      <c r="F261" s="921">
        <f t="shared" si="28"/>
        <v>4.8</v>
      </c>
      <c r="G261" s="921">
        <f>VLOOKUP('Journey distribution (ex Gold)'!$A135, $F$102:$G$103, 2)</f>
        <v>7.65</v>
      </c>
      <c r="H261" s="921">
        <f>VLOOKUP('Journey distribution (ex Gold)'!$A135, $B$102:$D$104, 3)</f>
        <v>4.8</v>
      </c>
      <c r="I261" s="810">
        <f t="shared" si="29"/>
        <v>2.2400000000000002</v>
      </c>
      <c r="J261" s="921">
        <f t="shared" si="30"/>
        <v>8.86</v>
      </c>
      <c r="K261" s="892"/>
      <c r="L261" s="921">
        <f>VLOOKUP('Journey distribution (ex Gold)'!$A135, $B$102:$E$104, 4)</f>
        <v>6</v>
      </c>
      <c r="M261" s="892">
        <f>VLOOKUP('Journey distribution (ex Gold)'!$A135, $F$102:$H$103, 3)</f>
        <v>9.1999999999999993</v>
      </c>
      <c r="N261" s="921">
        <f>VLOOKUP('Journey distribution (ex Gold)'!$A135, $B$102:$E$104, 4)</f>
        <v>6</v>
      </c>
      <c r="O261" s="922">
        <f t="shared" si="31"/>
        <v>10.7</v>
      </c>
    </row>
    <row r="262" spans="2:15" s="718" customFormat="1" ht="12" hidden="1" x14ac:dyDescent="0.2">
      <c r="B262" s="920">
        <v>132</v>
      </c>
      <c r="C262" s="921">
        <f t="shared" si="26"/>
        <v>4.2</v>
      </c>
      <c r="D262" s="921">
        <f t="shared" si="27"/>
        <v>13.8</v>
      </c>
      <c r="E262" s="892"/>
      <c r="F262" s="921">
        <f t="shared" si="28"/>
        <v>4.8</v>
      </c>
      <c r="G262" s="921">
        <f>VLOOKUP('Journey distribution (ex Gold)'!$A136, $F$102:$G$103, 2)</f>
        <v>7.65</v>
      </c>
      <c r="H262" s="921">
        <f>VLOOKUP('Journey distribution (ex Gold)'!$A136, $B$102:$D$104, 3)</f>
        <v>4.8</v>
      </c>
      <c r="I262" s="810">
        <f t="shared" si="29"/>
        <v>2.2400000000000002</v>
      </c>
      <c r="J262" s="921">
        <f t="shared" si="30"/>
        <v>8.86</v>
      </c>
      <c r="K262" s="892"/>
      <c r="L262" s="921">
        <f>VLOOKUP('Journey distribution (ex Gold)'!$A136, $B$102:$E$104, 4)</f>
        <v>6</v>
      </c>
      <c r="M262" s="892">
        <f>VLOOKUP('Journey distribution (ex Gold)'!$A136, $F$102:$H$103, 3)</f>
        <v>9.1999999999999993</v>
      </c>
      <c r="N262" s="921">
        <f>VLOOKUP('Journey distribution (ex Gold)'!$A136, $B$102:$E$104, 4)</f>
        <v>6</v>
      </c>
      <c r="O262" s="922">
        <f t="shared" si="31"/>
        <v>10.7</v>
      </c>
    </row>
    <row r="263" spans="2:15" s="718" customFormat="1" ht="12" hidden="1" x14ac:dyDescent="0.2">
      <c r="B263" s="920">
        <v>133</v>
      </c>
      <c r="C263" s="921">
        <f t="shared" si="26"/>
        <v>4.2</v>
      </c>
      <c r="D263" s="921">
        <f t="shared" si="27"/>
        <v>13.8</v>
      </c>
      <c r="E263" s="892"/>
      <c r="F263" s="921">
        <f t="shared" si="28"/>
        <v>4.8</v>
      </c>
      <c r="G263" s="921">
        <f>VLOOKUP('Journey distribution (ex Gold)'!$A137, $F$102:$G$103, 2)</f>
        <v>7.65</v>
      </c>
      <c r="H263" s="921">
        <f>VLOOKUP('Journey distribution (ex Gold)'!$A137, $B$102:$D$104, 3)</f>
        <v>4.8</v>
      </c>
      <c r="I263" s="810">
        <f t="shared" si="29"/>
        <v>2.2400000000000002</v>
      </c>
      <c r="J263" s="921">
        <f t="shared" si="30"/>
        <v>8.86</v>
      </c>
      <c r="K263" s="892"/>
      <c r="L263" s="921">
        <f>VLOOKUP('Journey distribution (ex Gold)'!$A137, $B$102:$E$104, 4)</f>
        <v>6</v>
      </c>
      <c r="M263" s="892">
        <f>VLOOKUP('Journey distribution (ex Gold)'!$A137, $F$102:$H$103, 3)</f>
        <v>9.1999999999999993</v>
      </c>
      <c r="N263" s="921">
        <f>VLOOKUP('Journey distribution (ex Gold)'!$A137, $B$102:$E$104, 4)</f>
        <v>6</v>
      </c>
      <c r="O263" s="922">
        <f t="shared" si="31"/>
        <v>10.7</v>
      </c>
    </row>
    <row r="264" spans="2:15" s="718" customFormat="1" ht="12" hidden="1" x14ac:dyDescent="0.2">
      <c r="B264" s="920">
        <v>134</v>
      </c>
      <c r="C264" s="921">
        <f t="shared" si="26"/>
        <v>4.2</v>
      </c>
      <c r="D264" s="921">
        <f t="shared" si="27"/>
        <v>13.8</v>
      </c>
      <c r="E264" s="892"/>
      <c r="F264" s="921">
        <f t="shared" si="28"/>
        <v>4.8</v>
      </c>
      <c r="G264" s="921">
        <f>VLOOKUP('Journey distribution (ex Gold)'!$A138, $F$102:$G$103, 2)</f>
        <v>7.65</v>
      </c>
      <c r="H264" s="921">
        <f>VLOOKUP('Journey distribution (ex Gold)'!$A138, $B$102:$D$104, 3)</f>
        <v>4.8</v>
      </c>
      <c r="I264" s="810">
        <f t="shared" si="29"/>
        <v>2.2400000000000002</v>
      </c>
      <c r="J264" s="921">
        <f t="shared" si="30"/>
        <v>8.86</v>
      </c>
      <c r="K264" s="892"/>
      <c r="L264" s="921">
        <f>VLOOKUP('Journey distribution (ex Gold)'!$A138, $B$102:$E$104, 4)</f>
        <v>6</v>
      </c>
      <c r="M264" s="892">
        <f>VLOOKUP('Journey distribution (ex Gold)'!$A138, $F$102:$H$103, 3)</f>
        <v>9.1999999999999993</v>
      </c>
      <c r="N264" s="921">
        <f>VLOOKUP('Journey distribution (ex Gold)'!$A138, $B$102:$E$104, 4)</f>
        <v>6</v>
      </c>
      <c r="O264" s="922">
        <f t="shared" si="31"/>
        <v>10.7</v>
      </c>
    </row>
    <row r="265" spans="2:15" s="718" customFormat="1" ht="12" hidden="1" x14ac:dyDescent="0.2">
      <c r="B265" s="920">
        <v>135</v>
      </c>
      <c r="C265" s="921">
        <f t="shared" si="26"/>
        <v>4.2</v>
      </c>
      <c r="D265" s="921">
        <f t="shared" si="27"/>
        <v>15.8</v>
      </c>
      <c r="E265" s="892"/>
      <c r="F265" s="921">
        <f t="shared" si="28"/>
        <v>4.8</v>
      </c>
      <c r="G265" s="921">
        <f>VLOOKUP('Journey distribution (ex Gold)'!$A139, $F$102:$G$103, 2)</f>
        <v>7.65</v>
      </c>
      <c r="H265" s="921">
        <f>VLOOKUP('Journey distribution (ex Gold)'!$A139, $B$102:$D$104, 3)</f>
        <v>4.8</v>
      </c>
      <c r="I265" s="810">
        <f t="shared" si="29"/>
        <v>2.2400000000000002</v>
      </c>
      <c r="J265" s="921">
        <f t="shared" si="30"/>
        <v>8.86</v>
      </c>
      <c r="K265" s="892"/>
      <c r="L265" s="921">
        <f>VLOOKUP('Journey distribution (ex Gold)'!$A139, $B$102:$E$104, 4)</f>
        <v>6</v>
      </c>
      <c r="M265" s="892">
        <f>VLOOKUP('Journey distribution (ex Gold)'!$A139, $F$102:$H$103, 3)</f>
        <v>9.1999999999999993</v>
      </c>
      <c r="N265" s="921">
        <f>VLOOKUP('Journey distribution (ex Gold)'!$A139, $B$102:$E$104, 4)</f>
        <v>6</v>
      </c>
      <c r="O265" s="922">
        <f t="shared" si="31"/>
        <v>10.7</v>
      </c>
    </row>
    <row r="266" spans="2:15" s="718" customFormat="1" ht="12" hidden="1" x14ac:dyDescent="0.2">
      <c r="B266" s="920">
        <v>136</v>
      </c>
      <c r="C266" s="921">
        <f t="shared" si="26"/>
        <v>4.2</v>
      </c>
      <c r="D266" s="921">
        <f t="shared" si="27"/>
        <v>15.8</v>
      </c>
      <c r="E266" s="892"/>
      <c r="F266" s="921">
        <f t="shared" si="28"/>
        <v>4.8</v>
      </c>
      <c r="G266" s="921">
        <f>VLOOKUP('Journey distribution (ex Gold)'!$A140, $F$102:$G$103, 2)</f>
        <v>7.65</v>
      </c>
      <c r="H266" s="921">
        <f>VLOOKUP('Journey distribution (ex Gold)'!$A140, $B$102:$D$104, 3)</f>
        <v>4.8</v>
      </c>
      <c r="I266" s="810">
        <f t="shared" si="29"/>
        <v>2.2400000000000002</v>
      </c>
      <c r="J266" s="921">
        <f t="shared" si="30"/>
        <v>8.86</v>
      </c>
      <c r="K266" s="892"/>
      <c r="L266" s="921">
        <f>VLOOKUP('Journey distribution (ex Gold)'!$A140, $B$102:$E$104, 4)</f>
        <v>6</v>
      </c>
      <c r="M266" s="892">
        <f>VLOOKUP('Journey distribution (ex Gold)'!$A140, $F$102:$H$103, 3)</f>
        <v>9.1999999999999993</v>
      </c>
      <c r="N266" s="921">
        <f>VLOOKUP('Journey distribution (ex Gold)'!$A140, $B$102:$E$104, 4)</f>
        <v>6</v>
      </c>
      <c r="O266" s="922">
        <f t="shared" si="31"/>
        <v>10.7</v>
      </c>
    </row>
    <row r="267" spans="2:15" s="718" customFormat="1" ht="12" hidden="1" x14ac:dyDescent="0.2">
      <c r="B267" s="920">
        <v>137</v>
      </c>
      <c r="C267" s="921">
        <f t="shared" si="26"/>
        <v>4.2</v>
      </c>
      <c r="D267" s="921">
        <f t="shared" si="27"/>
        <v>15.8</v>
      </c>
      <c r="E267" s="892"/>
      <c r="F267" s="921">
        <f t="shared" si="28"/>
        <v>4.8</v>
      </c>
      <c r="G267" s="921">
        <f>VLOOKUP('Journey distribution (ex Gold)'!$A141, $F$102:$G$103, 2)</f>
        <v>7.65</v>
      </c>
      <c r="H267" s="921">
        <f>VLOOKUP('Journey distribution (ex Gold)'!$A141, $B$102:$D$104, 3)</f>
        <v>4.8</v>
      </c>
      <c r="I267" s="810">
        <f t="shared" si="29"/>
        <v>2.2400000000000002</v>
      </c>
      <c r="J267" s="921">
        <f t="shared" si="30"/>
        <v>8.86</v>
      </c>
      <c r="K267" s="892"/>
      <c r="L267" s="921">
        <f>VLOOKUP('Journey distribution (ex Gold)'!$A141, $B$102:$E$104, 4)</f>
        <v>6</v>
      </c>
      <c r="M267" s="892">
        <f>VLOOKUP('Journey distribution (ex Gold)'!$A141, $F$102:$H$103, 3)</f>
        <v>9.1999999999999993</v>
      </c>
      <c r="N267" s="921">
        <f>VLOOKUP('Journey distribution (ex Gold)'!$A141, $B$102:$E$104, 4)</f>
        <v>6</v>
      </c>
      <c r="O267" s="922">
        <f t="shared" si="31"/>
        <v>10.7</v>
      </c>
    </row>
    <row r="268" spans="2:15" s="718" customFormat="1" ht="12" x14ac:dyDescent="0.2">
      <c r="B268" s="920">
        <v>138</v>
      </c>
      <c r="C268" s="921">
        <f t="shared" si="26"/>
        <v>4.2</v>
      </c>
      <c r="D268" s="921">
        <f t="shared" si="27"/>
        <v>15.8</v>
      </c>
      <c r="E268" s="892"/>
      <c r="F268" s="921">
        <f t="shared" si="28"/>
        <v>4.8</v>
      </c>
      <c r="G268" s="921">
        <f>VLOOKUP('Journey distribution (ex Gold)'!$A142, $F$102:$G$103, 2)</f>
        <v>7.65</v>
      </c>
      <c r="H268" s="921">
        <f>VLOOKUP('Journey distribution (ex Gold)'!$A142, $B$102:$D$104, 3)</f>
        <v>4.8</v>
      </c>
      <c r="I268" s="810">
        <f t="shared" si="29"/>
        <v>2.2400000000000002</v>
      </c>
      <c r="J268" s="921">
        <f t="shared" si="30"/>
        <v>8.86</v>
      </c>
      <c r="K268" s="892"/>
      <c r="L268" s="921">
        <f>VLOOKUP('Journey distribution (ex Gold)'!$A142, $B$102:$E$104, 4)</f>
        <v>6</v>
      </c>
      <c r="M268" s="892">
        <f>VLOOKUP('Journey distribution (ex Gold)'!$A142, $F$102:$H$103, 3)</f>
        <v>9.1999999999999993</v>
      </c>
      <c r="N268" s="921">
        <f>VLOOKUP('Journey distribution (ex Gold)'!$A142, $B$102:$E$104, 4)</f>
        <v>6</v>
      </c>
      <c r="O268" s="922">
        <f t="shared" si="31"/>
        <v>10.7</v>
      </c>
    </row>
    <row r="269" spans="2:15" s="718" customFormat="1" ht="12" x14ac:dyDescent="0.2">
      <c r="B269" s="920">
        <v>139</v>
      </c>
      <c r="C269" s="921">
        <f t="shared" si="26"/>
        <v>4.2</v>
      </c>
      <c r="D269" s="921">
        <f t="shared" si="27"/>
        <v>15.8</v>
      </c>
      <c r="E269" s="892"/>
      <c r="F269" s="921">
        <f t="shared" si="28"/>
        <v>4.8</v>
      </c>
      <c r="G269" s="921">
        <f>VLOOKUP('Journey distribution (ex Gold)'!$A143, $F$102:$G$103, 2)</f>
        <v>7.65</v>
      </c>
      <c r="H269" s="921">
        <f>VLOOKUP('Journey distribution (ex Gold)'!$A143, $B$102:$D$104, 3)</f>
        <v>4.8</v>
      </c>
      <c r="I269" s="810">
        <f t="shared" si="29"/>
        <v>2.2400000000000002</v>
      </c>
      <c r="J269" s="921">
        <f t="shared" si="30"/>
        <v>8.86</v>
      </c>
      <c r="K269" s="892"/>
      <c r="L269" s="921">
        <f>VLOOKUP('Journey distribution (ex Gold)'!$A143, $B$102:$E$104, 4)</f>
        <v>6</v>
      </c>
      <c r="M269" s="892">
        <f>VLOOKUP('Journey distribution (ex Gold)'!$A143, $F$102:$H$103, 3)</f>
        <v>9.1999999999999993</v>
      </c>
      <c r="N269" s="921">
        <f>VLOOKUP('Journey distribution (ex Gold)'!$A143, $B$102:$E$104, 4)</f>
        <v>6</v>
      </c>
      <c r="O269" s="922">
        <f t="shared" si="31"/>
        <v>10.7</v>
      </c>
    </row>
    <row r="270" spans="2:15" s="718" customFormat="1" ht="12" x14ac:dyDescent="0.2">
      <c r="B270" s="920">
        <v>140</v>
      </c>
      <c r="C270" s="921">
        <f t="shared" si="26"/>
        <v>4.2</v>
      </c>
      <c r="D270" s="921">
        <f t="shared" si="27"/>
        <v>15.8</v>
      </c>
      <c r="E270" s="892"/>
      <c r="F270" s="921">
        <f t="shared" si="28"/>
        <v>4.8</v>
      </c>
      <c r="G270" s="921">
        <f>VLOOKUP('Journey distribution (ex Gold)'!$A144, $F$102:$G$103, 2)</f>
        <v>7.65</v>
      </c>
      <c r="H270" s="921">
        <f>VLOOKUP('Journey distribution (ex Gold)'!$A144, $B$102:$D$104, 3)</f>
        <v>4.8</v>
      </c>
      <c r="I270" s="810">
        <f t="shared" si="29"/>
        <v>2.2400000000000002</v>
      </c>
      <c r="J270" s="921">
        <f t="shared" si="30"/>
        <v>8.86</v>
      </c>
      <c r="K270" s="892"/>
      <c r="L270" s="921">
        <f>VLOOKUP('Journey distribution (ex Gold)'!$A144, $B$102:$E$104, 4)</f>
        <v>6</v>
      </c>
      <c r="M270" s="892">
        <f>VLOOKUP('Journey distribution (ex Gold)'!$A144, $F$102:$H$103, 3)</f>
        <v>9.1999999999999993</v>
      </c>
      <c r="N270" s="921">
        <f>VLOOKUP('Journey distribution (ex Gold)'!$A144, $B$102:$E$104, 4)</f>
        <v>6</v>
      </c>
      <c r="O270" s="922">
        <f t="shared" si="31"/>
        <v>10.7</v>
      </c>
    </row>
    <row r="271" spans="2:15" s="718" customFormat="1" ht="12" x14ac:dyDescent="0.2">
      <c r="B271" s="920">
        <v>141</v>
      </c>
      <c r="C271" s="921">
        <f t="shared" si="26"/>
        <v>4.2</v>
      </c>
      <c r="D271" s="921">
        <f t="shared" si="27"/>
        <v>15.8</v>
      </c>
      <c r="E271" s="892"/>
      <c r="F271" s="921">
        <f t="shared" si="28"/>
        <v>4.8</v>
      </c>
      <c r="G271" s="921">
        <f>VLOOKUP('Journey distribution (ex Gold)'!$A145, $F$102:$G$103, 2)</f>
        <v>7.65</v>
      </c>
      <c r="H271" s="921">
        <f>VLOOKUP('Journey distribution (ex Gold)'!$A145, $B$102:$D$104, 3)</f>
        <v>4.8</v>
      </c>
      <c r="I271" s="810">
        <f t="shared" si="29"/>
        <v>2.2400000000000002</v>
      </c>
      <c r="J271" s="921">
        <f t="shared" si="30"/>
        <v>8.86</v>
      </c>
      <c r="K271" s="892"/>
      <c r="L271" s="921">
        <f>VLOOKUP('Journey distribution (ex Gold)'!$A145, $B$102:$E$104, 4)</f>
        <v>6</v>
      </c>
      <c r="M271" s="892">
        <f>VLOOKUP('Journey distribution (ex Gold)'!$A145, $F$102:$H$103, 3)</f>
        <v>9.1999999999999993</v>
      </c>
      <c r="N271" s="921">
        <f>VLOOKUP('Journey distribution (ex Gold)'!$A145, $B$102:$E$104, 4)</f>
        <v>6</v>
      </c>
      <c r="O271" s="922">
        <f t="shared" si="31"/>
        <v>10.7</v>
      </c>
    </row>
    <row r="272" spans="2:15" s="718" customFormat="1" ht="12" x14ac:dyDescent="0.2">
      <c r="B272" s="920">
        <v>142</v>
      </c>
      <c r="C272" s="921">
        <f t="shared" si="26"/>
        <v>4.2</v>
      </c>
      <c r="D272" s="921">
        <f t="shared" si="27"/>
        <v>15.8</v>
      </c>
      <c r="E272" s="892"/>
      <c r="F272" s="921">
        <f t="shared" si="28"/>
        <v>4.8</v>
      </c>
      <c r="G272" s="921">
        <f>VLOOKUP('Journey distribution (ex Gold)'!$A146, $F$102:$G$103, 2)</f>
        <v>7.65</v>
      </c>
      <c r="H272" s="921">
        <f>VLOOKUP('Journey distribution (ex Gold)'!$A146, $B$102:$D$104, 3)</f>
        <v>4.8</v>
      </c>
      <c r="I272" s="810">
        <f t="shared" si="29"/>
        <v>2.2400000000000002</v>
      </c>
      <c r="J272" s="921">
        <f t="shared" si="30"/>
        <v>8.86</v>
      </c>
      <c r="K272" s="892"/>
      <c r="L272" s="921">
        <f>VLOOKUP('Journey distribution (ex Gold)'!$A146, $B$102:$E$104, 4)</f>
        <v>6</v>
      </c>
      <c r="M272" s="892">
        <f>VLOOKUP('Journey distribution (ex Gold)'!$A146, $F$102:$H$103, 3)</f>
        <v>9.1999999999999993</v>
      </c>
      <c r="N272" s="921">
        <f>VLOOKUP('Journey distribution (ex Gold)'!$A146, $B$102:$E$104, 4)</f>
        <v>6</v>
      </c>
      <c r="O272" s="922">
        <f t="shared" si="31"/>
        <v>10.7</v>
      </c>
    </row>
    <row r="273" spans="1:16" s="718" customFormat="1" ht="12" x14ac:dyDescent="0.2">
      <c r="B273" s="920">
        <v>143</v>
      </c>
      <c r="C273" s="921">
        <f t="shared" si="26"/>
        <v>4.2</v>
      </c>
      <c r="D273" s="921">
        <f t="shared" si="27"/>
        <v>15.8</v>
      </c>
      <c r="E273" s="892"/>
      <c r="F273" s="921">
        <f t="shared" si="28"/>
        <v>4.8</v>
      </c>
      <c r="G273" s="921">
        <f>VLOOKUP('Journey distribution (ex Gold)'!$A147, $F$102:$G$103, 2)</f>
        <v>7.65</v>
      </c>
      <c r="H273" s="921">
        <f>VLOOKUP('Journey distribution (ex Gold)'!$A147, $B$102:$D$104, 3)</f>
        <v>4.8</v>
      </c>
      <c r="I273" s="810">
        <f t="shared" si="29"/>
        <v>2.2400000000000002</v>
      </c>
      <c r="J273" s="921">
        <f t="shared" si="30"/>
        <v>8.86</v>
      </c>
      <c r="K273" s="892"/>
      <c r="L273" s="921">
        <f>VLOOKUP('Journey distribution (ex Gold)'!$A147, $B$102:$E$104, 4)</f>
        <v>6</v>
      </c>
      <c r="M273" s="892">
        <f>VLOOKUP('Journey distribution (ex Gold)'!$A147, $F$102:$H$103, 3)</f>
        <v>9.1999999999999993</v>
      </c>
      <c r="N273" s="921">
        <f>VLOOKUP('Journey distribution (ex Gold)'!$A147, $B$102:$E$104, 4)</f>
        <v>6</v>
      </c>
      <c r="O273" s="922">
        <f t="shared" si="31"/>
        <v>10.7</v>
      </c>
    </row>
    <row r="274" spans="1:16" s="718" customFormat="1" ht="12" x14ac:dyDescent="0.2">
      <c r="B274" s="920">
        <v>144</v>
      </c>
      <c r="C274" s="921">
        <f t="shared" si="26"/>
        <v>4.2</v>
      </c>
      <c r="D274" s="921">
        <f t="shared" si="27"/>
        <v>15.8</v>
      </c>
      <c r="E274" s="892"/>
      <c r="F274" s="921">
        <f t="shared" si="28"/>
        <v>4.8</v>
      </c>
      <c r="G274" s="921">
        <f>VLOOKUP('Journey distribution (ex Gold)'!$A148, $F$102:$G$103, 2)</f>
        <v>7.65</v>
      </c>
      <c r="H274" s="921">
        <f>VLOOKUP('Journey distribution (ex Gold)'!$A148, $B$102:$D$104, 3)</f>
        <v>4.8</v>
      </c>
      <c r="I274" s="810">
        <f t="shared" si="29"/>
        <v>2.2400000000000002</v>
      </c>
      <c r="J274" s="921">
        <f t="shared" si="30"/>
        <v>8.86</v>
      </c>
      <c r="K274" s="892"/>
      <c r="L274" s="921">
        <f>VLOOKUP('Journey distribution (ex Gold)'!$A148, $B$102:$E$104, 4)</f>
        <v>6</v>
      </c>
      <c r="M274" s="892">
        <f>VLOOKUP('Journey distribution (ex Gold)'!$A148, $F$102:$H$103, 3)</f>
        <v>9.1999999999999993</v>
      </c>
      <c r="N274" s="921">
        <f>VLOOKUP('Journey distribution (ex Gold)'!$A148, $B$102:$E$104, 4)</f>
        <v>6</v>
      </c>
      <c r="O274" s="922">
        <f t="shared" si="31"/>
        <v>10.7</v>
      </c>
    </row>
    <row r="275" spans="1:16" s="718" customFormat="1" ht="12" x14ac:dyDescent="0.2">
      <c r="B275" s="920">
        <v>145</v>
      </c>
      <c r="C275" s="921">
        <f t="shared" si="26"/>
        <v>4.2</v>
      </c>
      <c r="D275" s="921">
        <f t="shared" si="27"/>
        <v>15.8</v>
      </c>
      <c r="E275" s="892"/>
      <c r="F275" s="921">
        <f t="shared" si="28"/>
        <v>4.8</v>
      </c>
      <c r="G275" s="921">
        <f>VLOOKUP('Journey distribution (ex Gold)'!$A149, $F$102:$G$103, 2)</f>
        <v>7.65</v>
      </c>
      <c r="H275" s="921">
        <f>VLOOKUP('Journey distribution (ex Gold)'!$A149, $B$102:$D$104, 3)</f>
        <v>4.8</v>
      </c>
      <c r="I275" s="810">
        <f t="shared" si="29"/>
        <v>2.2400000000000002</v>
      </c>
      <c r="J275" s="921">
        <f t="shared" si="30"/>
        <v>8.86</v>
      </c>
      <c r="K275" s="892"/>
      <c r="L275" s="921">
        <f>VLOOKUP('Journey distribution (ex Gold)'!$A149, $B$102:$E$104, 4)</f>
        <v>6</v>
      </c>
      <c r="M275" s="892">
        <f>VLOOKUP('Journey distribution (ex Gold)'!$A149, $F$102:$H$103, 3)</f>
        <v>9.1999999999999993</v>
      </c>
      <c r="N275" s="921">
        <f>VLOOKUP('Journey distribution (ex Gold)'!$A149, $B$102:$E$104, 4)</f>
        <v>6</v>
      </c>
      <c r="O275" s="922">
        <f t="shared" si="31"/>
        <v>10.7</v>
      </c>
    </row>
    <row r="276" spans="1:16" s="718" customFormat="1" ht="12" x14ac:dyDescent="0.2">
      <c r="B276" s="920">
        <v>146</v>
      </c>
      <c r="C276" s="921">
        <f t="shared" si="26"/>
        <v>4.2</v>
      </c>
      <c r="D276" s="921">
        <f t="shared" si="27"/>
        <v>15.8</v>
      </c>
      <c r="E276" s="892"/>
      <c r="F276" s="921">
        <f t="shared" si="28"/>
        <v>4.8</v>
      </c>
      <c r="G276" s="921">
        <f>VLOOKUP('Journey distribution (ex Gold)'!$A150, $F$102:$G$103, 2)</f>
        <v>7.65</v>
      </c>
      <c r="H276" s="921">
        <f>VLOOKUP('Journey distribution (ex Gold)'!$A150, $B$102:$D$104, 3)</f>
        <v>4.8</v>
      </c>
      <c r="I276" s="810">
        <f t="shared" si="29"/>
        <v>2.2400000000000002</v>
      </c>
      <c r="J276" s="921">
        <f t="shared" si="30"/>
        <v>8.86</v>
      </c>
      <c r="K276" s="892"/>
      <c r="L276" s="921">
        <f>VLOOKUP('Journey distribution (ex Gold)'!$A150, $B$102:$E$104, 4)</f>
        <v>6</v>
      </c>
      <c r="M276" s="892">
        <f>VLOOKUP('Journey distribution (ex Gold)'!$A150, $F$102:$H$103, 3)</f>
        <v>9.1999999999999993</v>
      </c>
      <c r="N276" s="921">
        <f>VLOOKUP('Journey distribution (ex Gold)'!$A150, $B$102:$E$104, 4)</f>
        <v>6</v>
      </c>
      <c r="O276" s="922">
        <f t="shared" si="31"/>
        <v>10.7</v>
      </c>
    </row>
    <row r="277" spans="1:16" s="718" customFormat="1" ht="12" x14ac:dyDescent="0.2">
      <c r="B277" s="920">
        <v>147</v>
      </c>
      <c r="C277" s="921">
        <f t="shared" si="26"/>
        <v>4.2</v>
      </c>
      <c r="D277" s="921">
        <f t="shared" si="27"/>
        <v>15.8</v>
      </c>
      <c r="E277" s="892"/>
      <c r="F277" s="921">
        <f t="shared" si="28"/>
        <v>4.8</v>
      </c>
      <c r="G277" s="921">
        <f>VLOOKUP('Journey distribution (ex Gold)'!$A151, $F$102:$G$103, 2)</f>
        <v>7.65</v>
      </c>
      <c r="H277" s="921">
        <f>VLOOKUP('Journey distribution (ex Gold)'!$A151, $B$102:$D$104, 3)</f>
        <v>4.8</v>
      </c>
      <c r="I277" s="810">
        <f t="shared" si="29"/>
        <v>2.2400000000000002</v>
      </c>
      <c r="J277" s="921">
        <f t="shared" si="30"/>
        <v>8.86</v>
      </c>
      <c r="K277" s="892"/>
      <c r="L277" s="921">
        <f>VLOOKUP('Journey distribution (ex Gold)'!$A151, $B$102:$E$104, 4)</f>
        <v>6</v>
      </c>
      <c r="M277" s="892">
        <f>VLOOKUP('Journey distribution (ex Gold)'!$A151, $F$102:$H$103, 3)</f>
        <v>9.1999999999999993</v>
      </c>
      <c r="N277" s="921">
        <f>VLOOKUP('Journey distribution (ex Gold)'!$A151, $B$102:$E$104, 4)</f>
        <v>6</v>
      </c>
      <c r="O277" s="922">
        <f t="shared" si="31"/>
        <v>10.7</v>
      </c>
    </row>
    <row r="278" spans="1:16" s="718" customFormat="1" ht="12" x14ac:dyDescent="0.2">
      <c r="B278" s="920">
        <v>148</v>
      </c>
      <c r="C278" s="921">
        <f t="shared" si="26"/>
        <v>4.2</v>
      </c>
      <c r="D278" s="921">
        <f t="shared" si="27"/>
        <v>15.8</v>
      </c>
      <c r="E278" s="892"/>
      <c r="F278" s="921">
        <f t="shared" si="28"/>
        <v>4.8</v>
      </c>
      <c r="G278" s="921">
        <f>VLOOKUP('Journey distribution (ex Gold)'!$A152, $F$102:$G$103, 2)</f>
        <v>7.65</v>
      </c>
      <c r="H278" s="921">
        <f>VLOOKUP('Journey distribution (ex Gold)'!$A152, $B$102:$D$104, 3)</f>
        <v>4.8</v>
      </c>
      <c r="I278" s="810">
        <f t="shared" si="29"/>
        <v>2.2400000000000002</v>
      </c>
      <c r="J278" s="921">
        <f t="shared" si="30"/>
        <v>8.86</v>
      </c>
      <c r="K278" s="892"/>
      <c r="L278" s="921">
        <f>VLOOKUP('Journey distribution (ex Gold)'!$A152, $B$102:$E$104, 4)</f>
        <v>6</v>
      </c>
      <c r="M278" s="892">
        <f>VLOOKUP('Journey distribution (ex Gold)'!$A152, $F$102:$H$103, 3)</f>
        <v>9.1999999999999993</v>
      </c>
      <c r="N278" s="921">
        <f>VLOOKUP('Journey distribution (ex Gold)'!$A152, $B$102:$E$104, 4)</f>
        <v>6</v>
      </c>
      <c r="O278" s="922">
        <f t="shared" si="31"/>
        <v>10.7</v>
      </c>
    </row>
    <row r="279" spans="1:16" s="718" customFormat="1" ht="12" x14ac:dyDescent="0.2">
      <c r="B279" s="920">
        <v>149</v>
      </c>
      <c r="C279" s="921">
        <f t="shared" si="26"/>
        <v>4.2</v>
      </c>
      <c r="D279" s="921">
        <f t="shared" si="27"/>
        <v>15.8</v>
      </c>
      <c r="E279" s="892"/>
      <c r="F279" s="921">
        <f t="shared" si="28"/>
        <v>4.8</v>
      </c>
      <c r="G279" s="921">
        <f>VLOOKUP('Journey distribution (ex Gold)'!$A153, $F$102:$G$103, 2)</f>
        <v>7.65</v>
      </c>
      <c r="H279" s="921">
        <f>VLOOKUP('Journey distribution (ex Gold)'!$A153, $B$102:$D$104, 3)</f>
        <v>4.8</v>
      </c>
      <c r="I279" s="810">
        <f t="shared" si="29"/>
        <v>2.2400000000000002</v>
      </c>
      <c r="J279" s="921">
        <f t="shared" si="30"/>
        <v>8.86</v>
      </c>
      <c r="K279" s="892"/>
      <c r="L279" s="921">
        <f>VLOOKUP('Journey distribution (ex Gold)'!$A153, $B$102:$E$104, 4)</f>
        <v>6</v>
      </c>
      <c r="M279" s="892">
        <f>VLOOKUP('Journey distribution (ex Gold)'!$A153, $F$102:$H$103, 3)</f>
        <v>9.1999999999999993</v>
      </c>
      <c r="N279" s="921">
        <f>VLOOKUP('Journey distribution (ex Gold)'!$A153, $B$102:$E$104, 4)</f>
        <v>6</v>
      </c>
      <c r="O279" s="922">
        <f t="shared" si="31"/>
        <v>10.7</v>
      </c>
    </row>
    <row r="280" spans="1:16" s="718" customFormat="1" ht="12" x14ac:dyDescent="0.2">
      <c r="B280" s="923">
        <v>150</v>
      </c>
      <c r="C280" s="924">
        <f t="shared" si="26"/>
        <v>4.2</v>
      </c>
      <c r="D280" s="924">
        <f t="shared" si="27"/>
        <v>15.8</v>
      </c>
      <c r="E280" s="816"/>
      <c r="F280" s="924">
        <f t="shared" si="28"/>
        <v>4.8</v>
      </c>
      <c r="G280" s="924">
        <f>VLOOKUP('Journey distribution (ex Gold)'!$A154, $F$102:$G$103, 2)</f>
        <v>7.65</v>
      </c>
      <c r="H280" s="924">
        <f>VLOOKUP('Journey distribution (ex Gold)'!$A154, $B$102:$D$104, 3)</f>
        <v>4.8</v>
      </c>
      <c r="I280" s="925">
        <f t="shared" si="29"/>
        <v>2.2400000000000002</v>
      </c>
      <c r="J280" s="924">
        <f t="shared" si="30"/>
        <v>8.86</v>
      </c>
      <c r="K280" s="816"/>
      <c r="L280" s="924">
        <f>VLOOKUP('Journey distribution (ex Gold)'!$A154, $B$102:$E$104, 4)</f>
        <v>6</v>
      </c>
      <c r="M280" s="816">
        <f>VLOOKUP('Journey distribution (ex Gold)'!$A154, $F$102:$H$103, 3)</f>
        <v>9.1999999999999993</v>
      </c>
      <c r="N280" s="924">
        <f>VLOOKUP('Journey distribution (ex Gold)'!$A154, $B$102:$E$104, 4)</f>
        <v>6</v>
      </c>
      <c r="O280" s="926">
        <f t="shared" si="31"/>
        <v>10.7</v>
      </c>
    </row>
    <row r="281" spans="1:16" s="718" customFormat="1" ht="12" x14ac:dyDescent="0.2">
      <c r="B281" s="910"/>
      <c r="C281" s="910"/>
      <c r="E281" s="911"/>
      <c r="G281" s="908"/>
      <c r="H281" s="912"/>
    </row>
    <row r="282" spans="1:16" x14ac:dyDescent="0.2">
      <c r="A282" s="660"/>
      <c r="B282" s="686"/>
      <c r="C282" s="686"/>
      <c r="E282" s="685"/>
      <c r="G282" s="684"/>
      <c r="H282" s="683"/>
      <c r="I282" s="660"/>
      <c r="J282" s="660"/>
    </row>
    <row r="283" spans="1:16" x14ac:dyDescent="0.2">
      <c r="A283" s="660"/>
      <c r="H283" s="660"/>
      <c r="I283" s="660"/>
      <c r="J283" s="660"/>
    </row>
    <row r="284" spans="1:16" ht="16.5" x14ac:dyDescent="0.3">
      <c r="L284" s="664"/>
      <c r="M284" s="664"/>
      <c r="N284" s="664"/>
      <c r="O284" s="664"/>
      <c r="P284" s="664"/>
    </row>
    <row r="285" spans="1:16" ht="15" x14ac:dyDescent="0.2">
      <c r="B285" s="788" t="s">
        <v>966</v>
      </c>
      <c r="H285" s="660"/>
      <c r="I285" s="660"/>
      <c r="J285" s="660"/>
    </row>
    <row r="286" spans="1:16" x14ac:dyDescent="0.2">
      <c r="B286" s="711" t="s">
        <v>822</v>
      </c>
      <c r="C286" s="703"/>
      <c r="D286" s="703"/>
      <c r="E286" s="703"/>
      <c r="F286" s="703"/>
      <c r="G286" s="699"/>
      <c r="H286" s="660"/>
      <c r="I286" s="660"/>
      <c r="J286" s="660"/>
    </row>
    <row r="287" spans="1:16" x14ac:dyDescent="0.2">
      <c r="B287" s="695"/>
      <c r="C287" s="694" t="s">
        <v>3</v>
      </c>
      <c r="D287" s="694" t="s">
        <v>7</v>
      </c>
      <c r="E287" s="694" t="s">
        <v>8</v>
      </c>
      <c r="F287" s="694" t="s">
        <v>626</v>
      </c>
      <c r="G287" s="692" t="s">
        <v>4</v>
      </c>
      <c r="H287" s="660"/>
      <c r="I287" s="660"/>
      <c r="J287" s="660"/>
    </row>
    <row r="288" spans="1:16" x14ac:dyDescent="0.2">
      <c r="B288" s="901">
        <v>0</v>
      </c>
      <c r="C288" s="902">
        <f>'Journey distribution (ex Gold)'!B4/'Journey distribution (ex Gold)'!B$155</f>
        <v>6.4384851538925841E-2</v>
      </c>
      <c r="D288" s="902">
        <f>'Journey distribution (ex Gold)'!C4/'Journey distribution (ex Gold)'!C$155</f>
        <v>3.0936321120584583E-2</v>
      </c>
      <c r="E288" s="902">
        <f>'Journey distribution (ex Gold)'!D4/'Journey distribution (ex Gold)'!D$155</f>
        <v>0.18051126578745499</v>
      </c>
      <c r="F288" s="902">
        <f>'Journey distribution (ex Gold)'!E4/'Journey distribution (ex Gold)'!E$155</f>
        <v>1</v>
      </c>
      <c r="G288" s="877">
        <f>'Journey distribution (ex Gold)'!F4/'Journey distribution (ex Gold)'!F$155</f>
        <v>2.2452969836113021E-3</v>
      </c>
      <c r="H288" s="660"/>
      <c r="I288" s="660"/>
      <c r="J288" s="660"/>
    </row>
    <row r="289" spans="1:10" x14ac:dyDescent="0.2">
      <c r="B289" s="901">
        <v>1</v>
      </c>
      <c r="C289" s="902">
        <f>'Journey distribution (ex Gold)'!B5/'Journey distribution (ex Gold)'!B$155</f>
        <v>0.19668447913308934</v>
      </c>
      <c r="D289" s="902">
        <f>'Journey distribution (ex Gold)'!C5/'Journey distribution (ex Gold)'!C$155</f>
        <v>0.16456368721450509</v>
      </c>
      <c r="E289" s="902">
        <f>'Journey distribution (ex Gold)'!D5/'Journey distribution (ex Gold)'!D$155</f>
        <v>0.481545576976111</v>
      </c>
      <c r="F289" s="902">
        <f>'Journey distribution (ex Gold)'!E5/'Journey distribution (ex Gold)'!E$155</f>
        <v>0</v>
      </c>
      <c r="G289" s="877">
        <f>'Journey distribution (ex Gold)'!F5/'Journey distribution (ex Gold)'!F$155</f>
        <v>1.8182856243990301E-2</v>
      </c>
      <c r="H289" s="660"/>
      <c r="I289" s="660"/>
      <c r="J289" s="660"/>
    </row>
    <row r="290" spans="1:10" x14ac:dyDescent="0.2">
      <c r="B290" s="901">
        <v>2</v>
      </c>
      <c r="C290" s="902">
        <f>'Journey distribution (ex Gold)'!B6/'Journey distribution (ex Gold)'!B$155</f>
        <v>0.17307832183363359</v>
      </c>
      <c r="D290" s="902">
        <f>'Journey distribution (ex Gold)'!C6/'Journey distribution (ex Gold)'!C$155</f>
        <v>9.179393211725205E-2</v>
      </c>
      <c r="E290" s="902">
        <f>'Journey distribution (ex Gold)'!D6/'Journey distribution (ex Gold)'!D$155</f>
        <v>0.11921026521273315</v>
      </c>
      <c r="F290" s="902">
        <f>'Journey distribution (ex Gold)'!E6/'Journey distribution (ex Gold)'!E$155</f>
        <v>0</v>
      </c>
      <c r="G290" s="877">
        <f>'Journey distribution (ex Gold)'!F6/'Journey distribution (ex Gold)'!F$155</f>
        <v>2.0461914199688944E-2</v>
      </c>
      <c r="H290" s="660"/>
      <c r="I290" s="660"/>
      <c r="J290" s="660"/>
    </row>
    <row r="291" spans="1:10" x14ac:dyDescent="0.2">
      <c r="B291" s="901">
        <v>3</v>
      </c>
      <c r="C291" s="902">
        <f>'Journey distribution (ex Gold)'!B7/'Journey distribution (ex Gold)'!B$155</f>
        <v>0.11212344130946686</v>
      </c>
      <c r="D291" s="902">
        <f>'Journey distribution (ex Gold)'!C7/'Journey distribution (ex Gold)'!C$155</f>
        <v>0.1456885646932404</v>
      </c>
      <c r="E291" s="902">
        <f>'Journey distribution (ex Gold)'!D7/'Journey distribution (ex Gold)'!D$155</f>
        <v>4.1732510207632738E-2</v>
      </c>
      <c r="F291" s="902">
        <f>'Journey distribution (ex Gold)'!E7/'Journey distribution (ex Gold)'!E$155</f>
        <v>0</v>
      </c>
      <c r="G291" s="877">
        <f>'Journey distribution (ex Gold)'!F7/'Journey distribution (ex Gold)'!F$155</f>
        <v>7.2904842201063538E-2</v>
      </c>
      <c r="H291" s="660"/>
      <c r="I291" s="660"/>
      <c r="J291" s="660"/>
    </row>
    <row r="292" spans="1:10" x14ac:dyDescent="0.2">
      <c r="B292" s="901">
        <v>4</v>
      </c>
      <c r="C292" s="902">
        <f>'Journey distribution (ex Gold)'!B8/'Journey distribution (ex Gold)'!B$155</f>
        <v>0.10424055782983478</v>
      </c>
      <c r="D292" s="902">
        <f>'Journey distribution (ex Gold)'!C8/'Journey distribution (ex Gold)'!C$155</f>
        <v>7.4610234253368019E-2</v>
      </c>
      <c r="E292" s="902">
        <f>'Journey distribution (ex Gold)'!D8/'Journey distribution (ex Gold)'!D$155</f>
        <v>4.9821781379726392E-2</v>
      </c>
      <c r="F292" s="902">
        <f>'Journey distribution (ex Gold)'!E8/'Journey distribution (ex Gold)'!E$155</f>
        <v>0</v>
      </c>
      <c r="G292" s="877">
        <f>'Journey distribution (ex Gold)'!F8/'Journey distribution (ex Gold)'!F$155</f>
        <v>3.3967037515147271E-2</v>
      </c>
      <c r="H292" s="660"/>
      <c r="I292" s="660"/>
      <c r="J292" s="660"/>
    </row>
    <row r="293" spans="1:10" x14ac:dyDescent="0.2">
      <c r="B293" s="901">
        <v>5</v>
      </c>
      <c r="C293" s="902">
        <f>'Journey distribution (ex Gold)'!B9/'Journey distribution (ex Gold)'!B$155</f>
        <v>7.1911443045104773E-2</v>
      </c>
      <c r="D293" s="902">
        <f>'Journey distribution (ex Gold)'!C9/'Journey distribution (ex Gold)'!C$155</f>
        <v>3.0712296256199208E-2</v>
      </c>
      <c r="E293" s="902">
        <f>'Journey distribution (ex Gold)'!D9/'Journey distribution (ex Gold)'!D$155</f>
        <v>5.1805007839397649E-2</v>
      </c>
      <c r="F293" s="902">
        <f>'Journey distribution (ex Gold)'!E9/'Journey distribution (ex Gold)'!E$155</f>
        <v>0</v>
      </c>
      <c r="G293" s="877">
        <f>'Journey distribution (ex Gold)'!F9/'Journey distribution (ex Gold)'!F$155</f>
        <v>3.1923465226418729E-2</v>
      </c>
      <c r="H293" s="660"/>
      <c r="I293" s="660"/>
      <c r="J293" s="660"/>
    </row>
    <row r="294" spans="1:10" x14ac:dyDescent="0.2">
      <c r="B294" s="901">
        <v>6</v>
      </c>
      <c r="C294" s="902">
        <f>'Journey distribution (ex Gold)'!B10/'Journey distribution (ex Gold)'!B$155</f>
        <v>5.6897642428435237E-2</v>
      </c>
      <c r="D294" s="902">
        <f>'Journey distribution (ex Gold)'!C10/'Journey distribution (ex Gold)'!C$155</f>
        <v>4.9743050956396861E-2</v>
      </c>
      <c r="E294" s="902">
        <f>'Journey distribution (ex Gold)'!D10/'Journey distribution (ex Gold)'!D$155</f>
        <v>7.5373592596944039E-2</v>
      </c>
      <c r="F294" s="902">
        <f>'Journey distribution (ex Gold)'!E10/'Journey distribution (ex Gold)'!E$155</f>
        <v>0</v>
      </c>
      <c r="G294" s="877">
        <f>'Journey distribution (ex Gold)'!F10/'Journey distribution (ex Gold)'!F$155</f>
        <v>6.2125130852742932E-2</v>
      </c>
      <c r="H294" s="660"/>
      <c r="I294" s="660"/>
      <c r="J294" s="660"/>
    </row>
    <row r="295" spans="1:10" x14ac:dyDescent="0.2">
      <c r="B295" s="901">
        <v>7</v>
      </c>
      <c r="C295" s="902">
        <f>'Journey distribution (ex Gold)'!B11/'Journey distribution (ex Gold)'!B$155</f>
        <v>4.0930362695915642E-2</v>
      </c>
      <c r="D295" s="902">
        <f>'Journey distribution (ex Gold)'!C11/'Journey distribution (ex Gold)'!C$155</f>
        <v>1.929499643338629E-2</v>
      </c>
      <c r="E295" s="902">
        <f>'Journey distribution (ex Gold)'!D11/'Journey distribution (ex Gold)'!D$155</f>
        <v>0</v>
      </c>
      <c r="F295" s="902">
        <f>'Journey distribution (ex Gold)'!E11/'Journey distribution (ex Gold)'!E$155</f>
        <v>0</v>
      </c>
      <c r="G295" s="877">
        <f>'Journey distribution (ex Gold)'!F11/'Journey distribution (ex Gold)'!F$155</f>
        <v>2.3123083219087848E-2</v>
      </c>
      <c r="H295" s="660"/>
      <c r="I295" s="660"/>
      <c r="J295" s="660"/>
    </row>
    <row r="296" spans="1:10" ht="12.6" customHeight="1" x14ac:dyDescent="0.2">
      <c r="A296" s="660"/>
      <c r="B296" s="901">
        <v>8</v>
      </c>
      <c r="C296" s="902">
        <f>'Journey distribution (ex Gold)'!B12/'Journey distribution (ex Gold)'!B$155</f>
        <v>2.910148625558262E-2</v>
      </c>
      <c r="D296" s="902">
        <f>'Journey distribution (ex Gold)'!C12/'Journey distribution (ex Gold)'!C$155</f>
        <v>2.9787801159751687E-2</v>
      </c>
      <c r="E296" s="902">
        <f>'Journey distribution (ex Gold)'!D12/'Journey distribution (ex Gold)'!D$155</f>
        <v>0</v>
      </c>
      <c r="F296" s="902">
        <f>'Journey distribution (ex Gold)'!E12/'Journey distribution (ex Gold)'!E$155</f>
        <v>0</v>
      </c>
      <c r="G296" s="877">
        <f>'Journey distribution (ex Gold)'!F12/'Journey distribution (ex Gold)'!F$155</f>
        <v>3.5699483211870262E-2</v>
      </c>
      <c r="H296" s="660"/>
      <c r="I296" s="660"/>
      <c r="J296" s="660"/>
    </row>
    <row r="297" spans="1:10" x14ac:dyDescent="0.2">
      <c r="A297" s="660"/>
      <c r="B297" s="901">
        <v>9</v>
      </c>
      <c r="C297" s="902">
        <f>'Journey distribution (ex Gold)'!B13/'Journey distribution (ex Gold)'!B$155</f>
        <v>2.1648272523717683E-2</v>
      </c>
      <c r="D297" s="902">
        <f>'Journey distribution (ex Gold)'!C13/'Journey distribution (ex Gold)'!C$155</f>
        <v>0.30086226556234519</v>
      </c>
      <c r="E297" s="902">
        <f>'Journey distribution (ex Gold)'!D13/'Journey distribution (ex Gold)'!D$155</f>
        <v>0</v>
      </c>
      <c r="F297" s="902">
        <f>'Journey distribution (ex Gold)'!E13/'Journey distribution (ex Gold)'!E$155</f>
        <v>0</v>
      </c>
      <c r="G297" s="877">
        <f>'Journey distribution (ex Gold)'!F13/'Journey distribution (ex Gold)'!F$155</f>
        <v>3.7038899961972911E-2</v>
      </c>
      <c r="H297" s="660"/>
      <c r="I297" s="660"/>
      <c r="J297" s="660"/>
    </row>
    <row r="298" spans="1:10" x14ac:dyDescent="0.2">
      <c r="A298" s="660"/>
      <c r="B298" s="901">
        <v>10</v>
      </c>
      <c r="C298" s="902">
        <f>'Journey distribution (ex Gold)'!B14/'Journey distribution (ex Gold)'!B$155</f>
        <v>1.8667874163124574E-2</v>
      </c>
      <c r="D298" s="902">
        <f>'Journey distribution (ex Gold)'!C14/'Journey distribution (ex Gold)'!C$155</f>
        <v>9.6583750672156032E-3</v>
      </c>
      <c r="E298" s="902">
        <f>'Journey distribution (ex Gold)'!D14/'Journey distribution (ex Gold)'!D$155</f>
        <v>0</v>
      </c>
      <c r="F298" s="902">
        <f>'Journey distribution (ex Gold)'!E14/'Journey distribution (ex Gold)'!E$155</f>
        <v>0</v>
      </c>
      <c r="G298" s="877">
        <f>'Journey distribution (ex Gold)'!F14/'Journey distribution (ex Gold)'!F$155</f>
        <v>2.8210568180635616E-2</v>
      </c>
      <c r="H298" s="660"/>
      <c r="I298" s="660"/>
      <c r="J298" s="660"/>
    </row>
    <row r="299" spans="1:10" x14ac:dyDescent="0.2">
      <c r="A299" s="660"/>
      <c r="B299" s="901">
        <v>11</v>
      </c>
      <c r="C299" s="902">
        <f>'Journey distribution (ex Gold)'!B15/'Journey distribution (ex Gold)'!B$155</f>
        <v>1.500815331369873E-2</v>
      </c>
      <c r="D299" s="902">
        <f>'Journey distribution (ex Gold)'!C15/'Journey distribution (ex Gold)'!C$155</f>
        <v>1.2865034417858114E-2</v>
      </c>
      <c r="E299" s="902">
        <f>'Journey distribution (ex Gold)'!D15/'Journey distribution (ex Gold)'!D$155</f>
        <v>0</v>
      </c>
      <c r="F299" s="902">
        <f>'Journey distribution (ex Gold)'!E15/'Journey distribution (ex Gold)'!E$155</f>
        <v>0</v>
      </c>
      <c r="G299" s="877">
        <f>'Journey distribution (ex Gold)'!F15/'Journey distribution (ex Gold)'!F$155</f>
        <v>4.0743211788994767E-2</v>
      </c>
      <c r="H299" s="660"/>
      <c r="I299" s="660"/>
      <c r="J299" s="660"/>
    </row>
    <row r="300" spans="1:10" x14ac:dyDescent="0.2">
      <c r="A300" s="660"/>
      <c r="B300" s="901">
        <v>12</v>
      </c>
      <c r="C300" s="902">
        <f>'Journey distribution (ex Gold)'!B16/'Journey distribution (ex Gold)'!B$155</f>
        <v>1.4360568145158152E-2</v>
      </c>
      <c r="D300" s="902">
        <f>'Journey distribution (ex Gold)'!C16/'Journey distribution (ex Gold)'!C$155</f>
        <v>2.7166717962308077E-2</v>
      </c>
      <c r="E300" s="902">
        <f>'Journey distribution (ex Gold)'!D16/'Journey distribution (ex Gold)'!D$155</f>
        <v>0</v>
      </c>
      <c r="F300" s="902">
        <f>'Journey distribution (ex Gold)'!E16/'Journey distribution (ex Gold)'!E$155</f>
        <v>0</v>
      </c>
      <c r="G300" s="877">
        <f>'Journey distribution (ex Gold)'!F16/'Journey distribution (ex Gold)'!F$155</f>
        <v>2.7430281254841839E-2</v>
      </c>
      <c r="H300" s="660"/>
      <c r="I300" s="660"/>
      <c r="J300" s="660"/>
    </row>
    <row r="301" spans="1:10" x14ac:dyDescent="0.2">
      <c r="A301" s="660"/>
      <c r="B301" s="901">
        <v>13</v>
      </c>
      <c r="C301" s="902">
        <f>'Journey distribution (ex Gold)'!B17/'Journey distribution (ex Gold)'!B$155</f>
        <v>7.9947473616650434E-3</v>
      </c>
      <c r="D301" s="902">
        <f>'Journey distribution (ex Gold)'!C17/'Journey distribution (ex Gold)'!C$155</f>
        <v>1.0481904202516328E-3</v>
      </c>
      <c r="E301" s="902">
        <f>'Journey distribution (ex Gold)'!D17/'Journey distribution (ex Gold)'!D$155</f>
        <v>0</v>
      </c>
      <c r="F301" s="902">
        <f>'Journey distribution (ex Gold)'!E17/'Journey distribution (ex Gold)'!E$155</f>
        <v>0</v>
      </c>
      <c r="G301" s="877">
        <f>'Journey distribution (ex Gold)'!F17/'Journey distribution (ex Gold)'!F$155</f>
        <v>3.1114077301072175E-2</v>
      </c>
      <c r="H301" s="660"/>
      <c r="I301" s="660"/>
      <c r="J301" s="660"/>
    </row>
    <row r="302" spans="1:10" x14ac:dyDescent="0.2">
      <c r="A302" s="660"/>
      <c r="B302" s="901">
        <v>14</v>
      </c>
      <c r="C302" s="902">
        <f>'Journey distribution (ex Gold)'!B18/'Journey distribution (ex Gold)'!B$155</f>
        <v>1.093293720333267E-2</v>
      </c>
      <c r="D302" s="902">
        <f>'Journey distribution (ex Gold)'!C18/'Journey distribution (ex Gold)'!C$155</f>
        <v>3.6816279103064491E-4</v>
      </c>
      <c r="E302" s="902">
        <f>'Journey distribution (ex Gold)'!D18/'Journey distribution (ex Gold)'!D$155</f>
        <v>0</v>
      </c>
      <c r="F302" s="902">
        <f>'Journey distribution (ex Gold)'!E18/'Journey distribution (ex Gold)'!E$155</f>
        <v>0</v>
      </c>
      <c r="G302" s="877">
        <f>'Journey distribution (ex Gold)'!F18/'Journey distribution (ex Gold)'!F$155</f>
        <v>4.1954969495123118E-2</v>
      </c>
      <c r="H302" s="660"/>
      <c r="I302" s="660"/>
      <c r="J302" s="660"/>
    </row>
    <row r="303" spans="1:10" x14ac:dyDescent="0.2">
      <c r="A303" s="660"/>
      <c r="B303" s="901">
        <v>15</v>
      </c>
      <c r="C303" s="902">
        <f>'Journey distribution (ex Gold)'!B19/'Journey distribution (ex Gold)'!B$155</f>
        <v>4.7483761328189645E-3</v>
      </c>
      <c r="D303" s="902">
        <f>'Journey distribution (ex Gold)'!C19/'Journey distribution (ex Gold)'!C$155</f>
        <v>2.1120332753120359E-3</v>
      </c>
      <c r="E303" s="902">
        <f>'Journey distribution (ex Gold)'!D19/'Journey distribution (ex Gold)'!D$155</f>
        <v>0</v>
      </c>
      <c r="F303" s="902">
        <f>'Journey distribution (ex Gold)'!E19/'Journey distribution (ex Gold)'!E$155</f>
        <v>0</v>
      </c>
      <c r="G303" s="877">
        <f>'Journey distribution (ex Gold)'!F19/'Journey distribution (ex Gold)'!F$155</f>
        <v>2.135706344717701E-2</v>
      </c>
      <c r="H303" s="660"/>
      <c r="I303" s="660"/>
      <c r="J303" s="660"/>
    </row>
    <row r="304" spans="1:10" x14ac:dyDescent="0.2">
      <c r="A304" s="660"/>
      <c r="B304" s="901">
        <v>16</v>
      </c>
      <c r="C304" s="902">
        <f>'Journey distribution (ex Gold)'!B20/'Journey distribution (ex Gold)'!B$155</f>
        <v>4.1966032195401093E-3</v>
      </c>
      <c r="D304" s="902">
        <f>'Journey distribution (ex Gold)'!C20/'Journey distribution (ex Gold)'!C$155</f>
        <v>4.8892273894370749E-3</v>
      </c>
      <c r="E304" s="902">
        <f>'Journey distribution (ex Gold)'!D20/'Journey distribution (ex Gold)'!D$155</f>
        <v>0</v>
      </c>
      <c r="F304" s="902">
        <f>'Journey distribution (ex Gold)'!E20/'Journey distribution (ex Gold)'!E$155</f>
        <v>0</v>
      </c>
      <c r="G304" s="877">
        <f>'Journey distribution (ex Gold)'!F20/'Journey distribution (ex Gold)'!F$155</f>
        <v>2.5636995670910892E-2</v>
      </c>
      <c r="H304" s="660"/>
      <c r="I304" s="660"/>
      <c r="J304" s="660"/>
    </row>
    <row r="305" spans="1:10" x14ac:dyDescent="0.2">
      <c r="A305" s="660"/>
      <c r="B305" s="901">
        <v>17</v>
      </c>
      <c r="C305" s="902">
        <f>'Journey distribution (ex Gold)'!B21/'Journey distribution (ex Gold)'!B$155</f>
        <v>5.188957989027734E-3</v>
      </c>
      <c r="D305" s="902">
        <f>'Journey distribution (ex Gold)'!C21/'Journey distribution (ex Gold)'!C$155</f>
        <v>3.6921623494024647E-4</v>
      </c>
      <c r="E305" s="902">
        <f>'Journey distribution (ex Gold)'!D21/'Journey distribution (ex Gold)'!D$155</f>
        <v>0</v>
      </c>
      <c r="F305" s="902">
        <f>'Journey distribution (ex Gold)'!E21/'Journey distribution (ex Gold)'!E$155</f>
        <v>0</v>
      </c>
      <c r="G305" s="877">
        <f>'Journey distribution (ex Gold)'!F21/'Journey distribution (ex Gold)'!F$155</f>
        <v>2.034798149174882E-2</v>
      </c>
      <c r="H305" s="660"/>
      <c r="I305" s="660"/>
      <c r="J305" s="660"/>
    </row>
    <row r="306" spans="1:10" x14ac:dyDescent="0.2">
      <c r="A306" s="660"/>
      <c r="B306" s="901">
        <v>18</v>
      </c>
      <c r="C306" s="902">
        <f>'Journey distribution (ex Gold)'!B22/'Journey distribution (ex Gold)'!B$155</f>
        <v>2.9278356119028267E-3</v>
      </c>
      <c r="D306" s="902">
        <f>'Journey distribution (ex Gold)'!C22/'Journey distribution (ex Gold)'!C$155</f>
        <v>1.2567133418153239E-3</v>
      </c>
      <c r="E306" s="902">
        <f>'Journey distribution (ex Gold)'!D22/'Journey distribution (ex Gold)'!D$155</f>
        <v>0</v>
      </c>
      <c r="F306" s="902">
        <f>'Journey distribution (ex Gold)'!E22/'Journey distribution (ex Gold)'!E$155</f>
        <v>0</v>
      </c>
      <c r="G306" s="877">
        <f>'Journey distribution (ex Gold)'!F22/'Journey distribution (ex Gold)'!F$155</f>
        <v>3.0332252432887369E-2</v>
      </c>
      <c r="H306" s="660"/>
      <c r="I306" s="660"/>
      <c r="J306" s="660"/>
    </row>
    <row r="307" spans="1:10" x14ac:dyDescent="0.2">
      <c r="A307" s="660"/>
      <c r="B307" s="901">
        <v>19</v>
      </c>
      <c r="C307" s="902">
        <f>'Journey distribution (ex Gold)'!B23/'Journey distribution (ex Gold)'!B$155</f>
        <v>6.0936960373924988E-3</v>
      </c>
      <c r="D307" s="902">
        <f>'Journey distribution (ex Gold)'!C23/'Journey distribution (ex Gold)'!C$155</f>
        <v>1.6470060638585987E-3</v>
      </c>
      <c r="E307" s="902">
        <f>'Journey distribution (ex Gold)'!D23/'Journey distribution (ex Gold)'!D$155</f>
        <v>0</v>
      </c>
      <c r="F307" s="902">
        <f>'Journey distribution (ex Gold)'!E23/'Journey distribution (ex Gold)'!E$155</f>
        <v>0</v>
      </c>
      <c r="G307" s="877">
        <f>'Journey distribution (ex Gold)'!F23/'Journey distribution (ex Gold)'!F$155</f>
        <v>2.8320714631000287E-2</v>
      </c>
      <c r="H307" s="660"/>
      <c r="I307" s="660"/>
      <c r="J307" s="660"/>
    </row>
    <row r="308" spans="1:10" x14ac:dyDescent="0.2">
      <c r="A308" s="660"/>
      <c r="B308" s="901">
        <v>20</v>
      </c>
      <c r="C308" s="902">
        <f>'Journey distribution (ex Gold)'!B24/'Journey distribution (ex Gold)'!B$155</f>
        <v>4.6495641584251629E-3</v>
      </c>
      <c r="D308" s="902">
        <f>'Journey distribution (ex Gold)'!C24/'Journey distribution (ex Gold)'!C$155</f>
        <v>0</v>
      </c>
      <c r="E308" s="902">
        <f>'Journey distribution (ex Gold)'!D24/'Journey distribution (ex Gold)'!D$155</f>
        <v>0</v>
      </c>
      <c r="F308" s="902">
        <f>'Journey distribution (ex Gold)'!E24/'Journey distribution (ex Gold)'!E$155</f>
        <v>0</v>
      </c>
      <c r="G308" s="877">
        <f>'Journey distribution (ex Gold)'!F24/'Journey distribution (ex Gold)'!F$155</f>
        <v>1.9302771111479246E-2</v>
      </c>
      <c r="H308" s="660"/>
      <c r="I308" s="660"/>
      <c r="J308" s="660"/>
    </row>
    <row r="309" spans="1:10" x14ac:dyDescent="0.2">
      <c r="A309" s="660"/>
      <c r="B309" s="901">
        <v>21</v>
      </c>
      <c r="C309" s="902">
        <f>'Journey distribution (ex Gold)'!B25/'Journey distribution (ex Gold)'!B$155</f>
        <v>3.8991287443166348E-3</v>
      </c>
      <c r="D309" s="902">
        <f>'Journey distribution (ex Gold)'!C25/'Journey distribution (ex Gold)'!C$155</f>
        <v>3.7934125960319072E-5</v>
      </c>
      <c r="E309" s="902">
        <f>'Journey distribution (ex Gold)'!D25/'Journey distribution (ex Gold)'!D$155</f>
        <v>0</v>
      </c>
      <c r="F309" s="902">
        <f>'Journey distribution (ex Gold)'!E25/'Journey distribution (ex Gold)'!E$155</f>
        <v>0</v>
      </c>
      <c r="G309" s="877">
        <f>'Journey distribution (ex Gold)'!F25/'Journey distribution (ex Gold)'!F$155</f>
        <v>2.6146271692476835E-2</v>
      </c>
      <c r="H309" s="660"/>
      <c r="I309" s="660"/>
      <c r="J309" s="660"/>
    </row>
    <row r="310" spans="1:10" x14ac:dyDescent="0.2">
      <c r="A310" s="660"/>
      <c r="B310" s="901">
        <v>22</v>
      </c>
      <c r="C310" s="902">
        <f>'Journey distribution (ex Gold)'!B26/'Journey distribution (ex Gold)'!B$155</f>
        <v>6.6252656544212932E-3</v>
      </c>
      <c r="D310" s="902">
        <f>'Journey distribution (ex Gold)'!C26/'Journey distribution (ex Gold)'!C$155</f>
        <v>4.9968877077055337E-4</v>
      </c>
      <c r="E310" s="902">
        <f>'Journey distribution (ex Gold)'!D26/'Journey distribution (ex Gold)'!D$155</f>
        <v>0</v>
      </c>
      <c r="F310" s="902">
        <f>'Journey distribution (ex Gold)'!E26/'Journey distribution (ex Gold)'!E$155</f>
        <v>0</v>
      </c>
      <c r="G310" s="877">
        <f>'Journey distribution (ex Gold)'!F26/'Journey distribution (ex Gold)'!F$155</f>
        <v>1.8952251016023929E-2</v>
      </c>
      <c r="H310" s="660"/>
      <c r="I310" s="660"/>
      <c r="J310" s="660"/>
    </row>
    <row r="311" spans="1:10" x14ac:dyDescent="0.2">
      <c r="A311" s="660"/>
      <c r="B311" s="901">
        <v>23</v>
      </c>
      <c r="C311" s="902">
        <f>'Journey distribution (ex Gold)'!B27/'Journey distribution (ex Gold)'!B$155</f>
        <v>5.7821798446762804E-3</v>
      </c>
      <c r="D311" s="902">
        <f>'Journey distribution (ex Gold)'!C27/'Journey distribution (ex Gold)'!C$155</f>
        <v>0</v>
      </c>
      <c r="E311" s="902">
        <f>'Journey distribution (ex Gold)'!D27/'Journey distribution (ex Gold)'!D$155</f>
        <v>0</v>
      </c>
      <c r="F311" s="902">
        <f>'Journey distribution (ex Gold)'!E27/'Journey distribution (ex Gold)'!E$155</f>
        <v>0</v>
      </c>
      <c r="G311" s="877">
        <f>'Journey distribution (ex Gold)'!F27/'Journey distribution (ex Gold)'!F$155</f>
        <v>2.3034590127543494E-2</v>
      </c>
      <c r="H311" s="660"/>
      <c r="I311" s="660"/>
      <c r="J311" s="660"/>
    </row>
    <row r="312" spans="1:10" x14ac:dyDescent="0.2">
      <c r="A312" s="660"/>
      <c r="B312" s="901">
        <v>24</v>
      </c>
      <c r="C312" s="902">
        <f>'Journey distribution (ex Gold)'!B28/'Journey distribution (ex Gold)'!B$155</f>
        <v>3.3545230816940156E-3</v>
      </c>
      <c r="D312" s="902">
        <f>'Journey distribution (ex Gold)'!C28/'Journey distribution (ex Gold)'!C$155</f>
        <v>1.6596180107639596E-5</v>
      </c>
      <c r="E312" s="902">
        <f>'Journey distribution (ex Gold)'!D28/'Journey distribution (ex Gold)'!D$155</f>
        <v>0</v>
      </c>
      <c r="F312" s="902">
        <f>'Journey distribution (ex Gold)'!E28/'Journey distribution (ex Gold)'!E$155</f>
        <v>0</v>
      </c>
      <c r="G312" s="877">
        <f>'Journey distribution (ex Gold)'!F28/'Journey distribution (ex Gold)'!F$155</f>
        <v>1.8532477485148743E-2</v>
      </c>
      <c r="H312" s="660"/>
      <c r="I312" s="660"/>
      <c r="J312" s="660"/>
    </row>
    <row r="313" spans="1:10" x14ac:dyDescent="0.2">
      <c r="A313" s="660"/>
      <c r="B313" s="901">
        <v>25</v>
      </c>
      <c r="C313" s="902">
        <f>'Journey distribution (ex Gold)'!B29/'Journey distribution (ex Gold)'!B$155</f>
        <v>1.7640776161947651E-3</v>
      </c>
      <c r="D313" s="902">
        <f>'Journey distribution (ex Gold)'!C29/'Journey distribution (ex Gold)'!C$155</f>
        <v>7.1954192104570921E-5</v>
      </c>
      <c r="E313" s="902">
        <f>'Journey distribution (ex Gold)'!D29/'Journey distribution (ex Gold)'!D$155</f>
        <v>0</v>
      </c>
      <c r="F313" s="902">
        <f>'Journey distribution (ex Gold)'!E29/'Journey distribution (ex Gold)'!E$155</f>
        <v>0</v>
      </c>
      <c r="G313" s="877">
        <f>'Journey distribution (ex Gold)'!F29/'Journey distribution (ex Gold)'!F$155</f>
        <v>1.7017007715985241E-2</v>
      </c>
      <c r="H313" s="660"/>
      <c r="I313" s="660"/>
      <c r="J313" s="660"/>
    </row>
    <row r="314" spans="1:10" x14ac:dyDescent="0.2">
      <c r="A314" s="660"/>
      <c r="B314" s="901">
        <v>26</v>
      </c>
      <c r="C314" s="902">
        <f>'Journey distribution (ex Gold)'!B30/'Journey distribution (ex Gold)'!B$155</f>
        <v>1.590195262732348E-3</v>
      </c>
      <c r="D314" s="902">
        <f>'Journey distribution (ex Gold)'!C30/'Journey distribution (ex Gold)'!C$155</f>
        <v>0</v>
      </c>
      <c r="E314" s="902">
        <f>'Journey distribution (ex Gold)'!D30/'Journey distribution (ex Gold)'!D$155</f>
        <v>0</v>
      </c>
      <c r="F314" s="902">
        <f>'Journey distribution (ex Gold)'!E30/'Journey distribution (ex Gold)'!E$155</f>
        <v>0</v>
      </c>
      <c r="G314" s="877">
        <f>'Journey distribution (ex Gold)'!F30/'Journey distribution (ex Gold)'!F$155</f>
        <v>2.6185153340933316E-2</v>
      </c>
      <c r="H314" s="660"/>
      <c r="I314" s="660"/>
      <c r="J314" s="660"/>
    </row>
    <row r="315" spans="1:10" x14ac:dyDescent="0.2">
      <c r="A315" s="660"/>
      <c r="B315" s="901">
        <v>27</v>
      </c>
      <c r="C315" s="902">
        <f>'Journey distribution (ex Gold)'!B31/'Journey distribution (ex Gold)'!B$155</f>
        <v>1.6011910575939815E-3</v>
      </c>
      <c r="D315" s="902">
        <f>'Journey distribution (ex Gold)'!C31/'Journey distribution (ex Gold)'!C$155</f>
        <v>0</v>
      </c>
      <c r="E315" s="902">
        <f>'Journey distribution (ex Gold)'!D31/'Journey distribution (ex Gold)'!D$155</f>
        <v>0</v>
      </c>
      <c r="F315" s="902">
        <f>'Journey distribution (ex Gold)'!E31/'Journey distribution (ex Gold)'!E$155</f>
        <v>0</v>
      </c>
      <c r="G315" s="877">
        <f>'Journey distribution (ex Gold)'!F31/'Journey distribution (ex Gold)'!F$155</f>
        <v>1.206505827201039E-2</v>
      </c>
      <c r="H315" s="660"/>
      <c r="I315" s="660"/>
      <c r="J315" s="660"/>
    </row>
    <row r="316" spans="1:10" x14ac:dyDescent="0.2">
      <c r="A316" s="660"/>
      <c r="B316" s="901">
        <v>28</v>
      </c>
      <c r="C316" s="902">
        <f>'Journey distribution (ex Gold)'!B32/'Journey distribution (ex Gold)'!B$155</f>
        <v>2.3338670077003277E-3</v>
      </c>
      <c r="D316" s="902">
        <f>'Journey distribution (ex Gold)'!C32/'Journey distribution (ex Gold)'!C$155</f>
        <v>0</v>
      </c>
      <c r="E316" s="902">
        <f>'Journey distribution (ex Gold)'!D32/'Journey distribution (ex Gold)'!D$155</f>
        <v>0</v>
      </c>
      <c r="F316" s="902">
        <f>'Journey distribution (ex Gold)'!E32/'Journey distribution (ex Gold)'!E$155</f>
        <v>0</v>
      </c>
      <c r="G316" s="877">
        <f>'Journey distribution (ex Gold)'!F32/'Journey distribution (ex Gold)'!F$155</f>
        <v>1.3997531347048023E-2</v>
      </c>
      <c r="H316" s="660"/>
      <c r="I316" s="660"/>
      <c r="J316" s="660"/>
    </row>
    <row r="317" spans="1:10" x14ac:dyDescent="0.2">
      <c r="A317" s="660"/>
      <c r="B317" s="901">
        <v>29</v>
      </c>
      <c r="C317" s="902">
        <f>'Journey distribution (ex Gold)'!B33/'Journey distribution (ex Gold)'!B$155</f>
        <v>1.4909485707953198E-3</v>
      </c>
      <c r="D317" s="902">
        <f>'Journey distribution (ex Gold)'!C33/'Journey distribution (ex Gold)'!C$155</f>
        <v>0</v>
      </c>
      <c r="E317" s="902">
        <f>'Journey distribution (ex Gold)'!D33/'Journey distribution (ex Gold)'!D$155</f>
        <v>0</v>
      </c>
      <c r="F317" s="902">
        <f>'Journey distribution (ex Gold)'!E33/'Journey distribution (ex Gold)'!E$155</f>
        <v>0</v>
      </c>
      <c r="G317" s="877">
        <f>'Journey distribution (ex Gold)'!F33/'Journey distribution (ex Gold)'!F$155</f>
        <v>1.3294225507905702E-2</v>
      </c>
      <c r="H317" s="660"/>
      <c r="I317" s="660"/>
      <c r="J317" s="660"/>
    </row>
    <row r="318" spans="1:10" x14ac:dyDescent="0.2">
      <c r="A318" s="660"/>
      <c r="B318" s="901">
        <v>30</v>
      </c>
      <c r="C318" s="902">
        <f>'Journey distribution (ex Gold)'!B34/'Journey distribution (ex Gold)'!B$155</f>
        <v>2.2660624266687421E-3</v>
      </c>
      <c r="D318" s="902">
        <f>'Journey distribution (ex Gold)'!C34/'Journey distribution (ex Gold)'!C$155</f>
        <v>0</v>
      </c>
      <c r="E318" s="902">
        <f>'Journey distribution (ex Gold)'!D34/'Journey distribution (ex Gold)'!D$155</f>
        <v>0</v>
      </c>
      <c r="F318" s="902">
        <f>'Journey distribution (ex Gold)'!E34/'Journey distribution (ex Gold)'!E$155</f>
        <v>0</v>
      </c>
      <c r="G318" s="877">
        <f>'Journey distribution (ex Gold)'!F34/'Journey distribution (ex Gold)'!F$155</f>
        <v>9.4398601334874134E-3</v>
      </c>
      <c r="H318" s="660"/>
      <c r="I318" s="660"/>
      <c r="J318" s="660"/>
    </row>
    <row r="319" spans="1:10" x14ac:dyDescent="0.2">
      <c r="A319" s="660"/>
      <c r="B319" s="901">
        <v>31</v>
      </c>
      <c r="C319" s="902">
        <f>'Journey distribution (ex Gold)'!B35/'Journey distribution (ex Gold)'!B$155</f>
        <v>1.1719506608082522E-3</v>
      </c>
      <c r="D319" s="902">
        <f>'Journey distribution (ex Gold)'!C35/'Journey distribution (ex Gold)'!C$155</f>
        <v>0</v>
      </c>
      <c r="E319" s="902">
        <f>'Journey distribution (ex Gold)'!D35/'Journey distribution (ex Gold)'!D$155</f>
        <v>0</v>
      </c>
      <c r="F319" s="902">
        <f>'Journey distribution (ex Gold)'!E35/'Journey distribution (ex Gold)'!E$155</f>
        <v>0</v>
      </c>
      <c r="G319" s="877">
        <f>'Journey distribution (ex Gold)'!F35/'Journey distribution (ex Gold)'!F$155</f>
        <v>1.3728043478373326E-2</v>
      </c>
      <c r="H319" s="660"/>
      <c r="I319" s="660"/>
      <c r="J319" s="660"/>
    </row>
    <row r="320" spans="1:10" x14ac:dyDescent="0.2">
      <c r="A320" s="660"/>
      <c r="B320" s="901">
        <v>32</v>
      </c>
      <c r="C320" s="902">
        <f>'Journey distribution (ex Gold)'!B36/'Journey distribution (ex Gold)'!B$155</f>
        <v>1.1303808379409276E-3</v>
      </c>
      <c r="D320" s="902">
        <f>'Journey distribution (ex Gold)'!C36/'Journey distribution (ex Gold)'!C$155</f>
        <v>0</v>
      </c>
      <c r="E320" s="902">
        <f>'Journey distribution (ex Gold)'!D36/'Journey distribution (ex Gold)'!D$155</f>
        <v>0</v>
      </c>
      <c r="F320" s="902">
        <f>'Journey distribution (ex Gold)'!E36/'Journey distribution (ex Gold)'!E$155</f>
        <v>0</v>
      </c>
      <c r="G320" s="877">
        <f>'Journey distribution (ex Gold)'!F36/'Journey distribution (ex Gold)'!F$155</f>
        <v>1.1184643181274495E-2</v>
      </c>
      <c r="H320" s="660"/>
      <c r="I320" s="660"/>
      <c r="J320" s="660"/>
    </row>
    <row r="321" spans="1:10" x14ac:dyDescent="0.2">
      <c r="A321" s="660"/>
      <c r="B321" s="901">
        <v>33</v>
      </c>
      <c r="C321" s="902">
        <f>'Journey distribution (ex Gold)'!B37/'Journey distribution (ex Gold)'!B$155</f>
        <v>2.3155772609352845E-4</v>
      </c>
      <c r="D321" s="902">
        <f>'Journey distribution (ex Gold)'!C37/'Journey distribution (ex Gold)'!C$155</f>
        <v>0</v>
      </c>
      <c r="E321" s="902">
        <f>'Journey distribution (ex Gold)'!D37/'Journey distribution (ex Gold)'!D$155</f>
        <v>0</v>
      </c>
      <c r="F321" s="902">
        <f>'Journey distribution (ex Gold)'!E37/'Journey distribution (ex Gold)'!E$155</f>
        <v>0</v>
      </c>
      <c r="G321" s="877">
        <f>'Journey distribution (ex Gold)'!F37/'Journey distribution (ex Gold)'!F$155</f>
        <v>1.0111813949224233E-2</v>
      </c>
      <c r="H321" s="660"/>
      <c r="I321" s="660"/>
      <c r="J321" s="660"/>
    </row>
    <row r="322" spans="1:10" x14ac:dyDescent="0.2">
      <c r="A322" s="660"/>
      <c r="B322" s="901">
        <v>34</v>
      </c>
      <c r="C322" s="902">
        <f>'Journey distribution (ex Gold)'!B38/'Journey distribution (ex Gold)'!B$155</f>
        <v>1.4170280264423033E-4</v>
      </c>
      <c r="D322" s="902">
        <f>'Journey distribution (ex Gold)'!C38/'Journey distribution (ex Gold)'!C$155</f>
        <v>0</v>
      </c>
      <c r="E322" s="902">
        <f>'Journey distribution (ex Gold)'!D38/'Journey distribution (ex Gold)'!D$155</f>
        <v>0</v>
      </c>
      <c r="F322" s="902">
        <f>'Journey distribution (ex Gold)'!E38/'Journey distribution (ex Gold)'!E$155</f>
        <v>0</v>
      </c>
      <c r="G322" s="877">
        <f>'Journey distribution (ex Gold)'!F38/'Journey distribution (ex Gold)'!F$155</f>
        <v>9.1805859231255116E-3</v>
      </c>
      <c r="H322" s="660"/>
      <c r="I322" s="660"/>
      <c r="J322" s="660"/>
    </row>
    <row r="323" spans="1:10" x14ac:dyDescent="0.2">
      <c r="A323" s="660"/>
      <c r="B323" s="901">
        <v>35</v>
      </c>
      <c r="C323" s="902">
        <f>'Journey distribution (ex Gold)'!B39/'Journey distribution (ex Gold)'!B$155</f>
        <v>6.4135421742722405E-5</v>
      </c>
      <c r="D323" s="902">
        <f>'Journey distribution (ex Gold)'!C39/'Journey distribution (ex Gold)'!C$155</f>
        <v>0</v>
      </c>
      <c r="E323" s="902">
        <f>'Journey distribution (ex Gold)'!D39/'Journey distribution (ex Gold)'!D$155</f>
        <v>0</v>
      </c>
      <c r="F323" s="902">
        <f>'Journey distribution (ex Gold)'!E39/'Journey distribution (ex Gold)'!E$155</f>
        <v>0</v>
      </c>
      <c r="G323" s="877">
        <f>'Journey distribution (ex Gold)'!F39/'Journey distribution (ex Gold)'!F$155</f>
        <v>8.0700995553853686E-3</v>
      </c>
      <c r="H323" s="660"/>
      <c r="I323" s="660"/>
      <c r="J323" s="660"/>
    </row>
    <row r="324" spans="1:10" x14ac:dyDescent="0.2">
      <c r="A324" s="660"/>
      <c r="B324" s="901">
        <v>36</v>
      </c>
      <c r="C324" s="902">
        <f>'Journey distribution (ex Gold)'!B40/'Journey distribution (ex Gold)'!B$155</f>
        <v>5.5379821000159322E-5</v>
      </c>
      <c r="D324" s="902">
        <f>'Journey distribution (ex Gold)'!C40/'Journey distribution (ex Gold)'!C$155</f>
        <v>0</v>
      </c>
      <c r="E324" s="902">
        <f>'Journey distribution (ex Gold)'!D40/'Journey distribution (ex Gold)'!D$155</f>
        <v>0</v>
      </c>
      <c r="F324" s="902">
        <f>'Journey distribution (ex Gold)'!E40/'Journey distribution (ex Gold)'!E$155</f>
        <v>0</v>
      </c>
      <c r="G324" s="877">
        <f>'Journey distribution (ex Gold)'!F40/'Journey distribution (ex Gold)'!F$155</f>
        <v>8.56435953008392E-3</v>
      </c>
      <c r="H324" s="660"/>
      <c r="I324" s="660"/>
      <c r="J324" s="660"/>
    </row>
    <row r="325" spans="1:10" x14ac:dyDescent="0.2">
      <c r="A325" s="660"/>
      <c r="B325" s="901">
        <v>37</v>
      </c>
      <c r="C325" s="902">
        <f>'Journey distribution (ex Gold)'!B41/'Journey distribution (ex Gold)'!B$155</f>
        <v>1.0583880851807252E-4</v>
      </c>
      <c r="D325" s="902">
        <f>'Journey distribution (ex Gold)'!C41/'Journey distribution (ex Gold)'!C$155</f>
        <v>0</v>
      </c>
      <c r="E325" s="902">
        <f>'Journey distribution (ex Gold)'!D41/'Journey distribution (ex Gold)'!D$155</f>
        <v>0</v>
      </c>
      <c r="F325" s="902">
        <f>'Journey distribution (ex Gold)'!E41/'Journey distribution (ex Gold)'!E$155</f>
        <v>0</v>
      </c>
      <c r="G325" s="877">
        <f>'Journey distribution (ex Gold)'!F41/'Journey distribution (ex Gold)'!F$155</f>
        <v>3.4519491658160724E-3</v>
      </c>
      <c r="H325" s="660"/>
      <c r="I325" s="660"/>
      <c r="J325" s="660"/>
    </row>
    <row r="326" spans="1:10" x14ac:dyDescent="0.2">
      <c r="A326" s="660"/>
      <c r="B326" s="901">
        <v>38</v>
      </c>
      <c r="C326" s="902">
        <f>'Journey distribution (ex Gold)'!B42/'Journey distribution (ex Gold)'!B$155</f>
        <v>2.9119083950267607E-4</v>
      </c>
      <c r="D326" s="902">
        <f>'Journey distribution (ex Gold)'!C42/'Journey distribution (ex Gold)'!C$155</f>
        <v>0</v>
      </c>
      <c r="E326" s="902">
        <f>'Journey distribution (ex Gold)'!D42/'Journey distribution (ex Gold)'!D$155</f>
        <v>0</v>
      </c>
      <c r="F326" s="902">
        <f>'Journey distribution (ex Gold)'!E42/'Journey distribution (ex Gold)'!E$155</f>
        <v>0</v>
      </c>
      <c r="G326" s="877">
        <f>'Journey distribution (ex Gold)'!F42/'Journey distribution (ex Gold)'!F$155</f>
        <v>1.0145512265981552E-2</v>
      </c>
      <c r="H326" s="660"/>
      <c r="I326" s="660"/>
      <c r="J326" s="660"/>
    </row>
    <row r="327" spans="1:10" x14ac:dyDescent="0.2">
      <c r="A327" s="660"/>
      <c r="B327" s="901">
        <v>39</v>
      </c>
      <c r="C327" s="902">
        <f>'Journey distribution (ex Gold)'!B43/'Journey distribution (ex Gold)'!B$155</f>
        <v>6.1845907408925006E-5</v>
      </c>
      <c r="D327" s="902">
        <f>'Journey distribution (ex Gold)'!C43/'Journey distribution (ex Gold)'!C$155</f>
        <v>0</v>
      </c>
      <c r="E327" s="902">
        <f>'Journey distribution (ex Gold)'!D43/'Journey distribution (ex Gold)'!D$155</f>
        <v>0</v>
      </c>
      <c r="F327" s="902">
        <f>'Journey distribution (ex Gold)'!E43/'Journey distribution (ex Gold)'!E$155</f>
        <v>0</v>
      </c>
      <c r="G327" s="877">
        <f>'Journey distribution (ex Gold)'!F43/'Journey distribution (ex Gold)'!F$155</f>
        <v>3.9267696644449731E-3</v>
      </c>
      <c r="H327" s="660"/>
      <c r="I327" s="660"/>
      <c r="J327" s="660"/>
    </row>
    <row r="328" spans="1:10" x14ac:dyDescent="0.2">
      <c r="A328" s="660"/>
      <c r="B328" s="901">
        <v>40</v>
      </c>
      <c r="C328" s="902">
        <f>'Journey distribution (ex Gold)'!B44/'Journey distribution (ex Gold)'!B$155</f>
        <v>8.762749541281283E-5</v>
      </c>
      <c r="D328" s="902">
        <f>'Journey distribution (ex Gold)'!C44/'Journey distribution (ex Gold)'!C$155</f>
        <v>0</v>
      </c>
      <c r="E328" s="902">
        <f>'Journey distribution (ex Gold)'!D44/'Journey distribution (ex Gold)'!D$155</f>
        <v>0</v>
      </c>
      <c r="F328" s="902">
        <f>'Journey distribution (ex Gold)'!E44/'Journey distribution (ex Gold)'!E$155</f>
        <v>0</v>
      </c>
      <c r="G328" s="877">
        <f>'Journey distribution (ex Gold)'!F44/'Journey distribution (ex Gold)'!F$155</f>
        <v>5.5754845321244915E-3</v>
      </c>
      <c r="H328" s="660"/>
      <c r="I328" s="660"/>
      <c r="J328" s="660"/>
    </row>
    <row r="329" spans="1:10" x14ac:dyDescent="0.2">
      <c r="A329" s="660"/>
      <c r="B329" s="901">
        <v>41</v>
      </c>
      <c r="C329" s="902">
        <f>'Journey distribution (ex Gold)'!B45/'Journey distribution (ex Gold)'!B$155</f>
        <v>4.13028600561017E-5</v>
      </c>
      <c r="D329" s="902">
        <f>'Journey distribution (ex Gold)'!C45/'Journey distribution (ex Gold)'!C$155</f>
        <v>0</v>
      </c>
      <c r="E329" s="902">
        <f>'Journey distribution (ex Gold)'!D45/'Journey distribution (ex Gold)'!D$155</f>
        <v>0</v>
      </c>
      <c r="F329" s="902">
        <f>'Journey distribution (ex Gold)'!E45/'Journey distribution (ex Gold)'!E$155</f>
        <v>0</v>
      </c>
      <c r="G329" s="877">
        <f>'Journey distribution (ex Gold)'!F45/'Journey distribution (ex Gold)'!F$155</f>
        <v>4.2765977826649693E-3</v>
      </c>
      <c r="H329" s="660"/>
      <c r="I329" s="660"/>
      <c r="J329" s="660"/>
    </row>
    <row r="330" spans="1:10" x14ac:dyDescent="0.2">
      <c r="A330" s="660"/>
      <c r="B330" s="901">
        <v>42</v>
      </c>
      <c r="C330" s="902">
        <f>'Journey distribution (ex Gold)'!B46/'Journey distribution (ex Gold)'!B$155</f>
        <v>3.2859610297008702E-5</v>
      </c>
      <c r="D330" s="902">
        <f>'Journey distribution (ex Gold)'!C46/'Journey distribution (ex Gold)'!C$155</f>
        <v>0</v>
      </c>
      <c r="E330" s="902">
        <f>'Journey distribution (ex Gold)'!D46/'Journey distribution (ex Gold)'!D$155</f>
        <v>0</v>
      </c>
      <c r="F330" s="902">
        <f>'Journey distribution (ex Gold)'!E46/'Journey distribution (ex Gold)'!E$155</f>
        <v>0</v>
      </c>
      <c r="G330" s="877">
        <f>'Journey distribution (ex Gold)'!F46/'Journey distribution (ex Gold)'!F$155</f>
        <v>2.6501456649534617E-3</v>
      </c>
      <c r="H330" s="660"/>
      <c r="I330" s="660"/>
      <c r="J330" s="660"/>
    </row>
    <row r="331" spans="1:10" x14ac:dyDescent="0.2">
      <c r="A331" s="660"/>
      <c r="B331" s="901">
        <v>43</v>
      </c>
      <c r="C331" s="902">
        <f>'Journey distribution (ex Gold)'!B47/'Journey distribution (ex Gold)'!B$155</f>
        <v>2.5665888310306317E-5</v>
      </c>
      <c r="D331" s="902">
        <f>'Journey distribution (ex Gold)'!C47/'Journey distribution (ex Gold)'!C$155</f>
        <v>0</v>
      </c>
      <c r="E331" s="902">
        <f>'Journey distribution (ex Gold)'!D47/'Journey distribution (ex Gold)'!D$155</f>
        <v>0</v>
      </c>
      <c r="F331" s="902">
        <f>'Journey distribution (ex Gold)'!E47/'Journey distribution (ex Gold)'!E$155</f>
        <v>0</v>
      </c>
      <c r="G331" s="877">
        <f>'Journey distribution (ex Gold)'!F47/'Journey distribution (ex Gold)'!F$155</f>
        <v>5.4302016188414789E-3</v>
      </c>
      <c r="H331" s="660"/>
      <c r="I331" s="660"/>
      <c r="J331" s="660"/>
    </row>
    <row r="332" spans="1:10" x14ac:dyDescent="0.2">
      <c r="A332" s="660"/>
      <c r="B332" s="901">
        <v>44</v>
      </c>
      <c r="C332" s="902">
        <f>'Journey distribution (ex Gold)'!B48/'Journey distribution (ex Gold)'!B$155</f>
        <v>2.2202255857311685E-5</v>
      </c>
      <c r="D332" s="902">
        <f>'Journey distribution (ex Gold)'!C48/'Journey distribution (ex Gold)'!C$155</f>
        <v>0</v>
      </c>
      <c r="E332" s="902">
        <f>'Journey distribution (ex Gold)'!D48/'Journey distribution (ex Gold)'!D$155</f>
        <v>0</v>
      </c>
      <c r="F332" s="902">
        <f>'Journey distribution (ex Gold)'!E48/'Journey distribution (ex Gold)'!E$155</f>
        <v>0</v>
      </c>
      <c r="G332" s="877">
        <f>'Journey distribution (ex Gold)'!F48/'Journey distribution (ex Gold)'!F$155</f>
        <v>4.3173496285589356E-3</v>
      </c>
      <c r="H332" s="660"/>
      <c r="I332" s="660"/>
      <c r="J332" s="660"/>
    </row>
    <row r="333" spans="1:10" x14ac:dyDescent="0.2">
      <c r="A333" s="660"/>
      <c r="B333" s="901">
        <v>45</v>
      </c>
      <c r="C333" s="902">
        <f>'Journey distribution (ex Gold)'!B49/'Journey distribution (ex Gold)'!B$155</f>
        <v>1.4731054822923907E-5</v>
      </c>
      <c r="D333" s="902">
        <f>'Journey distribution (ex Gold)'!C49/'Journey distribution (ex Gold)'!C$155</f>
        <v>0</v>
      </c>
      <c r="E333" s="902">
        <f>'Journey distribution (ex Gold)'!D49/'Journey distribution (ex Gold)'!D$155</f>
        <v>0</v>
      </c>
      <c r="F333" s="902">
        <f>'Journey distribution (ex Gold)'!E49/'Journey distribution (ex Gold)'!E$155</f>
        <v>0</v>
      </c>
      <c r="G333" s="877">
        <f>'Journey distribution (ex Gold)'!F49/'Journey distribution (ex Gold)'!F$155</f>
        <v>4.1453260804830147E-3</v>
      </c>
      <c r="H333" s="660"/>
      <c r="I333" s="660"/>
      <c r="J333" s="660"/>
    </row>
    <row r="334" spans="1:10" x14ac:dyDescent="0.2">
      <c r="A334" s="660"/>
      <c r="B334" s="901">
        <v>46</v>
      </c>
      <c r="C334" s="902">
        <f>'Journey distribution (ex Gold)'!B50/'Journey distribution (ex Gold)'!B$155</f>
        <v>1.407876697892544E-5</v>
      </c>
      <c r="D334" s="902">
        <f>'Journey distribution (ex Gold)'!C50/'Journey distribution (ex Gold)'!C$155</f>
        <v>0</v>
      </c>
      <c r="E334" s="902">
        <f>'Journey distribution (ex Gold)'!D50/'Journey distribution (ex Gold)'!D$155</f>
        <v>0</v>
      </c>
      <c r="F334" s="902">
        <f>'Journey distribution (ex Gold)'!E50/'Journey distribution (ex Gold)'!E$155</f>
        <v>0</v>
      </c>
      <c r="G334" s="877">
        <f>'Journey distribution (ex Gold)'!F50/'Journey distribution (ex Gold)'!F$155</f>
        <v>3.2460335740479504E-3</v>
      </c>
      <c r="H334" s="660"/>
      <c r="I334" s="660"/>
      <c r="J334" s="660"/>
    </row>
    <row r="335" spans="1:10" x14ac:dyDescent="0.2">
      <c r="A335" s="660"/>
      <c r="B335" s="901">
        <v>47</v>
      </c>
      <c r="C335" s="902">
        <f>'Journey distribution (ex Gold)'!B51/'Journey distribution (ex Gold)'!B$155</f>
        <v>7.3848313334772498E-6</v>
      </c>
      <c r="D335" s="902">
        <f>'Journey distribution (ex Gold)'!C51/'Journey distribution (ex Gold)'!C$155</f>
        <v>0</v>
      </c>
      <c r="E335" s="902">
        <f>'Journey distribution (ex Gold)'!D51/'Journey distribution (ex Gold)'!D$155</f>
        <v>0</v>
      </c>
      <c r="F335" s="902">
        <f>'Journey distribution (ex Gold)'!E51/'Journey distribution (ex Gold)'!E$155</f>
        <v>0</v>
      </c>
      <c r="G335" s="877">
        <f>'Journey distribution (ex Gold)'!F51/'Journey distribution (ex Gold)'!F$155</f>
        <v>5.4646859971195817E-3</v>
      </c>
      <c r="H335" s="660"/>
      <c r="I335" s="660"/>
      <c r="J335" s="660"/>
    </row>
    <row r="336" spans="1:10" x14ac:dyDescent="0.2">
      <c r="A336" s="660"/>
      <c r="B336" s="901">
        <v>48</v>
      </c>
      <c r="C336" s="902">
        <f>'Journey distribution (ex Gold)'!B52/'Journey distribution (ex Gold)'!B$155</f>
        <v>7.2947876435759606E-6</v>
      </c>
      <c r="D336" s="902">
        <f>'Journey distribution (ex Gold)'!C52/'Journey distribution (ex Gold)'!C$155</f>
        <v>0</v>
      </c>
      <c r="E336" s="902">
        <f>'Journey distribution (ex Gold)'!D52/'Journey distribution (ex Gold)'!D$155</f>
        <v>0</v>
      </c>
      <c r="F336" s="902">
        <f>'Journey distribution (ex Gold)'!E52/'Journey distribution (ex Gold)'!E$155</f>
        <v>0</v>
      </c>
      <c r="G336" s="877">
        <f>'Journey distribution (ex Gold)'!F52/'Journey distribution (ex Gold)'!F$155</f>
        <v>1.2613094360131348E-3</v>
      </c>
      <c r="H336" s="660"/>
      <c r="I336" s="660"/>
      <c r="J336" s="660"/>
    </row>
    <row r="337" spans="1:10" x14ac:dyDescent="0.2">
      <c r="A337" s="660"/>
      <c r="B337" s="901">
        <v>49</v>
      </c>
      <c r="C337" s="902">
        <f>'Journey distribution (ex Gold)'!B53/'Journey distribution (ex Gold)'!B$155</f>
        <v>5.8652344106379093E-6</v>
      </c>
      <c r="D337" s="902">
        <f>'Journey distribution (ex Gold)'!C53/'Journey distribution (ex Gold)'!C$155</f>
        <v>0</v>
      </c>
      <c r="E337" s="902">
        <f>'Journey distribution (ex Gold)'!D53/'Journey distribution (ex Gold)'!D$155</f>
        <v>0</v>
      </c>
      <c r="F337" s="902">
        <f>'Journey distribution (ex Gold)'!E53/'Journey distribution (ex Gold)'!E$155</f>
        <v>0</v>
      </c>
      <c r="G337" s="877">
        <f>'Journey distribution (ex Gold)'!F53/'Journey distribution (ex Gold)'!F$155</f>
        <v>5.5121957114104341E-3</v>
      </c>
      <c r="H337" s="660"/>
      <c r="I337" s="660"/>
      <c r="J337" s="660"/>
    </row>
    <row r="338" spans="1:10" x14ac:dyDescent="0.2">
      <c r="A338" s="660"/>
      <c r="B338" s="901">
        <v>50</v>
      </c>
      <c r="C338" s="902">
        <f>'Journey distribution (ex Gold)'!B54/'Journey distribution (ex Gold)'!B$155</f>
        <v>1.0675724384650839E-6</v>
      </c>
      <c r="D338" s="902">
        <f>'Journey distribution (ex Gold)'!C54/'Journey distribution (ex Gold)'!C$155</f>
        <v>0</v>
      </c>
      <c r="E338" s="902">
        <f>'Journey distribution (ex Gold)'!D54/'Journey distribution (ex Gold)'!D$155</f>
        <v>0</v>
      </c>
      <c r="F338" s="902">
        <f>'Journey distribution (ex Gold)'!E54/'Journey distribution (ex Gold)'!E$155</f>
        <v>0</v>
      </c>
      <c r="G338" s="877">
        <f>'Journey distribution (ex Gold)'!F54/'Journey distribution (ex Gold)'!F$155</f>
        <v>2.5989529780373511E-3</v>
      </c>
      <c r="H338" s="660"/>
      <c r="I338" s="660"/>
      <c r="J338" s="660"/>
    </row>
    <row r="339" spans="1:10" x14ac:dyDescent="0.2">
      <c r="A339" s="660"/>
      <c r="B339" s="901">
        <v>51</v>
      </c>
      <c r="C339" s="902">
        <f>'Journey distribution (ex Gold)'!B55/'Journey distribution (ex Gold)'!B$155</f>
        <v>2.3629941136126782E-6</v>
      </c>
      <c r="D339" s="902">
        <f>'Journey distribution (ex Gold)'!C55/'Journey distribution (ex Gold)'!C$155</f>
        <v>0</v>
      </c>
      <c r="E339" s="902">
        <f>'Journey distribution (ex Gold)'!D55/'Journey distribution (ex Gold)'!D$155</f>
        <v>0</v>
      </c>
      <c r="F339" s="902">
        <f>'Journey distribution (ex Gold)'!E55/'Journey distribution (ex Gold)'!E$155</f>
        <v>0</v>
      </c>
      <c r="G339" s="877">
        <f>'Journey distribution (ex Gold)'!F55/'Journey distribution (ex Gold)'!F$155</f>
        <v>6.8012521902356671E-4</v>
      </c>
      <c r="H339" s="660"/>
      <c r="I339" s="660"/>
      <c r="J339" s="660"/>
    </row>
    <row r="340" spans="1:10" x14ac:dyDescent="0.2">
      <c r="A340" s="660"/>
      <c r="B340" s="901">
        <v>52</v>
      </c>
      <c r="C340" s="902">
        <f>'Journey distribution (ex Gold)'!B56/'Journey distribution (ex Gold)'!B$155</f>
        <v>1.6280105576944503E-6</v>
      </c>
      <c r="D340" s="902">
        <f>'Journey distribution (ex Gold)'!C56/'Journey distribution (ex Gold)'!C$155</f>
        <v>0</v>
      </c>
      <c r="E340" s="902">
        <f>'Journey distribution (ex Gold)'!D56/'Journey distribution (ex Gold)'!D$155</f>
        <v>0</v>
      </c>
      <c r="F340" s="902">
        <f>'Journey distribution (ex Gold)'!E56/'Journey distribution (ex Gold)'!E$155</f>
        <v>0</v>
      </c>
      <c r="G340" s="877">
        <f>'Journey distribution (ex Gold)'!F56/'Journey distribution (ex Gold)'!F$155</f>
        <v>1.8918769612220653E-3</v>
      </c>
      <c r="H340" s="660"/>
      <c r="I340" s="660"/>
      <c r="J340" s="660"/>
    </row>
    <row r="341" spans="1:10" x14ac:dyDescent="0.2">
      <c r="A341" s="660"/>
      <c r="B341" s="901">
        <v>53</v>
      </c>
      <c r="C341" s="902">
        <f>'Journey distribution (ex Gold)'!B57/'Journey distribution (ex Gold)'!B$155</f>
        <v>1.7658161044756718E-6</v>
      </c>
      <c r="D341" s="902">
        <f>'Journey distribution (ex Gold)'!C57/'Journey distribution (ex Gold)'!C$155</f>
        <v>0</v>
      </c>
      <c r="E341" s="902">
        <f>'Journey distribution (ex Gold)'!D57/'Journey distribution (ex Gold)'!D$155</f>
        <v>0</v>
      </c>
      <c r="F341" s="902">
        <f>'Journey distribution (ex Gold)'!E57/'Journey distribution (ex Gold)'!E$155</f>
        <v>0</v>
      </c>
      <c r="G341" s="877">
        <f>'Journey distribution (ex Gold)'!F57/'Journey distribution (ex Gold)'!F$155</f>
        <v>1.2718250628058598E-3</v>
      </c>
      <c r="H341" s="660"/>
      <c r="I341" s="660"/>
      <c r="J341" s="660"/>
    </row>
    <row r="342" spans="1:10" x14ac:dyDescent="0.2">
      <c r="A342" s="660"/>
      <c r="B342" s="901">
        <v>54</v>
      </c>
      <c r="C342" s="902">
        <f>'Journey distribution (ex Gold)'!B58/'Journey distribution (ex Gold)'!B$155</f>
        <v>4.6304645134654913E-7</v>
      </c>
      <c r="D342" s="902">
        <f>'Journey distribution (ex Gold)'!C58/'Journey distribution (ex Gold)'!C$155</f>
        <v>0</v>
      </c>
      <c r="E342" s="902">
        <f>'Journey distribution (ex Gold)'!D58/'Journey distribution (ex Gold)'!D$155</f>
        <v>0</v>
      </c>
      <c r="F342" s="902">
        <f>'Journey distribution (ex Gold)'!E58/'Journey distribution (ex Gold)'!E$155</f>
        <v>0</v>
      </c>
      <c r="G342" s="877">
        <f>'Journey distribution (ex Gold)'!F58/'Journey distribution (ex Gold)'!F$155</f>
        <v>6.8187696053862443E-4</v>
      </c>
      <c r="H342" s="660"/>
      <c r="I342" s="660"/>
      <c r="J342" s="660"/>
    </row>
    <row r="343" spans="1:10" x14ac:dyDescent="0.2">
      <c r="A343" s="660"/>
      <c r="B343" s="901">
        <v>55</v>
      </c>
      <c r="C343" s="902">
        <f>'Journey distribution (ex Gold)'!B59/'Journey distribution (ex Gold)'!B$155</f>
        <v>1.0565504714927919E-6</v>
      </c>
      <c r="D343" s="902">
        <f>'Journey distribution (ex Gold)'!C59/'Journey distribution (ex Gold)'!C$155</f>
        <v>0</v>
      </c>
      <c r="E343" s="902">
        <f>'Journey distribution (ex Gold)'!D59/'Journey distribution (ex Gold)'!D$155</f>
        <v>0</v>
      </c>
      <c r="F343" s="902">
        <f>'Journey distribution (ex Gold)'!E59/'Journey distribution (ex Gold)'!E$155</f>
        <v>0</v>
      </c>
      <c r="G343" s="877">
        <f>'Journey distribution (ex Gold)'!F59/'Journey distribution (ex Gold)'!F$155</f>
        <v>2.9695688354477267E-3</v>
      </c>
      <c r="H343" s="660"/>
      <c r="I343" s="660"/>
      <c r="J343" s="660"/>
    </row>
    <row r="344" spans="1:10" x14ac:dyDescent="0.2">
      <c r="A344" s="660"/>
      <c r="B344" s="901">
        <v>56</v>
      </c>
      <c r="C344" s="902">
        <f>'Journey distribution (ex Gold)'!B60/'Journey distribution (ex Gold)'!B$155</f>
        <v>0</v>
      </c>
      <c r="D344" s="902">
        <f>'Journey distribution (ex Gold)'!C60/'Journey distribution (ex Gold)'!C$155</f>
        <v>0</v>
      </c>
      <c r="E344" s="902">
        <f>'Journey distribution (ex Gold)'!D60/'Journey distribution (ex Gold)'!D$155</f>
        <v>0</v>
      </c>
      <c r="F344" s="902">
        <f>'Journey distribution (ex Gold)'!E60/'Journey distribution (ex Gold)'!E$155</f>
        <v>0</v>
      </c>
      <c r="G344" s="877">
        <f>'Journey distribution (ex Gold)'!F60/'Journey distribution (ex Gold)'!F$155</f>
        <v>9.3729283004722122E-4</v>
      </c>
      <c r="H344" s="660"/>
      <c r="I344" s="660"/>
      <c r="J344" s="660"/>
    </row>
    <row r="345" spans="1:10" x14ac:dyDescent="0.2">
      <c r="A345" s="660"/>
      <c r="B345" s="901">
        <v>57</v>
      </c>
      <c r="C345" s="902">
        <f>'Journey distribution (ex Gold)'!B61/'Journey distribution (ex Gold)'!B$155</f>
        <v>0</v>
      </c>
      <c r="D345" s="902">
        <f>'Journey distribution (ex Gold)'!C61/'Journey distribution (ex Gold)'!C$155</f>
        <v>0</v>
      </c>
      <c r="E345" s="902">
        <f>'Journey distribution (ex Gold)'!D61/'Journey distribution (ex Gold)'!D$155</f>
        <v>0</v>
      </c>
      <c r="F345" s="902">
        <f>'Journey distribution (ex Gold)'!E61/'Journey distribution (ex Gold)'!E$155</f>
        <v>0</v>
      </c>
      <c r="G345" s="877">
        <f>'Journey distribution (ex Gold)'!F61/'Journey distribution (ex Gold)'!F$155</f>
        <v>8.8714347114483231E-4</v>
      </c>
      <c r="H345" s="660"/>
      <c r="I345" s="660"/>
      <c r="J345" s="660"/>
    </row>
    <row r="346" spans="1:10" x14ac:dyDescent="0.2">
      <c r="A346" s="660"/>
      <c r="B346" s="901">
        <v>58</v>
      </c>
      <c r="C346" s="902">
        <f>'Journey distribution (ex Gold)'!B62/'Journey distribution (ex Gold)'!B$155</f>
        <v>3.4728483850991193E-7</v>
      </c>
      <c r="D346" s="902">
        <f>'Journey distribution (ex Gold)'!C62/'Journey distribution (ex Gold)'!C$155</f>
        <v>0</v>
      </c>
      <c r="E346" s="902">
        <f>'Journey distribution (ex Gold)'!D62/'Journey distribution (ex Gold)'!D$155</f>
        <v>0</v>
      </c>
      <c r="F346" s="902">
        <f>'Journey distribution (ex Gold)'!E62/'Journey distribution (ex Gold)'!E$155</f>
        <v>0</v>
      </c>
      <c r="G346" s="877">
        <f>'Journey distribution (ex Gold)'!F62/'Journey distribution (ex Gold)'!F$155</f>
        <v>3.1346420411345484E-3</v>
      </c>
      <c r="H346" s="660"/>
      <c r="I346" s="660"/>
      <c r="J346" s="660"/>
    </row>
    <row r="347" spans="1:10" x14ac:dyDescent="0.2">
      <c r="A347" s="660"/>
      <c r="B347" s="901">
        <v>59</v>
      </c>
      <c r="C347" s="902">
        <f>'Journey distribution (ex Gold)'!B63/'Journey distribution (ex Gold)'!B$155</f>
        <v>0</v>
      </c>
      <c r="D347" s="902">
        <f>'Journey distribution (ex Gold)'!C63/'Journey distribution (ex Gold)'!C$155</f>
        <v>0</v>
      </c>
      <c r="E347" s="902">
        <f>'Journey distribution (ex Gold)'!D63/'Journey distribution (ex Gold)'!D$155</f>
        <v>0</v>
      </c>
      <c r="F347" s="902">
        <f>'Journey distribution (ex Gold)'!E63/'Journey distribution (ex Gold)'!E$155</f>
        <v>0</v>
      </c>
      <c r="G347" s="877">
        <f>'Journey distribution (ex Gold)'!F63/'Journey distribution (ex Gold)'!F$155</f>
        <v>4.7102257115253052E-4</v>
      </c>
      <c r="H347" s="660"/>
      <c r="I347" s="660"/>
      <c r="J347" s="660"/>
    </row>
    <row r="348" spans="1:10" x14ac:dyDescent="0.2">
      <c r="A348" s="660"/>
      <c r="B348" s="901">
        <v>60</v>
      </c>
      <c r="C348" s="902">
        <f>'Journey distribution (ex Gold)'!B64/'Journey distribution (ex Gold)'!B$155</f>
        <v>0</v>
      </c>
      <c r="D348" s="902">
        <f>'Journey distribution (ex Gold)'!C64/'Journey distribution (ex Gold)'!C$155</f>
        <v>0</v>
      </c>
      <c r="E348" s="902">
        <f>'Journey distribution (ex Gold)'!D64/'Journey distribution (ex Gold)'!D$155</f>
        <v>0</v>
      </c>
      <c r="F348" s="902">
        <f>'Journey distribution (ex Gold)'!E64/'Journey distribution (ex Gold)'!E$155</f>
        <v>0</v>
      </c>
      <c r="G348" s="877">
        <f>'Journey distribution (ex Gold)'!F64/'Journey distribution (ex Gold)'!F$155</f>
        <v>1.337952444917741E-3</v>
      </c>
      <c r="H348" s="660"/>
      <c r="I348" s="660"/>
      <c r="J348" s="660"/>
    </row>
    <row r="349" spans="1:10" x14ac:dyDescent="0.2">
      <c r="A349" s="660"/>
      <c r="B349" s="901">
        <v>61</v>
      </c>
      <c r="C349" s="902">
        <f>'Journey distribution (ex Gold)'!B65/'Journey distribution (ex Gold)'!B$155</f>
        <v>1.1943560182740134E-7</v>
      </c>
      <c r="D349" s="902">
        <f>'Journey distribution (ex Gold)'!C65/'Journey distribution (ex Gold)'!C$155</f>
        <v>0</v>
      </c>
      <c r="E349" s="902">
        <f>'Journey distribution (ex Gold)'!D65/'Journey distribution (ex Gold)'!D$155</f>
        <v>0</v>
      </c>
      <c r="F349" s="902">
        <f>'Journey distribution (ex Gold)'!E65/'Journey distribution (ex Gold)'!E$155</f>
        <v>0</v>
      </c>
      <c r="G349" s="877">
        <f>'Journey distribution (ex Gold)'!F65/'Journey distribution (ex Gold)'!F$155</f>
        <v>1.585623145891224E-3</v>
      </c>
      <c r="H349" s="660"/>
      <c r="I349" s="660"/>
      <c r="J349" s="660"/>
    </row>
    <row r="350" spans="1:10" x14ac:dyDescent="0.2">
      <c r="A350" s="660"/>
      <c r="B350" s="901">
        <v>62</v>
      </c>
      <c r="C350" s="902">
        <f>'Journey distribution (ex Gold)'!B66/'Journey distribution (ex Gold)'!B$155</f>
        <v>0</v>
      </c>
      <c r="D350" s="902">
        <f>'Journey distribution (ex Gold)'!C66/'Journey distribution (ex Gold)'!C$155</f>
        <v>0</v>
      </c>
      <c r="E350" s="902">
        <f>'Journey distribution (ex Gold)'!D66/'Journey distribution (ex Gold)'!D$155</f>
        <v>0</v>
      </c>
      <c r="F350" s="902">
        <f>'Journey distribution (ex Gold)'!E66/'Journey distribution (ex Gold)'!E$155</f>
        <v>0</v>
      </c>
      <c r="G350" s="877">
        <f>'Journey distribution (ex Gold)'!F66/'Journey distribution (ex Gold)'!F$155</f>
        <v>3.4562882522194889E-4</v>
      </c>
      <c r="H350" s="660"/>
      <c r="I350" s="660"/>
      <c r="J350" s="660"/>
    </row>
    <row r="351" spans="1:10" x14ac:dyDescent="0.2">
      <c r="A351" s="660"/>
      <c r="B351" s="901">
        <v>63</v>
      </c>
      <c r="C351" s="902">
        <f>'Journey distribution (ex Gold)'!B67/'Journey distribution (ex Gold)'!B$155</f>
        <v>0</v>
      </c>
      <c r="D351" s="902">
        <f>'Journey distribution (ex Gold)'!C67/'Journey distribution (ex Gold)'!C$155</f>
        <v>0</v>
      </c>
      <c r="E351" s="902">
        <f>'Journey distribution (ex Gold)'!D67/'Journey distribution (ex Gold)'!D$155</f>
        <v>0</v>
      </c>
      <c r="F351" s="902">
        <f>'Journey distribution (ex Gold)'!E67/'Journey distribution (ex Gold)'!E$155</f>
        <v>0</v>
      </c>
      <c r="G351" s="877">
        <f>'Journey distribution (ex Gold)'!F67/'Journey distribution (ex Gold)'!F$155</f>
        <v>8.091081297793998E-4</v>
      </c>
      <c r="H351" s="660"/>
      <c r="I351" s="660"/>
      <c r="J351" s="660"/>
    </row>
    <row r="352" spans="1:10" x14ac:dyDescent="0.2">
      <c r="A352" s="660"/>
      <c r="B352" s="901">
        <v>64</v>
      </c>
      <c r="C352" s="902">
        <f>'Journey distribution (ex Gold)'!B68/'Journey distribution (ex Gold)'!B$155</f>
        <v>0</v>
      </c>
      <c r="D352" s="902">
        <f>'Journey distribution (ex Gold)'!C68/'Journey distribution (ex Gold)'!C$155</f>
        <v>0</v>
      </c>
      <c r="E352" s="902">
        <f>'Journey distribution (ex Gold)'!D68/'Journey distribution (ex Gold)'!D$155</f>
        <v>0</v>
      </c>
      <c r="F352" s="902">
        <f>'Journey distribution (ex Gold)'!E68/'Journey distribution (ex Gold)'!E$155</f>
        <v>0</v>
      </c>
      <c r="G352" s="877">
        <f>'Journey distribution (ex Gold)'!F68/'Journey distribution (ex Gold)'!F$155</f>
        <v>6.311396340251018E-4</v>
      </c>
      <c r="H352" s="660"/>
      <c r="I352" s="660"/>
      <c r="J352" s="660"/>
    </row>
    <row r="353" spans="1:10" x14ac:dyDescent="0.2">
      <c r="A353" s="660"/>
      <c r="B353" s="901">
        <v>65</v>
      </c>
      <c r="C353" s="902">
        <f>'Journey distribution (ex Gold)'!B69/'Journey distribution (ex Gold)'!B$155</f>
        <v>0</v>
      </c>
      <c r="D353" s="902">
        <f>'Journey distribution (ex Gold)'!C69/'Journey distribution (ex Gold)'!C$155</f>
        <v>0</v>
      </c>
      <c r="E353" s="902">
        <f>'Journey distribution (ex Gold)'!D69/'Journey distribution (ex Gold)'!D$155</f>
        <v>0</v>
      </c>
      <c r="F353" s="902">
        <f>'Journey distribution (ex Gold)'!E69/'Journey distribution (ex Gold)'!E$155</f>
        <v>0</v>
      </c>
      <c r="G353" s="877">
        <f>'Journey distribution (ex Gold)'!F69/'Journey distribution (ex Gold)'!F$155</f>
        <v>1.8190504410815242E-3</v>
      </c>
      <c r="H353" s="660"/>
      <c r="I353" s="660"/>
      <c r="J353" s="660"/>
    </row>
    <row r="354" spans="1:10" x14ac:dyDescent="0.2">
      <c r="A354" s="660"/>
      <c r="B354" s="901">
        <v>66</v>
      </c>
      <c r="C354" s="902">
        <f>'Journey distribution (ex Gold)'!B70/'Journey distribution (ex Gold)'!B$155</f>
        <v>1.1576161283663728E-7</v>
      </c>
      <c r="D354" s="902">
        <f>'Journey distribution (ex Gold)'!C70/'Journey distribution (ex Gold)'!C$155</f>
        <v>0</v>
      </c>
      <c r="E354" s="902">
        <f>'Journey distribution (ex Gold)'!D70/'Journey distribution (ex Gold)'!D$155</f>
        <v>0</v>
      </c>
      <c r="F354" s="902">
        <f>'Journey distribution (ex Gold)'!E70/'Journey distribution (ex Gold)'!E$155</f>
        <v>0</v>
      </c>
      <c r="G354" s="877">
        <f>'Journey distribution (ex Gold)'!F70/'Journey distribution (ex Gold)'!F$155</f>
        <v>6.5588740206390221E-4</v>
      </c>
      <c r="H354" s="660"/>
      <c r="I354" s="660"/>
      <c r="J354" s="660"/>
    </row>
    <row r="355" spans="1:10" x14ac:dyDescent="0.2">
      <c r="A355" s="660"/>
      <c r="B355" s="901">
        <v>67</v>
      </c>
      <c r="C355" s="902">
        <f>'Journey distribution (ex Gold)'!B71/'Journey distribution (ex Gold)'!B$155</f>
        <v>0</v>
      </c>
      <c r="D355" s="902">
        <f>'Journey distribution (ex Gold)'!C71/'Journey distribution (ex Gold)'!C$155</f>
        <v>0</v>
      </c>
      <c r="E355" s="902">
        <f>'Journey distribution (ex Gold)'!D71/'Journey distribution (ex Gold)'!D$155</f>
        <v>0</v>
      </c>
      <c r="F355" s="902">
        <f>'Journey distribution (ex Gold)'!E71/'Journey distribution (ex Gold)'!E$155</f>
        <v>0</v>
      </c>
      <c r="G355" s="877">
        <f>'Journey distribution (ex Gold)'!F71/'Journey distribution (ex Gold)'!F$155</f>
        <v>1.0826867795971961E-3</v>
      </c>
      <c r="H355" s="660"/>
      <c r="I355" s="660"/>
      <c r="J355" s="660"/>
    </row>
    <row r="356" spans="1:10" x14ac:dyDescent="0.2">
      <c r="A356" s="660"/>
      <c r="B356" s="901">
        <v>68</v>
      </c>
      <c r="C356" s="902">
        <f>'Journey distribution (ex Gold)'!B72/'Journey distribution (ex Gold)'!B$155</f>
        <v>3.4728483850991193E-7</v>
      </c>
      <c r="D356" s="902">
        <f>'Journey distribution (ex Gold)'!C72/'Journey distribution (ex Gold)'!C$155</f>
        <v>0</v>
      </c>
      <c r="E356" s="902">
        <f>'Journey distribution (ex Gold)'!D72/'Journey distribution (ex Gold)'!D$155</f>
        <v>0</v>
      </c>
      <c r="F356" s="902">
        <f>'Journey distribution (ex Gold)'!E72/'Journey distribution (ex Gold)'!E$155</f>
        <v>0</v>
      </c>
      <c r="G356" s="877">
        <f>'Journey distribution (ex Gold)'!F72/'Journey distribution (ex Gold)'!F$155</f>
        <v>3.8453612913585055E-4</v>
      </c>
      <c r="H356" s="660"/>
      <c r="I356" s="660"/>
      <c r="J356" s="660"/>
    </row>
    <row r="357" spans="1:10" x14ac:dyDescent="0.2">
      <c r="A357" s="660"/>
      <c r="B357" s="901">
        <v>69</v>
      </c>
      <c r="C357" s="902">
        <f>'Journey distribution (ex Gold)'!B73/'Journey distribution (ex Gold)'!B$155</f>
        <v>0</v>
      </c>
      <c r="D357" s="902">
        <f>'Journey distribution (ex Gold)'!C73/'Journey distribution (ex Gold)'!C$155</f>
        <v>0</v>
      </c>
      <c r="E357" s="902">
        <f>'Journey distribution (ex Gold)'!D73/'Journey distribution (ex Gold)'!D$155</f>
        <v>0</v>
      </c>
      <c r="F357" s="902">
        <f>'Journey distribution (ex Gold)'!E73/'Journey distribution (ex Gold)'!E$155</f>
        <v>0</v>
      </c>
      <c r="G357" s="877">
        <f>'Journey distribution (ex Gold)'!F73/'Journey distribution (ex Gold)'!F$155</f>
        <v>3.7096159424480712E-4</v>
      </c>
      <c r="H357" s="660"/>
      <c r="I357" s="660"/>
      <c r="J357" s="660"/>
    </row>
    <row r="358" spans="1:10" x14ac:dyDescent="0.2">
      <c r="A358" s="660"/>
      <c r="B358" s="901">
        <v>70</v>
      </c>
      <c r="C358" s="902">
        <f>'Journey distribution (ex Gold)'!B74/'Journey distribution (ex Gold)'!B$155</f>
        <v>1.1943560182740134E-7</v>
      </c>
      <c r="D358" s="902">
        <f>'Journey distribution (ex Gold)'!C74/'Journey distribution (ex Gold)'!C$155</f>
        <v>0</v>
      </c>
      <c r="E358" s="902">
        <f>'Journey distribution (ex Gold)'!D74/'Journey distribution (ex Gold)'!D$155</f>
        <v>0</v>
      </c>
      <c r="F358" s="902">
        <f>'Journey distribution (ex Gold)'!E74/'Journey distribution (ex Gold)'!E$155</f>
        <v>0</v>
      </c>
      <c r="G358" s="877">
        <f>'Journey distribution (ex Gold)'!F74/'Journey distribution (ex Gold)'!F$155</f>
        <v>1.5249517785513415E-3</v>
      </c>
      <c r="H358" s="660"/>
      <c r="I358" s="660"/>
      <c r="J358" s="660"/>
    </row>
    <row r="359" spans="1:10" x14ac:dyDescent="0.2">
      <c r="A359" s="660"/>
      <c r="B359" s="901">
        <v>71</v>
      </c>
      <c r="C359" s="902">
        <f>'Journey distribution (ex Gold)'!B75/'Journey distribution (ex Gold)'!B$155</f>
        <v>0</v>
      </c>
      <c r="D359" s="902">
        <f>'Journey distribution (ex Gold)'!C75/'Journey distribution (ex Gold)'!C$155</f>
        <v>0</v>
      </c>
      <c r="E359" s="902">
        <f>'Journey distribution (ex Gold)'!D75/'Journey distribution (ex Gold)'!D$155</f>
        <v>0</v>
      </c>
      <c r="F359" s="902">
        <f>'Journey distribution (ex Gold)'!E75/'Journey distribution (ex Gold)'!E$155</f>
        <v>0</v>
      </c>
      <c r="G359" s="877">
        <f>'Journey distribution (ex Gold)'!F75/'Journey distribution (ex Gold)'!F$155</f>
        <v>4.1445310208783548E-4</v>
      </c>
      <c r="H359" s="660"/>
      <c r="I359" s="660"/>
      <c r="J359" s="660"/>
    </row>
    <row r="360" spans="1:10" x14ac:dyDescent="0.2">
      <c r="A360" s="660"/>
      <c r="B360" s="901">
        <v>72</v>
      </c>
      <c r="C360" s="902">
        <f>'Journey distribution (ex Gold)'!B76/'Journey distribution (ex Gold)'!B$155</f>
        <v>0</v>
      </c>
      <c r="D360" s="902">
        <f>'Journey distribution (ex Gold)'!C76/'Journey distribution (ex Gold)'!C$155</f>
        <v>0</v>
      </c>
      <c r="E360" s="902">
        <f>'Journey distribution (ex Gold)'!D76/'Journey distribution (ex Gold)'!D$155</f>
        <v>0</v>
      </c>
      <c r="F360" s="902">
        <f>'Journey distribution (ex Gold)'!E76/'Journey distribution (ex Gold)'!E$155</f>
        <v>0</v>
      </c>
      <c r="G360" s="877">
        <f>'Journey distribution (ex Gold)'!F76/'Journey distribution (ex Gold)'!F$155</f>
        <v>4.3077578726980587E-4</v>
      </c>
      <c r="H360" s="660"/>
      <c r="I360" s="660"/>
      <c r="J360" s="660"/>
    </row>
    <row r="361" spans="1:10" x14ac:dyDescent="0.2">
      <c r="A361" s="660"/>
      <c r="B361" s="901">
        <v>73</v>
      </c>
      <c r="C361" s="902">
        <f>'Journey distribution (ex Gold)'!B77/'Journey distribution (ex Gold)'!B$155</f>
        <v>0</v>
      </c>
      <c r="D361" s="902">
        <f>'Journey distribution (ex Gold)'!C77/'Journey distribution (ex Gold)'!C$155</f>
        <v>0</v>
      </c>
      <c r="E361" s="902">
        <f>'Journey distribution (ex Gold)'!D77/'Journey distribution (ex Gold)'!D$155</f>
        <v>0</v>
      </c>
      <c r="F361" s="902">
        <f>'Journey distribution (ex Gold)'!E77/'Journey distribution (ex Gold)'!E$155</f>
        <v>0</v>
      </c>
      <c r="G361" s="877">
        <f>'Journey distribution (ex Gold)'!F77/'Journey distribution (ex Gold)'!F$155</f>
        <v>2.4335733876934616E-3</v>
      </c>
      <c r="H361" s="660"/>
      <c r="I361" s="660"/>
      <c r="J361" s="660"/>
    </row>
    <row r="362" spans="1:10" x14ac:dyDescent="0.2">
      <c r="A362" s="660"/>
      <c r="B362" s="901">
        <v>74</v>
      </c>
      <c r="C362" s="902">
        <f>'Journey distribution (ex Gold)'!B78/'Journey distribution (ex Gold)'!B$155</f>
        <v>0</v>
      </c>
      <c r="D362" s="902">
        <f>'Journey distribution (ex Gold)'!C78/'Journey distribution (ex Gold)'!C$155</f>
        <v>0</v>
      </c>
      <c r="E362" s="902">
        <f>'Journey distribution (ex Gold)'!D78/'Journey distribution (ex Gold)'!D$155</f>
        <v>0</v>
      </c>
      <c r="F362" s="902">
        <f>'Journey distribution (ex Gold)'!E78/'Journey distribution (ex Gold)'!E$155</f>
        <v>0</v>
      </c>
      <c r="G362" s="877">
        <f>'Journey distribution (ex Gold)'!F78/'Journey distribution (ex Gold)'!F$155</f>
        <v>5.5173060754016255E-4</v>
      </c>
      <c r="H362" s="660"/>
      <c r="I362" s="660"/>
      <c r="J362" s="660"/>
    </row>
    <row r="363" spans="1:10" x14ac:dyDescent="0.2">
      <c r="A363" s="660"/>
      <c r="B363" s="901">
        <v>75</v>
      </c>
      <c r="C363" s="902">
        <f>'Journey distribution (ex Gold)'!B79/'Journey distribution (ex Gold)'!B$155</f>
        <v>0</v>
      </c>
      <c r="D363" s="902">
        <f>'Journey distribution (ex Gold)'!C79/'Journey distribution (ex Gold)'!C$155</f>
        <v>0</v>
      </c>
      <c r="E363" s="902">
        <f>'Journey distribution (ex Gold)'!D79/'Journey distribution (ex Gold)'!D$155</f>
        <v>0</v>
      </c>
      <c r="F363" s="902">
        <f>'Journey distribution (ex Gold)'!E79/'Journey distribution (ex Gold)'!E$155</f>
        <v>0</v>
      </c>
      <c r="G363" s="877">
        <f>'Journey distribution (ex Gold)'!F79/'Journey distribution (ex Gold)'!F$155</f>
        <v>2.7730883031538961E-4</v>
      </c>
      <c r="H363" s="660"/>
      <c r="I363" s="660"/>
      <c r="J363" s="660"/>
    </row>
    <row r="364" spans="1:10" x14ac:dyDescent="0.2">
      <c r="A364" s="660"/>
      <c r="B364" s="901">
        <v>76</v>
      </c>
      <c r="C364" s="902">
        <f>'Journey distribution (ex Gold)'!B80/'Journey distribution (ex Gold)'!B$155</f>
        <v>0</v>
      </c>
      <c r="D364" s="902">
        <f>'Journey distribution (ex Gold)'!C80/'Journey distribution (ex Gold)'!C$155</f>
        <v>0</v>
      </c>
      <c r="E364" s="902">
        <f>'Journey distribution (ex Gold)'!D80/'Journey distribution (ex Gold)'!D$155</f>
        <v>0</v>
      </c>
      <c r="F364" s="902">
        <f>'Journey distribution (ex Gold)'!E80/'Journey distribution (ex Gold)'!E$155</f>
        <v>0</v>
      </c>
      <c r="G364" s="877">
        <f>'Journey distribution (ex Gold)'!F80/'Journey distribution (ex Gold)'!F$155</f>
        <v>4.5680725918516253E-4</v>
      </c>
      <c r="H364" s="660"/>
      <c r="I364" s="660"/>
      <c r="J364" s="660"/>
    </row>
    <row r="365" spans="1:10" x14ac:dyDescent="0.2">
      <c r="A365" s="660"/>
      <c r="B365" s="901">
        <v>77</v>
      </c>
      <c r="C365" s="902">
        <f>'Journey distribution (ex Gold)'!B81/'Journey distribution (ex Gold)'!B$155</f>
        <v>0</v>
      </c>
      <c r="D365" s="902">
        <f>'Journey distribution (ex Gold)'!C81/'Journey distribution (ex Gold)'!C$155</f>
        <v>0</v>
      </c>
      <c r="E365" s="902">
        <f>'Journey distribution (ex Gold)'!D81/'Journey distribution (ex Gold)'!D$155</f>
        <v>0</v>
      </c>
      <c r="F365" s="902">
        <f>'Journey distribution (ex Gold)'!E81/'Journey distribution (ex Gold)'!E$155</f>
        <v>0</v>
      </c>
      <c r="G365" s="877">
        <f>'Journey distribution (ex Gold)'!F81/'Journey distribution (ex Gold)'!F$155</f>
        <v>3.8410422526441007E-4</v>
      </c>
      <c r="H365" s="660"/>
      <c r="I365" s="660"/>
      <c r="J365" s="660"/>
    </row>
    <row r="366" spans="1:10" x14ac:dyDescent="0.2">
      <c r="A366" s="660"/>
      <c r="B366" s="901">
        <v>78</v>
      </c>
      <c r="C366" s="902">
        <f>'Journey distribution (ex Gold)'!B82/'Journey distribution (ex Gold)'!B$155</f>
        <v>0</v>
      </c>
      <c r="D366" s="902">
        <f>'Journey distribution (ex Gold)'!C82/'Journey distribution (ex Gold)'!C$155</f>
        <v>0</v>
      </c>
      <c r="E366" s="902">
        <f>'Journey distribution (ex Gold)'!D82/'Journey distribution (ex Gold)'!D$155</f>
        <v>0</v>
      </c>
      <c r="F366" s="902">
        <f>'Journey distribution (ex Gold)'!E82/'Journey distribution (ex Gold)'!E$155</f>
        <v>0</v>
      </c>
      <c r="G366" s="877">
        <f>'Journey distribution (ex Gold)'!F82/'Journey distribution (ex Gold)'!F$155</f>
        <v>4.2807033047142671E-4</v>
      </c>
      <c r="H366" s="660"/>
      <c r="I366" s="660"/>
      <c r="J366" s="660"/>
    </row>
    <row r="367" spans="1:10" x14ac:dyDescent="0.2">
      <c r="A367" s="660"/>
      <c r="B367" s="901">
        <v>79</v>
      </c>
      <c r="C367" s="902">
        <f>'Journey distribution (ex Gold)'!B83/'Journey distribution (ex Gold)'!B$155</f>
        <v>0</v>
      </c>
      <c r="D367" s="902">
        <f>'Journey distribution (ex Gold)'!C83/'Journey distribution (ex Gold)'!C$155</f>
        <v>0</v>
      </c>
      <c r="E367" s="902">
        <f>'Journey distribution (ex Gold)'!D83/'Journey distribution (ex Gold)'!D$155</f>
        <v>0</v>
      </c>
      <c r="F367" s="902">
        <f>'Journey distribution (ex Gold)'!E83/'Journey distribution (ex Gold)'!E$155</f>
        <v>0</v>
      </c>
      <c r="G367" s="877">
        <f>'Journey distribution (ex Gold)'!F83/'Journey distribution (ex Gold)'!F$155</f>
        <v>6.0366561829825274E-4</v>
      </c>
      <c r="H367" s="660"/>
      <c r="I367" s="660"/>
      <c r="J367" s="660"/>
    </row>
    <row r="368" spans="1:10" x14ac:dyDescent="0.2">
      <c r="A368" s="660"/>
      <c r="B368" s="901">
        <v>80</v>
      </c>
      <c r="C368" s="902">
        <f>'Journey distribution (ex Gold)'!B84/'Journey distribution (ex Gold)'!B$155</f>
        <v>0</v>
      </c>
      <c r="D368" s="902">
        <f>'Journey distribution (ex Gold)'!C84/'Journey distribution (ex Gold)'!C$155</f>
        <v>0</v>
      </c>
      <c r="E368" s="902">
        <f>'Journey distribution (ex Gold)'!D84/'Journey distribution (ex Gold)'!D$155</f>
        <v>0</v>
      </c>
      <c r="F368" s="902">
        <f>'Journey distribution (ex Gold)'!E84/'Journey distribution (ex Gold)'!E$155</f>
        <v>0</v>
      </c>
      <c r="G368" s="877">
        <f>'Journey distribution (ex Gold)'!F84/'Journey distribution (ex Gold)'!F$155</f>
        <v>6.4667934104268687E-4</v>
      </c>
      <c r="H368" s="660"/>
      <c r="I368" s="660"/>
      <c r="J368" s="660"/>
    </row>
    <row r="369" spans="1:10" x14ac:dyDescent="0.2">
      <c r="A369" s="660"/>
      <c r="B369" s="901">
        <v>81</v>
      </c>
      <c r="C369" s="902">
        <f>'Journey distribution (ex Gold)'!B85/'Journey distribution (ex Gold)'!B$155</f>
        <v>0</v>
      </c>
      <c r="D369" s="902">
        <f>'Journey distribution (ex Gold)'!C85/'Journey distribution (ex Gold)'!C$155</f>
        <v>0</v>
      </c>
      <c r="E369" s="902">
        <f>'Journey distribution (ex Gold)'!D85/'Journey distribution (ex Gold)'!D$155</f>
        <v>0</v>
      </c>
      <c r="F369" s="902">
        <f>'Journey distribution (ex Gold)'!E85/'Journey distribution (ex Gold)'!E$155</f>
        <v>0</v>
      </c>
      <c r="G369" s="877">
        <f>'Journey distribution (ex Gold)'!F85/'Journey distribution (ex Gold)'!F$155</f>
        <v>6.8591459437968136E-4</v>
      </c>
      <c r="H369" s="660"/>
      <c r="I369" s="660"/>
      <c r="J369" s="660"/>
    </row>
    <row r="370" spans="1:10" x14ac:dyDescent="0.2">
      <c r="A370" s="660"/>
      <c r="B370" s="901">
        <v>82</v>
      </c>
      <c r="C370" s="902">
        <f>'Journey distribution (ex Gold)'!B86/'Journey distribution (ex Gold)'!B$155</f>
        <v>0</v>
      </c>
      <c r="D370" s="902">
        <f>'Journey distribution (ex Gold)'!C86/'Journey distribution (ex Gold)'!C$155</f>
        <v>0</v>
      </c>
      <c r="E370" s="902">
        <f>'Journey distribution (ex Gold)'!D86/'Journey distribution (ex Gold)'!D$155</f>
        <v>0</v>
      </c>
      <c r="F370" s="902">
        <f>'Journey distribution (ex Gold)'!E86/'Journey distribution (ex Gold)'!E$155</f>
        <v>0</v>
      </c>
      <c r="G370" s="877">
        <f>'Journey distribution (ex Gold)'!F86/'Journey distribution (ex Gold)'!F$155</f>
        <v>9.2087371445057867E-4</v>
      </c>
      <c r="H370" s="660"/>
      <c r="I370" s="660"/>
      <c r="J370" s="660"/>
    </row>
    <row r="371" spans="1:10" x14ac:dyDescent="0.2">
      <c r="A371" s="660"/>
      <c r="B371" s="901">
        <v>83</v>
      </c>
      <c r="C371" s="902">
        <f>'Journey distribution (ex Gold)'!B87/'Journey distribution (ex Gold)'!B$155</f>
        <v>0</v>
      </c>
      <c r="D371" s="902">
        <f>'Journey distribution (ex Gold)'!C87/'Journey distribution (ex Gold)'!C$155</f>
        <v>0</v>
      </c>
      <c r="E371" s="902">
        <f>'Journey distribution (ex Gold)'!D87/'Journey distribution (ex Gold)'!D$155</f>
        <v>0</v>
      </c>
      <c r="F371" s="902">
        <f>'Journey distribution (ex Gold)'!E87/'Journey distribution (ex Gold)'!E$155</f>
        <v>0</v>
      </c>
      <c r="G371" s="877">
        <f>'Journey distribution (ex Gold)'!F87/'Journey distribution (ex Gold)'!F$155</f>
        <v>2.4204872759667835E-4</v>
      </c>
      <c r="H371" s="660"/>
      <c r="I371" s="660"/>
      <c r="J371" s="660"/>
    </row>
    <row r="372" spans="1:10" x14ac:dyDescent="0.2">
      <c r="A372" s="660"/>
      <c r="B372" s="901">
        <v>84</v>
      </c>
      <c r="C372" s="902">
        <f>'Journey distribution (ex Gold)'!B88/'Journey distribution (ex Gold)'!B$155</f>
        <v>0</v>
      </c>
      <c r="D372" s="902">
        <f>'Journey distribution (ex Gold)'!C88/'Journey distribution (ex Gold)'!C$155</f>
        <v>0</v>
      </c>
      <c r="E372" s="902">
        <f>'Journey distribution (ex Gold)'!D88/'Journey distribution (ex Gold)'!D$155</f>
        <v>0</v>
      </c>
      <c r="F372" s="902">
        <f>'Journey distribution (ex Gold)'!E88/'Journey distribution (ex Gold)'!E$155</f>
        <v>0</v>
      </c>
      <c r="G372" s="877">
        <f>'Journey distribution (ex Gold)'!F88/'Journey distribution (ex Gold)'!F$155</f>
        <v>8.8534796127527323E-4</v>
      </c>
      <c r="H372" s="660"/>
      <c r="I372" s="660"/>
      <c r="J372" s="660"/>
    </row>
    <row r="373" spans="1:10" x14ac:dyDescent="0.2">
      <c r="A373" s="660"/>
      <c r="B373" s="901">
        <v>85</v>
      </c>
      <c r="C373" s="902">
        <f>'Journey distribution (ex Gold)'!B89/'Journey distribution (ex Gold)'!B$155</f>
        <v>0</v>
      </c>
      <c r="D373" s="902">
        <f>'Journey distribution (ex Gold)'!C89/'Journey distribution (ex Gold)'!C$155</f>
        <v>0</v>
      </c>
      <c r="E373" s="902">
        <f>'Journey distribution (ex Gold)'!D89/'Journey distribution (ex Gold)'!D$155</f>
        <v>0</v>
      </c>
      <c r="F373" s="902">
        <f>'Journey distribution (ex Gold)'!E89/'Journey distribution (ex Gold)'!E$155</f>
        <v>0</v>
      </c>
      <c r="G373" s="877">
        <f>'Journey distribution (ex Gold)'!F89/'Journey distribution (ex Gold)'!F$155</f>
        <v>1.6423864032421974E-4</v>
      </c>
      <c r="H373" s="660"/>
      <c r="I373" s="660"/>
      <c r="J373" s="660"/>
    </row>
    <row r="374" spans="1:10" x14ac:dyDescent="0.2">
      <c r="A374" s="660"/>
      <c r="B374" s="901">
        <v>86</v>
      </c>
      <c r="C374" s="902">
        <f>'Journey distribution (ex Gold)'!B90/'Journey distribution (ex Gold)'!B$155</f>
        <v>0</v>
      </c>
      <c r="D374" s="902">
        <f>'Journey distribution (ex Gold)'!C90/'Journey distribution (ex Gold)'!C$155</f>
        <v>0</v>
      </c>
      <c r="E374" s="902">
        <f>'Journey distribution (ex Gold)'!D90/'Journey distribution (ex Gold)'!D$155</f>
        <v>0</v>
      </c>
      <c r="F374" s="902">
        <f>'Journey distribution (ex Gold)'!E90/'Journey distribution (ex Gold)'!E$155</f>
        <v>0</v>
      </c>
      <c r="G374" s="877">
        <f>'Journey distribution (ex Gold)'!F90/'Journey distribution (ex Gold)'!F$155</f>
        <v>8.883781429108843E-4</v>
      </c>
      <c r="H374" s="660"/>
      <c r="I374" s="660"/>
      <c r="J374" s="660"/>
    </row>
    <row r="375" spans="1:10" x14ac:dyDescent="0.2">
      <c r="A375" s="660"/>
      <c r="B375" s="901">
        <v>87</v>
      </c>
      <c r="C375" s="902">
        <f>'Journey distribution (ex Gold)'!B91/'Journey distribution (ex Gold)'!B$155</f>
        <v>0</v>
      </c>
      <c r="D375" s="902">
        <f>'Journey distribution (ex Gold)'!C91/'Journey distribution (ex Gold)'!C$155</f>
        <v>0</v>
      </c>
      <c r="E375" s="902">
        <f>'Journey distribution (ex Gold)'!D91/'Journey distribution (ex Gold)'!D$155</f>
        <v>0</v>
      </c>
      <c r="F375" s="902">
        <f>'Journey distribution (ex Gold)'!E91/'Journey distribution (ex Gold)'!E$155</f>
        <v>0</v>
      </c>
      <c r="G375" s="877">
        <f>'Journey distribution (ex Gold)'!F91/'Journey distribution (ex Gold)'!F$155</f>
        <v>4.8547647777137659E-4</v>
      </c>
      <c r="H375" s="660"/>
      <c r="I375" s="660"/>
      <c r="J375" s="660"/>
    </row>
    <row r="376" spans="1:10" x14ac:dyDescent="0.2">
      <c r="A376" s="660"/>
      <c r="B376" s="901">
        <v>88</v>
      </c>
      <c r="C376" s="902">
        <f>'Journey distribution (ex Gold)'!B92/'Journey distribution (ex Gold)'!B$155</f>
        <v>0</v>
      </c>
      <c r="D376" s="902">
        <f>'Journey distribution (ex Gold)'!C92/'Journey distribution (ex Gold)'!C$155</f>
        <v>0</v>
      </c>
      <c r="E376" s="902">
        <f>'Journey distribution (ex Gold)'!D92/'Journey distribution (ex Gold)'!D$155</f>
        <v>0</v>
      </c>
      <c r="F376" s="902">
        <f>'Journey distribution (ex Gold)'!E92/'Journey distribution (ex Gold)'!E$155</f>
        <v>0</v>
      </c>
      <c r="G376" s="877">
        <f>'Journey distribution (ex Gold)'!F92/'Journey distribution (ex Gold)'!F$155</f>
        <v>2.0183029548855369E-4</v>
      </c>
      <c r="H376" s="660"/>
      <c r="I376" s="660"/>
      <c r="J376" s="660"/>
    </row>
    <row r="377" spans="1:10" x14ac:dyDescent="0.2">
      <c r="A377" s="660"/>
      <c r="B377" s="901">
        <v>89</v>
      </c>
      <c r="C377" s="902">
        <f>'Journey distribution (ex Gold)'!B93/'Journey distribution (ex Gold)'!B$155</f>
        <v>0</v>
      </c>
      <c r="D377" s="902">
        <f>'Journey distribution (ex Gold)'!C93/'Journey distribution (ex Gold)'!C$155</f>
        <v>0</v>
      </c>
      <c r="E377" s="902">
        <f>'Journey distribution (ex Gold)'!D93/'Journey distribution (ex Gold)'!D$155</f>
        <v>0</v>
      </c>
      <c r="F377" s="902">
        <f>'Journey distribution (ex Gold)'!E93/'Journey distribution (ex Gold)'!E$155</f>
        <v>0</v>
      </c>
      <c r="G377" s="877">
        <f>'Journey distribution (ex Gold)'!F93/'Journey distribution (ex Gold)'!F$155</f>
        <v>2.6282227247412894E-4</v>
      </c>
      <c r="H377" s="660"/>
      <c r="I377" s="660"/>
      <c r="J377" s="660"/>
    </row>
    <row r="378" spans="1:10" x14ac:dyDescent="0.2">
      <c r="A378" s="660"/>
      <c r="B378" s="901">
        <v>90</v>
      </c>
      <c r="C378" s="902">
        <f>'Journey distribution (ex Gold)'!B94/'Journey distribution (ex Gold)'!B$155</f>
        <v>0</v>
      </c>
      <c r="D378" s="902">
        <f>'Journey distribution (ex Gold)'!C94/'Journey distribution (ex Gold)'!C$155</f>
        <v>0</v>
      </c>
      <c r="E378" s="902">
        <f>'Journey distribution (ex Gold)'!D94/'Journey distribution (ex Gold)'!D$155</f>
        <v>0</v>
      </c>
      <c r="F378" s="902">
        <f>'Journey distribution (ex Gold)'!E94/'Journey distribution (ex Gold)'!E$155</f>
        <v>0</v>
      </c>
      <c r="G378" s="877">
        <f>'Journey distribution (ex Gold)'!F94/'Journey distribution (ex Gold)'!F$155</f>
        <v>2.9993933027447459E-4</v>
      </c>
      <c r="H378" s="660"/>
      <c r="I378" s="660"/>
      <c r="J378" s="660"/>
    </row>
    <row r="379" spans="1:10" x14ac:dyDescent="0.2">
      <c r="A379" s="660"/>
      <c r="B379" s="901">
        <v>91</v>
      </c>
      <c r="C379" s="902">
        <f>'Journey distribution (ex Gold)'!B95/'Journey distribution (ex Gold)'!B$155</f>
        <v>0</v>
      </c>
      <c r="D379" s="902">
        <f>'Journey distribution (ex Gold)'!C95/'Journey distribution (ex Gold)'!C$155</f>
        <v>0</v>
      </c>
      <c r="E379" s="902">
        <f>'Journey distribution (ex Gold)'!D95/'Journey distribution (ex Gold)'!D$155</f>
        <v>0</v>
      </c>
      <c r="F379" s="902">
        <f>'Journey distribution (ex Gold)'!E95/'Journey distribution (ex Gold)'!E$155</f>
        <v>0</v>
      </c>
      <c r="G379" s="877">
        <f>'Journey distribution (ex Gold)'!F95/'Journey distribution (ex Gold)'!F$155</f>
        <v>6.9814864814245832E-4</v>
      </c>
      <c r="H379" s="660"/>
      <c r="I379" s="660"/>
      <c r="J379" s="660"/>
    </row>
    <row r="380" spans="1:10" x14ac:dyDescent="0.2">
      <c r="A380" s="660"/>
      <c r="B380" s="901">
        <v>92</v>
      </c>
      <c r="C380" s="902">
        <f>'Journey distribution (ex Gold)'!B96/'Journey distribution (ex Gold)'!B$155</f>
        <v>0</v>
      </c>
      <c r="D380" s="902">
        <f>'Journey distribution (ex Gold)'!C96/'Journey distribution (ex Gold)'!C$155</f>
        <v>0</v>
      </c>
      <c r="E380" s="902">
        <f>'Journey distribution (ex Gold)'!D96/'Journey distribution (ex Gold)'!D$155</f>
        <v>0</v>
      </c>
      <c r="F380" s="902">
        <f>'Journey distribution (ex Gold)'!E96/'Journey distribution (ex Gold)'!E$155</f>
        <v>0</v>
      </c>
      <c r="G380" s="877">
        <f>'Journey distribution (ex Gold)'!F96/'Journey distribution (ex Gold)'!F$155</f>
        <v>1.7541283778016513E-4</v>
      </c>
      <c r="H380" s="660"/>
      <c r="I380" s="660"/>
      <c r="J380" s="660"/>
    </row>
    <row r="381" spans="1:10" x14ac:dyDescent="0.2">
      <c r="A381" s="660"/>
      <c r="B381" s="901">
        <v>93</v>
      </c>
      <c r="C381" s="902">
        <f>'Journey distribution (ex Gold)'!B97/'Journey distribution (ex Gold)'!B$155</f>
        <v>0</v>
      </c>
      <c r="D381" s="902">
        <f>'Journey distribution (ex Gold)'!C97/'Journey distribution (ex Gold)'!C$155</f>
        <v>0</v>
      </c>
      <c r="E381" s="902">
        <f>'Journey distribution (ex Gold)'!D97/'Journey distribution (ex Gold)'!D$155</f>
        <v>0</v>
      </c>
      <c r="F381" s="902">
        <f>'Journey distribution (ex Gold)'!E97/'Journey distribution (ex Gold)'!E$155</f>
        <v>0</v>
      </c>
      <c r="G381" s="877">
        <f>'Journey distribution (ex Gold)'!F97/'Journey distribution (ex Gold)'!F$155</f>
        <v>6.3492573801998209E-4</v>
      </c>
      <c r="H381" s="660"/>
      <c r="I381" s="660"/>
      <c r="J381" s="660"/>
    </row>
    <row r="382" spans="1:10" x14ac:dyDescent="0.2">
      <c r="A382" s="660"/>
      <c r="B382" s="901">
        <v>94</v>
      </c>
      <c r="C382" s="902">
        <f>'Journey distribution (ex Gold)'!B98/'Journey distribution (ex Gold)'!B$155</f>
        <v>0</v>
      </c>
      <c r="D382" s="902">
        <f>'Journey distribution (ex Gold)'!C98/'Journey distribution (ex Gold)'!C$155</f>
        <v>0</v>
      </c>
      <c r="E382" s="902">
        <f>'Journey distribution (ex Gold)'!D98/'Journey distribution (ex Gold)'!D$155</f>
        <v>0</v>
      </c>
      <c r="F382" s="902">
        <f>'Journey distribution (ex Gold)'!E98/'Journey distribution (ex Gold)'!E$155</f>
        <v>0</v>
      </c>
      <c r="G382" s="877">
        <f>'Journey distribution (ex Gold)'!F98/'Journey distribution (ex Gold)'!F$155</f>
        <v>1.6207334129344339E-4</v>
      </c>
      <c r="H382" s="660"/>
      <c r="I382" s="660"/>
      <c r="J382" s="660"/>
    </row>
    <row r="383" spans="1:10" x14ac:dyDescent="0.2">
      <c r="A383" s="660"/>
      <c r="B383" s="901">
        <v>95</v>
      </c>
      <c r="C383" s="902">
        <f>'Journey distribution (ex Gold)'!B99/'Journey distribution (ex Gold)'!B$155</f>
        <v>0</v>
      </c>
      <c r="D383" s="902">
        <f>'Journey distribution (ex Gold)'!C99/'Journey distribution (ex Gold)'!C$155</f>
        <v>0</v>
      </c>
      <c r="E383" s="902">
        <f>'Journey distribution (ex Gold)'!D99/'Journey distribution (ex Gold)'!D$155</f>
        <v>0</v>
      </c>
      <c r="F383" s="902">
        <f>'Journey distribution (ex Gold)'!E99/'Journey distribution (ex Gold)'!E$155</f>
        <v>0</v>
      </c>
      <c r="G383" s="877">
        <f>'Journey distribution (ex Gold)'!F99/'Journey distribution (ex Gold)'!F$155</f>
        <v>2.2438419161444737E-4</v>
      </c>
      <c r="H383" s="660"/>
      <c r="I383" s="660"/>
      <c r="J383" s="660"/>
    </row>
    <row r="384" spans="1:10" x14ac:dyDescent="0.2">
      <c r="A384" s="660"/>
      <c r="B384" s="901">
        <v>96</v>
      </c>
      <c r="C384" s="902">
        <f>'Journey distribution (ex Gold)'!B100/'Journey distribution (ex Gold)'!B$155</f>
        <v>0</v>
      </c>
      <c r="D384" s="902">
        <f>'Journey distribution (ex Gold)'!C100/'Journey distribution (ex Gold)'!C$155</f>
        <v>0</v>
      </c>
      <c r="E384" s="902">
        <f>'Journey distribution (ex Gold)'!D100/'Journey distribution (ex Gold)'!D$155</f>
        <v>0</v>
      </c>
      <c r="F384" s="902">
        <f>'Journey distribution (ex Gold)'!E100/'Journey distribution (ex Gold)'!E$155</f>
        <v>0</v>
      </c>
      <c r="G384" s="877">
        <f>'Journey distribution (ex Gold)'!F100/'Journey distribution (ex Gold)'!F$155</f>
        <v>2.0159840796758272E-4</v>
      </c>
      <c r="H384" s="660"/>
      <c r="I384" s="660"/>
      <c r="J384" s="660"/>
    </row>
    <row r="385" spans="1:10" x14ac:dyDescent="0.2">
      <c r="A385" s="660"/>
      <c r="B385" s="901">
        <v>97</v>
      </c>
      <c r="C385" s="902">
        <f>'Journey distribution (ex Gold)'!B101/'Journey distribution (ex Gold)'!B$155</f>
        <v>0</v>
      </c>
      <c r="D385" s="902">
        <f>'Journey distribution (ex Gold)'!C101/'Journey distribution (ex Gold)'!C$155</f>
        <v>0</v>
      </c>
      <c r="E385" s="902">
        <f>'Journey distribution (ex Gold)'!D101/'Journey distribution (ex Gold)'!D$155</f>
        <v>0</v>
      </c>
      <c r="F385" s="902">
        <f>'Journey distribution (ex Gold)'!E101/'Journey distribution (ex Gold)'!E$155</f>
        <v>0</v>
      </c>
      <c r="G385" s="877">
        <f>'Journey distribution (ex Gold)'!F101/'Journey distribution (ex Gold)'!F$155</f>
        <v>1.5482189035439565E-4</v>
      </c>
      <c r="H385" s="660"/>
      <c r="I385" s="660"/>
      <c r="J385" s="660"/>
    </row>
    <row r="386" spans="1:10" x14ac:dyDescent="0.2">
      <c r="A386" s="660"/>
      <c r="B386" s="901">
        <v>98</v>
      </c>
      <c r="C386" s="902">
        <f>'Journey distribution (ex Gold)'!B102/'Journey distribution (ex Gold)'!B$155</f>
        <v>0</v>
      </c>
      <c r="D386" s="902">
        <f>'Journey distribution (ex Gold)'!C102/'Journey distribution (ex Gold)'!C$155</f>
        <v>0</v>
      </c>
      <c r="E386" s="902">
        <f>'Journey distribution (ex Gold)'!D102/'Journey distribution (ex Gold)'!D$155</f>
        <v>0</v>
      </c>
      <c r="F386" s="902">
        <f>'Journey distribution (ex Gold)'!E102/'Journey distribution (ex Gold)'!E$155</f>
        <v>0</v>
      </c>
      <c r="G386" s="877">
        <f>'Journey distribution (ex Gold)'!F102/'Journey distribution (ex Gold)'!F$155</f>
        <v>3.7967953076836763E-4</v>
      </c>
      <c r="H386" s="660"/>
      <c r="I386" s="660"/>
      <c r="J386" s="660"/>
    </row>
    <row r="387" spans="1:10" x14ac:dyDescent="0.2">
      <c r="A387" s="660"/>
      <c r="B387" s="901">
        <v>99</v>
      </c>
      <c r="C387" s="902">
        <f>'Journey distribution (ex Gold)'!B103/'Journey distribution (ex Gold)'!B$155</f>
        <v>0</v>
      </c>
      <c r="D387" s="902">
        <f>'Journey distribution (ex Gold)'!C103/'Journey distribution (ex Gold)'!C$155</f>
        <v>0</v>
      </c>
      <c r="E387" s="902">
        <f>'Journey distribution (ex Gold)'!D103/'Journey distribution (ex Gold)'!D$155</f>
        <v>0</v>
      </c>
      <c r="F387" s="902">
        <f>'Journey distribution (ex Gold)'!E103/'Journey distribution (ex Gold)'!E$155</f>
        <v>0</v>
      </c>
      <c r="G387" s="877">
        <f>'Journey distribution (ex Gold)'!F103/'Journey distribution (ex Gold)'!F$155</f>
        <v>1.3626712347106055E-4</v>
      </c>
      <c r="H387" s="660"/>
      <c r="I387" s="660"/>
      <c r="J387" s="660"/>
    </row>
    <row r="388" spans="1:10" x14ac:dyDescent="0.2">
      <c r="A388" s="660"/>
      <c r="B388" s="901">
        <v>100</v>
      </c>
      <c r="C388" s="902">
        <f>'Journey distribution (ex Gold)'!B104/'Journey distribution (ex Gold)'!B$155</f>
        <v>0</v>
      </c>
      <c r="D388" s="902">
        <f>'Journey distribution (ex Gold)'!C104/'Journey distribution (ex Gold)'!C$155</f>
        <v>0</v>
      </c>
      <c r="E388" s="902">
        <f>'Journey distribution (ex Gold)'!D104/'Journey distribution (ex Gold)'!D$155</f>
        <v>0</v>
      </c>
      <c r="F388" s="902">
        <f>'Journey distribution (ex Gold)'!E104/'Journey distribution (ex Gold)'!E$155</f>
        <v>0</v>
      </c>
      <c r="G388" s="877">
        <f>'Journey distribution (ex Gold)'!F104/'Journey distribution (ex Gold)'!F$155</f>
        <v>1.5804678773321816E-4</v>
      </c>
      <c r="H388" s="660"/>
      <c r="I388" s="660"/>
      <c r="J388" s="660"/>
    </row>
    <row r="389" spans="1:10" x14ac:dyDescent="0.2">
      <c r="A389" s="660"/>
      <c r="B389" s="901">
        <v>101</v>
      </c>
      <c r="C389" s="902">
        <f>'Journey distribution (ex Gold)'!B105/'Journey distribution (ex Gold)'!B$155</f>
        <v>0</v>
      </c>
      <c r="D389" s="902">
        <f>'Journey distribution (ex Gold)'!C105/'Journey distribution (ex Gold)'!C$155</f>
        <v>0</v>
      </c>
      <c r="E389" s="902">
        <f>'Journey distribution (ex Gold)'!D105/'Journey distribution (ex Gold)'!D$155</f>
        <v>0</v>
      </c>
      <c r="F389" s="902">
        <f>'Journey distribution (ex Gold)'!E105/'Journey distribution (ex Gold)'!E$155</f>
        <v>0</v>
      </c>
      <c r="G389" s="877">
        <f>'Journey distribution (ex Gold)'!F105/'Journey distribution (ex Gold)'!F$155</f>
        <v>1.6639293277667436E-4</v>
      </c>
      <c r="H389" s="660"/>
      <c r="I389" s="660"/>
      <c r="J389" s="660"/>
    </row>
    <row r="390" spans="1:10" x14ac:dyDescent="0.2">
      <c r="A390" s="660"/>
      <c r="B390" s="901">
        <v>102</v>
      </c>
      <c r="C390" s="902">
        <f>'Journey distribution (ex Gold)'!B106/'Journey distribution (ex Gold)'!B$155</f>
        <v>0</v>
      </c>
      <c r="D390" s="902">
        <f>'Journey distribution (ex Gold)'!C106/'Journey distribution (ex Gold)'!C$155</f>
        <v>0</v>
      </c>
      <c r="E390" s="902">
        <f>'Journey distribution (ex Gold)'!D106/'Journey distribution (ex Gold)'!D$155</f>
        <v>0</v>
      </c>
      <c r="F390" s="902">
        <f>'Journey distribution (ex Gold)'!E106/'Journey distribution (ex Gold)'!E$155</f>
        <v>0</v>
      </c>
      <c r="G390" s="877">
        <f>'Journey distribution (ex Gold)'!F106/'Journey distribution (ex Gold)'!F$155</f>
        <v>1.8260955063764477E-4</v>
      </c>
      <c r="H390" s="660"/>
      <c r="I390" s="660"/>
      <c r="J390" s="660"/>
    </row>
    <row r="391" spans="1:10" x14ac:dyDescent="0.2">
      <c r="A391" s="660"/>
      <c r="B391" s="901">
        <v>103</v>
      </c>
      <c r="C391" s="902">
        <f>'Journey distribution (ex Gold)'!B107/'Journey distribution (ex Gold)'!B$155</f>
        <v>0</v>
      </c>
      <c r="D391" s="902">
        <f>'Journey distribution (ex Gold)'!C107/'Journey distribution (ex Gold)'!C$155</f>
        <v>0</v>
      </c>
      <c r="E391" s="902">
        <f>'Journey distribution (ex Gold)'!D107/'Journey distribution (ex Gold)'!D$155</f>
        <v>0</v>
      </c>
      <c r="F391" s="902">
        <f>'Journey distribution (ex Gold)'!E107/'Journey distribution (ex Gold)'!E$155</f>
        <v>0</v>
      </c>
      <c r="G391" s="877">
        <f>'Journey distribution (ex Gold)'!F107/'Journey distribution (ex Gold)'!F$155</f>
        <v>1.8909343999220856E-4</v>
      </c>
      <c r="H391" s="660"/>
      <c r="I391" s="660"/>
      <c r="J391" s="660"/>
    </row>
    <row r="392" spans="1:10" x14ac:dyDescent="0.2">
      <c r="A392" s="660"/>
      <c r="B392" s="901">
        <v>104</v>
      </c>
      <c r="C392" s="902">
        <f>'Journey distribution (ex Gold)'!B108/'Journey distribution (ex Gold)'!B$155</f>
        <v>0</v>
      </c>
      <c r="D392" s="902">
        <f>'Journey distribution (ex Gold)'!C108/'Journey distribution (ex Gold)'!C$155</f>
        <v>0</v>
      </c>
      <c r="E392" s="902">
        <f>'Journey distribution (ex Gold)'!D108/'Journey distribution (ex Gold)'!D$155</f>
        <v>0</v>
      </c>
      <c r="F392" s="902">
        <f>'Journey distribution (ex Gold)'!E108/'Journey distribution (ex Gold)'!E$155</f>
        <v>0</v>
      </c>
      <c r="G392" s="877">
        <f>'Journey distribution (ex Gold)'!F108/'Journey distribution (ex Gold)'!F$155</f>
        <v>1.2898502362848529E-4</v>
      </c>
      <c r="H392" s="660"/>
      <c r="I392" s="660"/>
      <c r="J392" s="660"/>
    </row>
    <row r="393" spans="1:10" x14ac:dyDescent="0.2">
      <c r="A393" s="660"/>
      <c r="B393" s="901">
        <v>105</v>
      </c>
      <c r="C393" s="902">
        <f>'Journey distribution (ex Gold)'!B109/'Journey distribution (ex Gold)'!B$155</f>
        <v>0</v>
      </c>
      <c r="D393" s="902">
        <f>'Journey distribution (ex Gold)'!C109/'Journey distribution (ex Gold)'!C$155</f>
        <v>0</v>
      </c>
      <c r="E393" s="902">
        <f>'Journey distribution (ex Gold)'!D109/'Journey distribution (ex Gold)'!D$155</f>
        <v>0</v>
      </c>
      <c r="F393" s="902">
        <f>'Journey distribution (ex Gold)'!E109/'Journey distribution (ex Gold)'!E$155</f>
        <v>0</v>
      </c>
      <c r="G393" s="877">
        <f>'Journey distribution (ex Gold)'!F109/'Journey distribution (ex Gold)'!F$155</f>
        <v>2.1974521275249767E-4</v>
      </c>
      <c r="H393" s="660"/>
      <c r="I393" s="660"/>
      <c r="J393" s="660"/>
    </row>
    <row r="394" spans="1:10" x14ac:dyDescent="0.2">
      <c r="A394" s="660"/>
      <c r="B394" s="901">
        <v>106</v>
      </c>
      <c r="C394" s="902">
        <f>'Journey distribution (ex Gold)'!B110/'Journey distribution (ex Gold)'!B$155</f>
        <v>0</v>
      </c>
      <c r="D394" s="902">
        <f>'Journey distribution (ex Gold)'!C110/'Journey distribution (ex Gold)'!C$155</f>
        <v>0</v>
      </c>
      <c r="E394" s="902">
        <f>'Journey distribution (ex Gold)'!D110/'Journey distribution (ex Gold)'!D$155</f>
        <v>0</v>
      </c>
      <c r="F394" s="902">
        <f>'Journey distribution (ex Gold)'!E110/'Journey distribution (ex Gold)'!E$155</f>
        <v>0</v>
      </c>
      <c r="G394" s="877">
        <f>'Journey distribution (ex Gold)'!F110/'Journey distribution (ex Gold)'!F$155</f>
        <v>1.3050294900619511E-4</v>
      </c>
      <c r="H394" s="660"/>
      <c r="I394" s="660"/>
      <c r="J394" s="660"/>
    </row>
    <row r="395" spans="1:10" x14ac:dyDescent="0.2">
      <c r="A395" s="660"/>
      <c r="B395" s="901">
        <v>107</v>
      </c>
      <c r="C395" s="902">
        <f>'Journey distribution (ex Gold)'!B111/'Journey distribution (ex Gold)'!B$155</f>
        <v>0</v>
      </c>
      <c r="D395" s="902">
        <f>'Journey distribution (ex Gold)'!C111/'Journey distribution (ex Gold)'!C$155</f>
        <v>0</v>
      </c>
      <c r="E395" s="902">
        <f>'Journey distribution (ex Gold)'!D111/'Journey distribution (ex Gold)'!D$155</f>
        <v>0</v>
      </c>
      <c r="F395" s="902">
        <f>'Journey distribution (ex Gold)'!E111/'Journey distribution (ex Gold)'!E$155</f>
        <v>0</v>
      </c>
      <c r="G395" s="877">
        <f>'Journey distribution (ex Gold)'!F111/'Journey distribution (ex Gold)'!F$155</f>
        <v>2.680746777972467E-4</v>
      </c>
      <c r="H395" s="660"/>
      <c r="I395" s="660"/>
      <c r="J395" s="660"/>
    </row>
    <row r="396" spans="1:10" x14ac:dyDescent="0.2">
      <c r="A396" s="660"/>
      <c r="B396" s="901">
        <v>108</v>
      </c>
      <c r="C396" s="902">
        <f>'Journey distribution (ex Gold)'!B112/'Journey distribution (ex Gold)'!B$155</f>
        <v>0</v>
      </c>
      <c r="D396" s="902">
        <f>'Journey distribution (ex Gold)'!C112/'Journey distribution (ex Gold)'!C$155</f>
        <v>0</v>
      </c>
      <c r="E396" s="902">
        <f>'Journey distribution (ex Gold)'!D112/'Journey distribution (ex Gold)'!D$155</f>
        <v>0</v>
      </c>
      <c r="F396" s="902">
        <f>'Journey distribution (ex Gold)'!E112/'Journey distribution (ex Gold)'!E$155</f>
        <v>0</v>
      </c>
      <c r="G396" s="877">
        <f>'Journey distribution (ex Gold)'!F112/'Journey distribution (ex Gold)'!F$155</f>
        <v>1.9325337463733523E-4</v>
      </c>
      <c r="H396" s="660"/>
      <c r="I396" s="660"/>
      <c r="J396" s="660"/>
    </row>
    <row r="397" spans="1:10" x14ac:dyDescent="0.2">
      <c r="A397" s="660"/>
      <c r="B397" s="901">
        <v>109</v>
      </c>
      <c r="C397" s="902">
        <f>'Journey distribution (ex Gold)'!B113/'Journey distribution (ex Gold)'!B$155</f>
        <v>0</v>
      </c>
      <c r="D397" s="902">
        <f>'Journey distribution (ex Gold)'!C113/'Journey distribution (ex Gold)'!C$155</f>
        <v>0</v>
      </c>
      <c r="E397" s="902">
        <f>'Journey distribution (ex Gold)'!D113/'Journey distribution (ex Gold)'!D$155</f>
        <v>0</v>
      </c>
      <c r="F397" s="902">
        <f>'Journey distribution (ex Gold)'!E113/'Journey distribution (ex Gold)'!E$155</f>
        <v>0</v>
      </c>
      <c r="G397" s="877">
        <f>'Journey distribution (ex Gold)'!F113/'Journey distribution (ex Gold)'!F$155</f>
        <v>6.1722651782075157E-4</v>
      </c>
      <c r="H397" s="660"/>
      <c r="I397" s="660"/>
      <c r="J397" s="660"/>
    </row>
    <row r="398" spans="1:10" x14ac:dyDescent="0.2">
      <c r="A398" s="660"/>
      <c r="B398" s="901">
        <v>110</v>
      </c>
      <c r="C398" s="902">
        <f>'Journey distribution (ex Gold)'!B114/'Journey distribution (ex Gold)'!B$155</f>
        <v>0</v>
      </c>
      <c r="D398" s="902">
        <f>'Journey distribution (ex Gold)'!C114/'Journey distribution (ex Gold)'!C$155</f>
        <v>0</v>
      </c>
      <c r="E398" s="902">
        <f>'Journey distribution (ex Gold)'!D114/'Journey distribution (ex Gold)'!D$155</f>
        <v>0</v>
      </c>
      <c r="F398" s="902">
        <f>'Journey distribution (ex Gold)'!E114/'Journey distribution (ex Gold)'!E$155</f>
        <v>0</v>
      </c>
      <c r="G398" s="877">
        <f>'Journey distribution (ex Gold)'!F114/'Journey distribution (ex Gold)'!F$155</f>
        <v>1.5224425607487452E-4</v>
      </c>
      <c r="H398" s="660"/>
      <c r="I398" s="660"/>
      <c r="J398" s="660"/>
    </row>
    <row r="399" spans="1:10" x14ac:dyDescent="0.2">
      <c r="A399" s="660"/>
      <c r="B399" s="901">
        <v>111</v>
      </c>
      <c r="C399" s="902">
        <f>'Journey distribution (ex Gold)'!B115/'Journey distribution (ex Gold)'!B$155</f>
        <v>0</v>
      </c>
      <c r="D399" s="902">
        <f>'Journey distribution (ex Gold)'!C115/'Journey distribution (ex Gold)'!C$155</f>
        <v>0</v>
      </c>
      <c r="E399" s="902">
        <f>'Journey distribution (ex Gold)'!D115/'Journey distribution (ex Gold)'!D$155</f>
        <v>0</v>
      </c>
      <c r="F399" s="902">
        <f>'Journey distribution (ex Gold)'!E115/'Journey distribution (ex Gold)'!E$155</f>
        <v>0</v>
      </c>
      <c r="G399" s="877">
        <f>'Journey distribution (ex Gold)'!F115/'Journey distribution (ex Gold)'!F$155</f>
        <v>6.1955402877734509E-5</v>
      </c>
      <c r="H399" s="660"/>
      <c r="I399" s="660"/>
      <c r="J399" s="660"/>
    </row>
    <row r="400" spans="1:10" x14ac:dyDescent="0.2">
      <c r="A400" s="660"/>
      <c r="B400" s="901">
        <v>112</v>
      </c>
      <c r="C400" s="902">
        <f>'Journey distribution (ex Gold)'!B116/'Journey distribution (ex Gold)'!B$155</f>
        <v>0</v>
      </c>
      <c r="D400" s="902">
        <f>'Journey distribution (ex Gold)'!C116/'Journey distribution (ex Gold)'!C$155</f>
        <v>0</v>
      </c>
      <c r="E400" s="902">
        <f>'Journey distribution (ex Gold)'!D116/'Journey distribution (ex Gold)'!D$155</f>
        <v>0</v>
      </c>
      <c r="F400" s="902">
        <f>'Journey distribution (ex Gold)'!E116/'Journey distribution (ex Gold)'!E$155</f>
        <v>0</v>
      </c>
      <c r="G400" s="877">
        <f>'Journey distribution (ex Gold)'!F116/'Journey distribution (ex Gold)'!F$155</f>
        <v>1.0891462849636789E-4</v>
      </c>
      <c r="H400" s="660"/>
      <c r="I400" s="660"/>
      <c r="J400" s="660"/>
    </row>
    <row r="401" spans="1:10" x14ac:dyDescent="0.2">
      <c r="A401" s="660"/>
      <c r="B401" s="901">
        <v>113</v>
      </c>
      <c r="C401" s="902">
        <f>'Journey distribution (ex Gold)'!B117/'Journey distribution (ex Gold)'!B$155</f>
        <v>0</v>
      </c>
      <c r="D401" s="902">
        <f>'Journey distribution (ex Gold)'!C117/'Journey distribution (ex Gold)'!C$155</f>
        <v>0</v>
      </c>
      <c r="E401" s="902">
        <f>'Journey distribution (ex Gold)'!D117/'Journey distribution (ex Gold)'!D$155</f>
        <v>0</v>
      </c>
      <c r="F401" s="902">
        <f>'Journey distribution (ex Gold)'!E117/'Journey distribution (ex Gold)'!E$155</f>
        <v>0</v>
      </c>
      <c r="G401" s="877">
        <f>'Journey distribution (ex Gold)'!F117/'Journey distribution (ex Gold)'!F$155</f>
        <v>4.5637721022758892E-4</v>
      </c>
      <c r="H401" s="660"/>
      <c r="I401" s="660"/>
      <c r="J401" s="660"/>
    </row>
    <row r="402" spans="1:10" x14ac:dyDescent="0.2">
      <c r="A402" s="660"/>
      <c r="B402" s="901">
        <v>114</v>
      </c>
      <c r="C402" s="902">
        <f>'Journey distribution (ex Gold)'!B118/'Journey distribution (ex Gold)'!B$155</f>
        <v>0</v>
      </c>
      <c r="D402" s="902">
        <f>'Journey distribution (ex Gold)'!C118/'Journey distribution (ex Gold)'!C$155</f>
        <v>0</v>
      </c>
      <c r="E402" s="902">
        <f>'Journey distribution (ex Gold)'!D118/'Journey distribution (ex Gold)'!D$155</f>
        <v>0</v>
      </c>
      <c r="F402" s="902">
        <f>'Journey distribution (ex Gold)'!E118/'Journey distribution (ex Gold)'!E$155</f>
        <v>0</v>
      </c>
      <c r="G402" s="877">
        <f>'Journey distribution (ex Gold)'!F118/'Journey distribution (ex Gold)'!F$155</f>
        <v>6.8650278309834517E-5</v>
      </c>
      <c r="H402" s="660"/>
      <c r="I402" s="660"/>
      <c r="J402" s="660"/>
    </row>
    <row r="403" spans="1:10" x14ac:dyDescent="0.2">
      <c r="A403" s="660"/>
      <c r="B403" s="901">
        <v>115</v>
      </c>
      <c r="C403" s="902">
        <f>'Journey distribution (ex Gold)'!B119/'Journey distribution (ex Gold)'!B$155</f>
        <v>0</v>
      </c>
      <c r="D403" s="902">
        <f>'Journey distribution (ex Gold)'!C119/'Journey distribution (ex Gold)'!C$155</f>
        <v>0</v>
      </c>
      <c r="E403" s="902">
        <f>'Journey distribution (ex Gold)'!D119/'Journey distribution (ex Gold)'!D$155</f>
        <v>0</v>
      </c>
      <c r="F403" s="902">
        <f>'Journey distribution (ex Gold)'!E119/'Journey distribution (ex Gold)'!E$155</f>
        <v>0</v>
      </c>
      <c r="G403" s="877">
        <f>'Journey distribution (ex Gold)'!F119/'Journey distribution (ex Gold)'!F$155</f>
        <v>7.9098311704359786E-5</v>
      </c>
      <c r="H403" s="660"/>
      <c r="I403" s="660"/>
      <c r="J403" s="660"/>
    </row>
    <row r="404" spans="1:10" x14ac:dyDescent="0.2">
      <c r="A404" s="660"/>
      <c r="B404" s="901">
        <v>116</v>
      </c>
      <c r="C404" s="902">
        <f>'Journey distribution (ex Gold)'!B120/'Journey distribution (ex Gold)'!B$155</f>
        <v>0</v>
      </c>
      <c r="D404" s="902">
        <f>'Journey distribution (ex Gold)'!C120/'Journey distribution (ex Gold)'!C$155</f>
        <v>0</v>
      </c>
      <c r="E404" s="902">
        <f>'Journey distribution (ex Gold)'!D120/'Journey distribution (ex Gold)'!D$155</f>
        <v>0</v>
      </c>
      <c r="F404" s="902">
        <f>'Journey distribution (ex Gold)'!E120/'Journey distribution (ex Gold)'!E$155</f>
        <v>0</v>
      </c>
      <c r="G404" s="877">
        <f>'Journey distribution (ex Gold)'!F120/'Journey distribution (ex Gold)'!F$155</f>
        <v>3.4185821150948007E-4</v>
      </c>
      <c r="H404" s="660"/>
      <c r="I404" s="660"/>
      <c r="J404" s="660"/>
    </row>
    <row r="405" spans="1:10" x14ac:dyDescent="0.2">
      <c r="A405" s="660"/>
      <c r="B405" s="901">
        <v>117</v>
      </c>
      <c r="C405" s="902">
        <f>'Journey distribution (ex Gold)'!B121/'Journey distribution (ex Gold)'!B$155</f>
        <v>0</v>
      </c>
      <c r="D405" s="902">
        <f>'Journey distribution (ex Gold)'!C121/'Journey distribution (ex Gold)'!C$155</f>
        <v>0</v>
      </c>
      <c r="E405" s="902">
        <f>'Journey distribution (ex Gold)'!D121/'Journey distribution (ex Gold)'!D$155</f>
        <v>0</v>
      </c>
      <c r="F405" s="902">
        <f>'Journey distribution (ex Gold)'!E121/'Journey distribution (ex Gold)'!E$155</f>
        <v>0</v>
      </c>
      <c r="G405" s="877">
        <f>'Journey distribution (ex Gold)'!F121/'Journey distribution (ex Gold)'!F$155</f>
        <v>7.0501711676680486E-5</v>
      </c>
      <c r="H405" s="660"/>
      <c r="I405" s="660"/>
      <c r="J405" s="660"/>
    </row>
    <row r="406" spans="1:10" x14ac:dyDescent="0.2">
      <c r="A406" s="660"/>
      <c r="B406" s="901">
        <v>118</v>
      </c>
      <c r="C406" s="902">
        <f>'Journey distribution (ex Gold)'!B122/'Journey distribution (ex Gold)'!B$155</f>
        <v>0</v>
      </c>
      <c r="D406" s="902">
        <f>'Journey distribution (ex Gold)'!C122/'Journey distribution (ex Gold)'!C$155</f>
        <v>0</v>
      </c>
      <c r="E406" s="902">
        <f>'Journey distribution (ex Gold)'!D122/'Journey distribution (ex Gold)'!D$155</f>
        <v>0</v>
      </c>
      <c r="F406" s="902">
        <f>'Journey distribution (ex Gold)'!E122/'Journey distribution (ex Gold)'!E$155</f>
        <v>0</v>
      </c>
      <c r="G406" s="877">
        <f>'Journey distribution (ex Gold)'!F122/'Journey distribution (ex Gold)'!F$155</f>
        <v>4.5070620474027979E-5</v>
      </c>
      <c r="H406" s="660"/>
      <c r="I406" s="660"/>
      <c r="J406" s="660"/>
    </row>
    <row r="407" spans="1:10" x14ac:dyDescent="0.2">
      <c r="A407" s="660"/>
      <c r="B407" s="901">
        <v>119</v>
      </c>
      <c r="C407" s="902">
        <f>'Journey distribution (ex Gold)'!B123/'Journey distribution (ex Gold)'!B$155</f>
        <v>0</v>
      </c>
      <c r="D407" s="902">
        <f>'Journey distribution (ex Gold)'!C123/'Journey distribution (ex Gold)'!C$155</f>
        <v>0</v>
      </c>
      <c r="E407" s="902">
        <f>'Journey distribution (ex Gold)'!D123/'Journey distribution (ex Gold)'!D$155</f>
        <v>0</v>
      </c>
      <c r="F407" s="902">
        <f>'Journey distribution (ex Gold)'!E123/'Journey distribution (ex Gold)'!E$155</f>
        <v>0</v>
      </c>
      <c r="G407" s="877">
        <f>'Journey distribution (ex Gold)'!F123/'Journey distribution (ex Gold)'!F$155</f>
        <v>1.2827420244445646E-4</v>
      </c>
      <c r="H407" s="660"/>
      <c r="I407" s="660"/>
      <c r="J407" s="660"/>
    </row>
    <row r="408" spans="1:10" x14ac:dyDescent="0.2">
      <c r="A408" s="660"/>
      <c r="B408" s="901">
        <v>120</v>
      </c>
      <c r="C408" s="902">
        <f>'Journey distribution (ex Gold)'!B124/'Journey distribution (ex Gold)'!B$155</f>
        <v>0</v>
      </c>
      <c r="D408" s="902">
        <f>'Journey distribution (ex Gold)'!C124/'Journey distribution (ex Gold)'!C$155</f>
        <v>0</v>
      </c>
      <c r="E408" s="902">
        <f>'Journey distribution (ex Gold)'!D124/'Journey distribution (ex Gold)'!D$155</f>
        <v>0</v>
      </c>
      <c r="F408" s="902">
        <f>'Journey distribution (ex Gold)'!E124/'Journey distribution (ex Gold)'!E$155</f>
        <v>0</v>
      </c>
      <c r="G408" s="877">
        <f>'Journey distribution (ex Gold)'!F124/'Journey distribution (ex Gold)'!F$155</f>
        <v>7.2406697709375732E-5</v>
      </c>
      <c r="H408" s="660"/>
      <c r="I408" s="660"/>
      <c r="J408" s="660"/>
    </row>
    <row r="409" spans="1:10" x14ac:dyDescent="0.2">
      <c r="A409" s="660"/>
      <c r="B409" s="901">
        <v>121</v>
      </c>
      <c r="C409" s="902">
        <f>'Journey distribution (ex Gold)'!B125/'Journey distribution (ex Gold)'!B$155</f>
        <v>0</v>
      </c>
      <c r="D409" s="902">
        <f>'Journey distribution (ex Gold)'!C125/'Journey distribution (ex Gold)'!C$155</f>
        <v>0</v>
      </c>
      <c r="E409" s="902">
        <f>'Journey distribution (ex Gold)'!D125/'Journey distribution (ex Gold)'!D$155</f>
        <v>0</v>
      </c>
      <c r="F409" s="902">
        <f>'Journey distribution (ex Gold)'!E125/'Journey distribution (ex Gold)'!E$155</f>
        <v>0</v>
      </c>
      <c r="G409" s="877">
        <f>'Journey distribution (ex Gold)'!F125/'Journey distribution (ex Gold)'!F$155</f>
        <v>5.3038414311892929E-5</v>
      </c>
      <c r="H409" s="660"/>
      <c r="I409" s="660"/>
      <c r="J409" s="660"/>
    </row>
    <row r="410" spans="1:10" x14ac:dyDescent="0.2">
      <c r="A410" s="660"/>
      <c r="B410" s="901">
        <v>122</v>
      </c>
      <c r="C410" s="902">
        <f>'Journey distribution (ex Gold)'!B126/'Journey distribution (ex Gold)'!B$155</f>
        <v>0</v>
      </c>
      <c r="D410" s="902">
        <f>'Journey distribution (ex Gold)'!C126/'Journey distribution (ex Gold)'!C$155</f>
        <v>0</v>
      </c>
      <c r="E410" s="902">
        <f>'Journey distribution (ex Gold)'!D126/'Journey distribution (ex Gold)'!D$155</f>
        <v>0</v>
      </c>
      <c r="F410" s="902">
        <f>'Journey distribution (ex Gold)'!E126/'Journey distribution (ex Gold)'!E$155</f>
        <v>0</v>
      </c>
      <c r="G410" s="877">
        <f>'Journey distribution (ex Gold)'!F126/'Journey distribution (ex Gold)'!F$155</f>
        <v>1.4727836580053064E-4</v>
      </c>
      <c r="H410" s="660"/>
      <c r="I410" s="660"/>
      <c r="J410" s="660"/>
    </row>
    <row r="411" spans="1:10" x14ac:dyDescent="0.2">
      <c r="A411" s="660"/>
      <c r="B411" s="901">
        <v>123</v>
      </c>
      <c r="C411" s="902">
        <f>'Journey distribution (ex Gold)'!B127/'Journey distribution (ex Gold)'!B$155</f>
        <v>0</v>
      </c>
      <c r="D411" s="902">
        <f>'Journey distribution (ex Gold)'!C127/'Journey distribution (ex Gold)'!C$155</f>
        <v>0</v>
      </c>
      <c r="E411" s="902">
        <f>'Journey distribution (ex Gold)'!D127/'Journey distribution (ex Gold)'!D$155</f>
        <v>0</v>
      </c>
      <c r="F411" s="902">
        <f>'Journey distribution (ex Gold)'!E127/'Journey distribution (ex Gold)'!E$155</f>
        <v>0</v>
      </c>
      <c r="G411" s="877">
        <f>'Journey distribution (ex Gold)'!F127/'Journey distribution (ex Gold)'!F$155</f>
        <v>9.2268219636609144E-5</v>
      </c>
      <c r="H411" s="660"/>
      <c r="I411" s="660"/>
      <c r="J411" s="660"/>
    </row>
    <row r="412" spans="1:10" x14ac:dyDescent="0.2">
      <c r="A412" s="660"/>
      <c r="B412" s="901">
        <v>124</v>
      </c>
      <c r="C412" s="902">
        <f>'Journey distribution (ex Gold)'!B128/'Journey distribution (ex Gold)'!B$155</f>
        <v>0</v>
      </c>
      <c r="D412" s="902">
        <f>'Journey distribution (ex Gold)'!C128/'Journey distribution (ex Gold)'!C$155</f>
        <v>0</v>
      </c>
      <c r="E412" s="902">
        <f>'Journey distribution (ex Gold)'!D128/'Journey distribution (ex Gold)'!D$155</f>
        <v>0</v>
      </c>
      <c r="F412" s="902">
        <f>'Journey distribution (ex Gold)'!E128/'Journey distribution (ex Gold)'!E$155</f>
        <v>0</v>
      </c>
      <c r="G412" s="877">
        <f>'Journey distribution (ex Gold)'!F128/'Journey distribution (ex Gold)'!F$155</f>
        <v>5.2504742567266964E-5</v>
      </c>
      <c r="H412" s="660"/>
      <c r="I412" s="660"/>
      <c r="J412" s="660"/>
    </row>
    <row r="413" spans="1:10" x14ac:dyDescent="0.2">
      <c r="A413" s="660"/>
      <c r="B413" s="901">
        <v>125</v>
      </c>
      <c r="C413" s="902">
        <f>'Journey distribution (ex Gold)'!B129/'Journey distribution (ex Gold)'!B$155</f>
        <v>0</v>
      </c>
      <c r="D413" s="902">
        <f>'Journey distribution (ex Gold)'!C129/'Journey distribution (ex Gold)'!C$155</f>
        <v>0</v>
      </c>
      <c r="E413" s="902">
        <f>'Journey distribution (ex Gold)'!D129/'Journey distribution (ex Gold)'!D$155</f>
        <v>0</v>
      </c>
      <c r="F413" s="902">
        <f>'Journey distribution (ex Gold)'!E129/'Journey distribution (ex Gold)'!E$155</f>
        <v>0</v>
      </c>
      <c r="G413" s="877">
        <f>'Journey distribution (ex Gold)'!F129/'Journey distribution (ex Gold)'!F$155</f>
        <v>4.7870173706896944E-5</v>
      </c>
      <c r="H413" s="660"/>
      <c r="I413" s="660"/>
      <c r="J413" s="660"/>
    </row>
    <row r="414" spans="1:10" x14ac:dyDescent="0.2">
      <c r="A414" s="660"/>
      <c r="B414" s="901">
        <v>126</v>
      </c>
      <c r="C414" s="902">
        <f>'Journey distribution (ex Gold)'!B130/'Journey distribution (ex Gold)'!B$155</f>
        <v>0</v>
      </c>
      <c r="D414" s="902">
        <f>'Journey distribution (ex Gold)'!C130/'Journey distribution (ex Gold)'!C$155</f>
        <v>0</v>
      </c>
      <c r="E414" s="902">
        <f>'Journey distribution (ex Gold)'!D130/'Journey distribution (ex Gold)'!D$155</f>
        <v>0</v>
      </c>
      <c r="F414" s="902">
        <f>'Journey distribution (ex Gold)'!E130/'Journey distribution (ex Gold)'!E$155</f>
        <v>0</v>
      </c>
      <c r="G414" s="877">
        <f>'Journey distribution (ex Gold)'!F130/'Journey distribution (ex Gold)'!F$155</f>
        <v>5.3166347384516103E-5</v>
      </c>
      <c r="H414" s="660"/>
      <c r="I414" s="660"/>
      <c r="J414" s="660"/>
    </row>
    <row r="415" spans="1:10" x14ac:dyDescent="0.2">
      <c r="A415" s="660"/>
      <c r="B415" s="901">
        <v>127</v>
      </c>
      <c r="C415" s="902">
        <f>'Journey distribution (ex Gold)'!B131/'Journey distribution (ex Gold)'!B$155</f>
        <v>0</v>
      </c>
      <c r="D415" s="902">
        <f>'Journey distribution (ex Gold)'!C131/'Journey distribution (ex Gold)'!C$155</f>
        <v>0</v>
      </c>
      <c r="E415" s="902">
        <f>'Journey distribution (ex Gold)'!D131/'Journey distribution (ex Gold)'!D$155</f>
        <v>0</v>
      </c>
      <c r="F415" s="902">
        <f>'Journey distribution (ex Gold)'!E131/'Journey distribution (ex Gold)'!E$155</f>
        <v>0</v>
      </c>
      <c r="G415" s="877">
        <f>'Journey distribution (ex Gold)'!F131/'Journey distribution (ex Gold)'!F$155</f>
        <v>1.0159758030245058E-4</v>
      </c>
      <c r="H415" s="660"/>
      <c r="I415" s="660"/>
      <c r="J415" s="660"/>
    </row>
    <row r="416" spans="1:10" x14ac:dyDescent="0.2">
      <c r="A416" s="660"/>
      <c r="B416" s="901">
        <v>128</v>
      </c>
      <c r="C416" s="902">
        <f>'Journey distribution (ex Gold)'!B132/'Journey distribution (ex Gold)'!B$155</f>
        <v>0</v>
      </c>
      <c r="D416" s="902">
        <f>'Journey distribution (ex Gold)'!C132/'Journey distribution (ex Gold)'!C$155</f>
        <v>0</v>
      </c>
      <c r="E416" s="902">
        <f>'Journey distribution (ex Gold)'!D132/'Journey distribution (ex Gold)'!D$155</f>
        <v>0</v>
      </c>
      <c r="F416" s="902">
        <f>'Journey distribution (ex Gold)'!E132/'Journey distribution (ex Gold)'!E$155</f>
        <v>0</v>
      </c>
      <c r="G416" s="877">
        <f>'Journey distribution (ex Gold)'!F132/'Journey distribution (ex Gold)'!F$155</f>
        <v>3.9620237970582777E-5</v>
      </c>
      <c r="H416" s="660"/>
      <c r="I416" s="660"/>
      <c r="J416" s="660"/>
    </row>
    <row r="417" spans="1:10" x14ac:dyDescent="0.2">
      <c r="A417" s="660"/>
      <c r="B417" s="901">
        <v>129</v>
      </c>
      <c r="C417" s="902">
        <f>'Journey distribution (ex Gold)'!B133/'Journey distribution (ex Gold)'!B$155</f>
        <v>0</v>
      </c>
      <c r="D417" s="902">
        <f>'Journey distribution (ex Gold)'!C133/'Journey distribution (ex Gold)'!C$155</f>
        <v>0</v>
      </c>
      <c r="E417" s="902">
        <f>'Journey distribution (ex Gold)'!D133/'Journey distribution (ex Gold)'!D$155</f>
        <v>0</v>
      </c>
      <c r="F417" s="902">
        <f>'Journey distribution (ex Gold)'!E133/'Journey distribution (ex Gold)'!E$155</f>
        <v>0</v>
      </c>
      <c r="G417" s="877">
        <f>'Journey distribution (ex Gold)'!F133/'Journey distribution (ex Gold)'!F$155</f>
        <v>5.1458189967684576E-5</v>
      </c>
      <c r="H417" s="660"/>
      <c r="I417" s="660"/>
      <c r="J417" s="660"/>
    </row>
    <row r="418" spans="1:10" x14ac:dyDescent="0.2">
      <c r="A418" s="660"/>
      <c r="B418" s="901">
        <v>130</v>
      </c>
      <c r="C418" s="902">
        <f>'Journey distribution (ex Gold)'!B134/'Journey distribution (ex Gold)'!B$155</f>
        <v>0</v>
      </c>
      <c r="D418" s="902">
        <f>'Journey distribution (ex Gold)'!C134/'Journey distribution (ex Gold)'!C$155</f>
        <v>0</v>
      </c>
      <c r="E418" s="902">
        <f>'Journey distribution (ex Gold)'!D134/'Journey distribution (ex Gold)'!D$155</f>
        <v>0</v>
      </c>
      <c r="F418" s="902">
        <f>'Journey distribution (ex Gold)'!E134/'Journey distribution (ex Gold)'!E$155</f>
        <v>0</v>
      </c>
      <c r="G418" s="877">
        <f>'Journey distribution (ex Gold)'!F134/'Journey distribution (ex Gold)'!F$155</f>
        <v>3.9127036292087235E-5</v>
      </c>
      <c r="H418" s="660"/>
      <c r="I418" s="660"/>
      <c r="J418" s="660"/>
    </row>
    <row r="419" spans="1:10" x14ac:dyDescent="0.2">
      <c r="A419" s="660"/>
      <c r="B419" s="901">
        <v>131</v>
      </c>
      <c r="C419" s="902">
        <f>'Journey distribution (ex Gold)'!B135/'Journey distribution (ex Gold)'!B$155</f>
        <v>0</v>
      </c>
      <c r="D419" s="902">
        <f>'Journey distribution (ex Gold)'!C135/'Journey distribution (ex Gold)'!C$155</f>
        <v>0</v>
      </c>
      <c r="E419" s="902">
        <f>'Journey distribution (ex Gold)'!D135/'Journey distribution (ex Gold)'!D$155</f>
        <v>0</v>
      </c>
      <c r="F419" s="902">
        <f>'Journey distribution (ex Gold)'!E135/'Journey distribution (ex Gold)'!E$155</f>
        <v>0</v>
      </c>
      <c r="G419" s="877">
        <f>'Journey distribution (ex Gold)'!F135/'Journey distribution (ex Gold)'!F$155</f>
        <v>1.4223372196908824E-4</v>
      </c>
      <c r="H419" s="660"/>
      <c r="I419" s="660"/>
      <c r="J419" s="660"/>
    </row>
    <row r="420" spans="1:10" x14ac:dyDescent="0.2">
      <c r="A420" s="660"/>
      <c r="B420" s="901">
        <v>132</v>
      </c>
      <c r="C420" s="902">
        <f>'Journey distribution (ex Gold)'!B136/'Journey distribution (ex Gold)'!B$155</f>
        <v>0</v>
      </c>
      <c r="D420" s="902">
        <f>'Journey distribution (ex Gold)'!C136/'Journey distribution (ex Gold)'!C$155</f>
        <v>0</v>
      </c>
      <c r="E420" s="902">
        <f>'Journey distribution (ex Gold)'!D136/'Journey distribution (ex Gold)'!D$155</f>
        <v>0</v>
      </c>
      <c r="F420" s="902">
        <f>'Journey distribution (ex Gold)'!E136/'Journey distribution (ex Gold)'!E$155</f>
        <v>0</v>
      </c>
      <c r="G420" s="877">
        <f>'Journey distribution (ex Gold)'!F136/'Journey distribution (ex Gold)'!F$155</f>
        <v>3.0505272224413737E-5</v>
      </c>
      <c r="H420" s="660"/>
      <c r="I420" s="660"/>
      <c r="J420" s="660"/>
    </row>
    <row r="421" spans="1:10" x14ac:dyDescent="0.2">
      <c r="A421" s="660"/>
      <c r="B421" s="901">
        <v>133</v>
      </c>
      <c r="C421" s="902">
        <f>'Journey distribution (ex Gold)'!B137/'Journey distribution (ex Gold)'!B$155</f>
        <v>0</v>
      </c>
      <c r="D421" s="902">
        <f>'Journey distribution (ex Gold)'!C137/'Journey distribution (ex Gold)'!C$155</f>
        <v>0</v>
      </c>
      <c r="E421" s="902">
        <f>'Journey distribution (ex Gold)'!D137/'Journey distribution (ex Gold)'!D$155</f>
        <v>0</v>
      </c>
      <c r="F421" s="902">
        <f>'Journey distribution (ex Gold)'!E137/'Journey distribution (ex Gold)'!E$155</f>
        <v>0</v>
      </c>
      <c r="G421" s="877">
        <f>'Journey distribution (ex Gold)'!F137/'Journey distribution (ex Gold)'!F$155</f>
        <v>3.7780849192757089E-5</v>
      </c>
      <c r="H421" s="660"/>
      <c r="I421" s="660"/>
      <c r="J421" s="660"/>
    </row>
    <row r="422" spans="1:10" x14ac:dyDescent="0.2">
      <c r="A422" s="660"/>
      <c r="B422" s="901">
        <v>134</v>
      </c>
      <c r="C422" s="902">
        <f>'Journey distribution (ex Gold)'!B138/'Journey distribution (ex Gold)'!B$155</f>
        <v>0</v>
      </c>
      <c r="D422" s="902">
        <f>'Journey distribution (ex Gold)'!C138/'Journey distribution (ex Gold)'!C$155</f>
        <v>0</v>
      </c>
      <c r="E422" s="902">
        <f>'Journey distribution (ex Gold)'!D138/'Journey distribution (ex Gold)'!D$155</f>
        <v>0</v>
      </c>
      <c r="F422" s="902">
        <f>'Journey distribution (ex Gold)'!E138/'Journey distribution (ex Gold)'!E$155</f>
        <v>0</v>
      </c>
      <c r="G422" s="877">
        <f>'Journey distribution (ex Gold)'!F138/'Journey distribution (ex Gold)'!F$155</f>
        <v>1.4322779676477496E-4</v>
      </c>
      <c r="H422" s="660"/>
      <c r="I422" s="660"/>
      <c r="J422" s="660"/>
    </row>
    <row r="423" spans="1:10" x14ac:dyDescent="0.2">
      <c r="A423" s="660"/>
      <c r="B423" s="901">
        <v>135</v>
      </c>
      <c r="C423" s="902">
        <f>'Journey distribution (ex Gold)'!B139/'Journey distribution (ex Gold)'!B$155</f>
        <v>0</v>
      </c>
      <c r="D423" s="902">
        <f>'Journey distribution (ex Gold)'!C139/'Journey distribution (ex Gold)'!C$155</f>
        <v>0</v>
      </c>
      <c r="E423" s="902">
        <f>'Journey distribution (ex Gold)'!D139/'Journey distribution (ex Gold)'!D$155</f>
        <v>0</v>
      </c>
      <c r="F423" s="902">
        <f>'Journey distribution (ex Gold)'!E139/'Journey distribution (ex Gold)'!E$155</f>
        <v>0</v>
      </c>
      <c r="G423" s="877">
        <f>'Journey distribution (ex Gold)'!F139/'Journey distribution (ex Gold)'!F$155</f>
        <v>3.4256243611676694E-5</v>
      </c>
      <c r="H423" s="660"/>
      <c r="I423" s="660"/>
      <c r="J423" s="660"/>
    </row>
    <row r="424" spans="1:10" x14ac:dyDescent="0.2">
      <c r="A424" s="660"/>
      <c r="B424" s="901">
        <v>136</v>
      </c>
      <c r="C424" s="902">
        <f>'Journey distribution (ex Gold)'!B140/'Journey distribution (ex Gold)'!B$155</f>
        <v>0</v>
      </c>
      <c r="D424" s="902">
        <f>'Journey distribution (ex Gold)'!C140/'Journey distribution (ex Gold)'!C$155</f>
        <v>0</v>
      </c>
      <c r="E424" s="902">
        <f>'Journey distribution (ex Gold)'!D140/'Journey distribution (ex Gold)'!D$155</f>
        <v>0</v>
      </c>
      <c r="F424" s="902">
        <f>'Journey distribution (ex Gold)'!E140/'Journey distribution (ex Gold)'!E$155</f>
        <v>0</v>
      </c>
      <c r="G424" s="877">
        <f>'Journey distribution (ex Gold)'!F140/'Journey distribution (ex Gold)'!F$155</f>
        <v>2.8841958024037272E-5</v>
      </c>
      <c r="H424" s="660"/>
      <c r="I424" s="660"/>
      <c r="J424" s="660"/>
    </row>
    <row r="425" spans="1:10" x14ac:dyDescent="0.2">
      <c r="A425" s="660"/>
      <c r="B425" s="901">
        <v>137</v>
      </c>
      <c r="C425" s="902">
        <f>'Journey distribution (ex Gold)'!B141/'Journey distribution (ex Gold)'!B$155</f>
        <v>0</v>
      </c>
      <c r="D425" s="902">
        <f>'Journey distribution (ex Gold)'!C141/'Journey distribution (ex Gold)'!C$155</f>
        <v>0</v>
      </c>
      <c r="E425" s="902">
        <f>'Journey distribution (ex Gold)'!D141/'Journey distribution (ex Gold)'!D$155</f>
        <v>0</v>
      </c>
      <c r="F425" s="902">
        <f>'Journey distribution (ex Gold)'!E141/'Journey distribution (ex Gold)'!E$155</f>
        <v>0</v>
      </c>
      <c r="G425" s="877">
        <f>'Journey distribution (ex Gold)'!F141/'Journey distribution (ex Gold)'!F$155</f>
        <v>5.1656130296757001E-5</v>
      </c>
      <c r="H425" s="660"/>
      <c r="I425" s="660"/>
      <c r="J425" s="660"/>
    </row>
    <row r="426" spans="1:10" x14ac:dyDescent="0.2">
      <c r="A426" s="660"/>
      <c r="B426" s="901">
        <v>138</v>
      </c>
      <c r="C426" s="902">
        <f>'Journey distribution (ex Gold)'!B142/'Journey distribution (ex Gold)'!B$155</f>
        <v>0</v>
      </c>
      <c r="D426" s="902">
        <f>'Journey distribution (ex Gold)'!C142/'Journey distribution (ex Gold)'!C$155</f>
        <v>0</v>
      </c>
      <c r="E426" s="902">
        <f>'Journey distribution (ex Gold)'!D142/'Journey distribution (ex Gold)'!D$155</f>
        <v>0</v>
      </c>
      <c r="F426" s="902">
        <f>'Journey distribution (ex Gold)'!E142/'Journey distribution (ex Gold)'!E$155</f>
        <v>0</v>
      </c>
      <c r="G426" s="877">
        <f>'Journey distribution (ex Gold)'!F142/'Journey distribution (ex Gold)'!F$155</f>
        <v>4.2658201598654583E-5</v>
      </c>
      <c r="H426" s="660"/>
      <c r="I426" s="660"/>
      <c r="J426" s="660"/>
    </row>
    <row r="427" spans="1:10" x14ac:dyDescent="0.2">
      <c r="A427" s="660"/>
      <c r="B427" s="901">
        <v>139</v>
      </c>
      <c r="C427" s="902">
        <f>'Journey distribution (ex Gold)'!B143/'Journey distribution (ex Gold)'!B$155</f>
        <v>0</v>
      </c>
      <c r="D427" s="902">
        <f>'Journey distribution (ex Gold)'!C143/'Journey distribution (ex Gold)'!C$155</f>
        <v>0</v>
      </c>
      <c r="E427" s="902">
        <f>'Journey distribution (ex Gold)'!D143/'Journey distribution (ex Gold)'!D$155</f>
        <v>0</v>
      </c>
      <c r="F427" s="902">
        <f>'Journey distribution (ex Gold)'!E143/'Journey distribution (ex Gold)'!E$155</f>
        <v>0</v>
      </c>
      <c r="G427" s="877">
        <f>'Journey distribution (ex Gold)'!F143/'Journey distribution (ex Gold)'!F$155</f>
        <v>3.5278743884473568E-5</v>
      </c>
      <c r="H427" s="660"/>
      <c r="I427" s="660"/>
      <c r="J427" s="660"/>
    </row>
    <row r="428" spans="1:10" x14ac:dyDescent="0.2">
      <c r="A428" s="660"/>
      <c r="B428" s="901">
        <v>140</v>
      </c>
      <c r="C428" s="902">
        <f>'Journey distribution (ex Gold)'!B144/'Journey distribution (ex Gold)'!B$155</f>
        <v>0</v>
      </c>
      <c r="D428" s="902">
        <f>'Journey distribution (ex Gold)'!C144/'Journey distribution (ex Gold)'!C$155</f>
        <v>0</v>
      </c>
      <c r="E428" s="902">
        <f>'Journey distribution (ex Gold)'!D144/'Journey distribution (ex Gold)'!D$155</f>
        <v>0</v>
      </c>
      <c r="F428" s="902">
        <f>'Journey distribution (ex Gold)'!E144/'Journey distribution (ex Gold)'!E$155</f>
        <v>0</v>
      </c>
      <c r="G428" s="877">
        <f>'Journey distribution (ex Gold)'!F144/'Journey distribution (ex Gold)'!F$155</f>
        <v>3.1127518688741137E-5</v>
      </c>
      <c r="H428" s="660"/>
      <c r="I428" s="660"/>
      <c r="J428" s="660"/>
    </row>
    <row r="429" spans="1:10" x14ac:dyDescent="0.2">
      <c r="A429" s="660"/>
      <c r="B429" s="901">
        <v>141</v>
      </c>
      <c r="C429" s="902">
        <f>'Journey distribution (ex Gold)'!B145/'Journey distribution (ex Gold)'!B$155</f>
        <v>0</v>
      </c>
      <c r="D429" s="902">
        <f>'Journey distribution (ex Gold)'!C145/'Journey distribution (ex Gold)'!C$155</f>
        <v>0</v>
      </c>
      <c r="E429" s="902">
        <f>'Journey distribution (ex Gold)'!D145/'Journey distribution (ex Gold)'!D$155</f>
        <v>0</v>
      </c>
      <c r="F429" s="902">
        <f>'Journey distribution (ex Gold)'!E145/'Journey distribution (ex Gold)'!E$155</f>
        <v>0</v>
      </c>
      <c r="G429" s="877">
        <f>'Journey distribution (ex Gold)'!F145/'Journey distribution (ex Gold)'!F$155</f>
        <v>7.9747871932588652E-5</v>
      </c>
      <c r="H429" s="660"/>
      <c r="I429" s="660"/>
      <c r="J429" s="660"/>
    </row>
    <row r="430" spans="1:10" x14ac:dyDescent="0.2">
      <c r="A430" s="660"/>
      <c r="B430" s="901">
        <v>142</v>
      </c>
      <c r="C430" s="902">
        <f>'Journey distribution (ex Gold)'!B146/'Journey distribution (ex Gold)'!B$155</f>
        <v>0</v>
      </c>
      <c r="D430" s="902">
        <f>'Journey distribution (ex Gold)'!C146/'Journey distribution (ex Gold)'!C$155</f>
        <v>0</v>
      </c>
      <c r="E430" s="902">
        <f>'Journey distribution (ex Gold)'!D146/'Journey distribution (ex Gold)'!D$155</f>
        <v>0</v>
      </c>
      <c r="F430" s="902">
        <f>'Journey distribution (ex Gold)'!E146/'Journey distribution (ex Gold)'!E$155</f>
        <v>0</v>
      </c>
      <c r="G430" s="877">
        <f>'Journey distribution (ex Gold)'!F146/'Journey distribution (ex Gold)'!F$155</f>
        <v>4.9992816096380536E-5</v>
      </c>
      <c r="H430" s="660"/>
      <c r="I430" s="660"/>
      <c r="J430" s="660"/>
    </row>
    <row r="431" spans="1:10" x14ac:dyDescent="0.2">
      <c r="A431" s="660"/>
      <c r="B431" s="901">
        <v>143</v>
      </c>
      <c r="C431" s="902">
        <f>'Journey distribution (ex Gold)'!B147/'Journey distribution (ex Gold)'!B$155</f>
        <v>0</v>
      </c>
      <c r="D431" s="902">
        <f>'Journey distribution (ex Gold)'!C147/'Journey distribution (ex Gold)'!C$155</f>
        <v>0</v>
      </c>
      <c r="E431" s="902">
        <f>'Journey distribution (ex Gold)'!D147/'Journey distribution (ex Gold)'!D$155</f>
        <v>0</v>
      </c>
      <c r="F431" s="902">
        <f>'Journey distribution (ex Gold)'!E147/'Journey distribution (ex Gold)'!E$155</f>
        <v>0</v>
      </c>
      <c r="G431" s="877">
        <f>'Journey distribution (ex Gold)'!F147/'Journey distribution (ex Gold)'!F$155</f>
        <v>6.6676396733898687E-5</v>
      </c>
      <c r="H431" s="660"/>
      <c r="I431" s="660"/>
      <c r="J431" s="660"/>
    </row>
    <row r="432" spans="1:10" x14ac:dyDescent="0.2">
      <c r="A432" s="660"/>
      <c r="B432" s="901">
        <v>144</v>
      </c>
      <c r="C432" s="902">
        <f>'Journey distribution (ex Gold)'!B148/'Journey distribution (ex Gold)'!B$155</f>
        <v>0</v>
      </c>
      <c r="D432" s="902">
        <f>'Journey distribution (ex Gold)'!C148/'Journey distribution (ex Gold)'!C$155</f>
        <v>0</v>
      </c>
      <c r="E432" s="902">
        <f>'Journey distribution (ex Gold)'!D148/'Journey distribution (ex Gold)'!D$155</f>
        <v>0</v>
      </c>
      <c r="F432" s="902">
        <f>'Journey distribution (ex Gold)'!E148/'Journey distribution (ex Gold)'!E$155</f>
        <v>0</v>
      </c>
      <c r="G432" s="877">
        <f>'Journey distribution (ex Gold)'!F148/'Journey distribution (ex Gold)'!F$155</f>
        <v>7.5368131206766386E-5</v>
      </c>
      <c r="H432" s="660"/>
      <c r="I432" s="660"/>
      <c r="J432" s="660"/>
    </row>
    <row r="433" spans="1:10" x14ac:dyDescent="0.2">
      <c r="A433" s="660"/>
      <c r="B433" s="901">
        <v>145</v>
      </c>
      <c r="C433" s="902">
        <f>'Journey distribution (ex Gold)'!B149/'Journey distribution (ex Gold)'!B$155</f>
        <v>0</v>
      </c>
      <c r="D433" s="902">
        <f>'Journey distribution (ex Gold)'!C149/'Journey distribution (ex Gold)'!C$155</f>
        <v>0</v>
      </c>
      <c r="E433" s="902">
        <f>'Journey distribution (ex Gold)'!D149/'Journey distribution (ex Gold)'!D$155</f>
        <v>0</v>
      </c>
      <c r="F433" s="902">
        <f>'Journey distribution (ex Gold)'!E149/'Journey distribution (ex Gold)'!E$155</f>
        <v>0</v>
      </c>
      <c r="G433" s="877">
        <f>'Journey distribution (ex Gold)'!F149/'Journey distribution (ex Gold)'!F$155</f>
        <v>4.3064978281355961E-5</v>
      </c>
      <c r="H433" s="660"/>
      <c r="I433" s="660"/>
      <c r="J433" s="660"/>
    </row>
    <row r="434" spans="1:10" x14ac:dyDescent="0.2">
      <c r="A434" s="660"/>
      <c r="B434" s="901">
        <v>146</v>
      </c>
      <c r="C434" s="902">
        <f>'Journey distribution (ex Gold)'!B150/'Journey distribution (ex Gold)'!B$155</f>
        <v>0</v>
      </c>
      <c r="D434" s="902">
        <f>'Journey distribution (ex Gold)'!C150/'Journey distribution (ex Gold)'!C$155</f>
        <v>0</v>
      </c>
      <c r="E434" s="902">
        <f>'Journey distribution (ex Gold)'!D150/'Journey distribution (ex Gold)'!D$155</f>
        <v>0</v>
      </c>
      <c r="F434" s="902">
        <f>'Journey distribution (ex Gold)'!E150/'Journey distribution (ex Gold)'!E$155</f>
        <v>0</v>
      </c>
      <c r="G434" s="877">
        <f>'Journey distribution (ex Gold)'!F150/'Journey distribution (ex Gold)'!F$155</f>
        <v>2.2791194807887855E-5</v>
      </c>
      <c r="H434" s="660"/>
      <c r="I434" s="660"/>
      <c r="J434" s="660"/>
    </row>
    <row r="435" spans="1:10" x14ac:dyDescent="0.2">
      <c r="A435" s="660"/>
      <c r="B435" s="901">
        <v>147</v>
      </c>
      <c r="C435" s="902">
        <f>'Journey distribution (ex Gold)'!B151/'Journey distribution (ex Gold)'!B$155</f>
        <v>0</v>
      </c>
      <c r="D435" s="902">
        <f>'Journey distribution (ex Gold)'!C151/'Journey distribution (ex Gold)'!C$155</f>
        <v>0</v>
      </c>
      <c r="E435" s="902">
        <f>'Journey distribution (ex Gold)'!D151/'Journey distribution (ex Gold)'!D$155</f>
        <v>0</v>
      </c>
      <c r="F435" s="902">
        <f>'Journey distribution (ex Gold)'!E151/'Journey distribution (ex Gold)'!E$155</f>
        <v>0</v>
      </c>
      <c r="G435" s="877">
        <f>'Journey distribution (ex Gold)'!F151/'Journey distribution (ex Gold)'!F$155</f>
        <v>3.1317709573926589E-4</v>
      </c>
      <c r="H435" s="660"/>
      <c r="I435" s="660"/>
      <c r="J435" s="660"/>
    </row>
    <row r="436" spans="1:10" x14ac:dyDescent="0.2">
      <c r="A436" s="660"/>
      <c r="B436" s="901">
        <v>148</v>
      </c>
      <c r="C436" s="902">
        <f>'Journey distribution (ex Gold)'!B152/'Journey distribution (ex Gold)'!B$155</f>
        <v>0</v>
      </c>
      <c r="D436" s="902">
        <f>'Journey distribution (ex Gold)'!C152/'Journey distribution (ex Gold)'!C$155</f>
        <v>0</v>
      </c>
      <c r="E436" s="902">
        <f>'Journey distribution (ex Gold)'!D152/'Journey distribution (ex Gold)'!D$155</f>
        <v>0</v>
      </c>
      <c r="F436" s="902">
        <f>'Journey distribution (ex Gold)'!E152/'Journey distribution (ex Gold)'!E$155</f>
        <v>0</v>
      </c>
      <c r="G436" s="877">
        <f>'Journey distribution (ex Gold)'!F152/'Journey distribution (ex Gold)'!F$155</f>
        <v>5.5395057094999682E-5</v>
      </c>
      <c r="H436" s="660"/>
      <c r="I436" s="660"/>
      <c r="J436" s="660"/>
    </row>
    <row r="437" spans="1:10" x14ac:dyDescent="0.2">
      <c r="A437" s="660"/>
      <c r="B437" s="901">
        <v>149</v>
      </c>
      <c r="C437" s="902">
        <f>'Journey distribution (ex Gold)'!B153/'Journey distribution (ex Gold)'!B$155</f>
        <v>0</v>
      </c>
      <c r="D437" s="902">
        <f>'Journey distribution (ex Gold)'!C153/'Journey distribution (ex Gold)'!C$155</f>
        <v>0</v>
      </c>
      <c r="E437" s="902">
        <f>'Journey distribution (ex Gold)'!D153/'Journey distribution (ex Gold)'!D$155</f>
        <v>0</v>
      </c>
      <c r="F437" s="902">
        <f>'Journey distribution (ex Gold)'!E153/'Journey distribution (ex Gold)'!E$155</f>
        <v>0</v>
      </c>
      <c r="G437" s="877">
        <f>'Journey distribution (ex Gold)'!F153/'Journey distribution (ex Gold)'!F$155</f>
        <v>3.7130177251319544E-5</v>
      </c>
      <c r="H437" s="660"/>
      <c r="I437" s="660"/>
      <c r="J437" s="660"/>
    </row>
    <row r="438" spans="1:10" x14ac:dyDescent="0.2">
      <c r="A438" s="660"/>
      <c r="B438" s="903">
        <v>150</v>
      </c>
      <c r="C438" s="904">
        <f>'Journey distribution (ex Gold)'!B154/'Journey distribution (ex Gold)'!B$155</f>
        <v>0</v>
      </c>
      <c r="D438" s="904">
        <f>'Journey distribution (ex Gold)'!C154/'Journey distribution (ex Gold)'!C$155</f>
        <v>0</v>
      </c>
      <c r="E438" s="904">
        <f>'Journey distribution (ex Gold)'!D154/'Journey distribution (ex Gold)'!D$155</f>
        <v>0</v>
      </c>
      <c r="F438" s="904">
        <f>'Journey distribution (ex Gold)'!E154/'Journey distribution (ex Gold)'!E$155</f>
        <v>0</v>
      </c>
      <c r="G438" s="905">
        <f>'Journey distribution (ex Gold)'!F154/'Journey distribution (ex Gold)'!F$155</f>
        <v>2.3282451478271022E-3</v>
      </c>
      <c r="H438" s="660"/>
      <c r="I438" s="660"/>
      <c r="J438" s="660"/>
    </row>
    <row r="439" spans="1:10" x14ac:dyDescent="0.2">
      <c r="B439" s="1254" t="s">
        <v>239</v>
      </c>
      <c r="C439" s="1255">
        <f>SUM(C288:C438)</f>
        <v>0.99999999999999978</v>
      </c>
      <c r="D439" s="1255">
        <f t="shared" ref="D439:G439" si="32">SUM(D288:D438)</f>
        <v>0.99999999999999978</v>
      </c>
      <c r="E439" s="1255">
        <f t="shared" si="32"/>
        <v>1</v>
      </c>
      <c r="F439" s="1255">
        <f t="shared" si="32"/>
        <v>1</v>
      </c>
      <c r="G439" s="1256">
        <f t="shared" si="32"/>
        <v>1.0000000000000002</v>
      </c>
      <c r="H439" s="660"/>
      <c r="I439" s="660"/>
      <c r="J439" s="660"/>
    </row>
  </sheetData>
  <mergeCells count="3">
    <mergeCell ref="I10:Q12"/>
    <mergeCell ref="L25:P38"/>
    <mergeCell ref="S92:S9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0"/>
  <sheetViews>
    <sheetView showGridLines="0" zoomScale="75" zoomScaleNormal="75" workbookViewId="0"/>
  </sheetViews>
  <sheetFormatPr defaultColWidth="9" defaultRowHeight="12" x14ac:dyDescent="0.2"/>
  <cols>
    <col min="1" max="1" width="14.42578125" style="667" customWidth="1"/>
    <col min="2" max="2" width="39.42578125" style="667" customWidth="1"/>
    <col min="3" max="4" width="22.85546875" style="667" customWidth="1"/>
    <col min="5" max="7" width="9" style="667"/>
    <col min="8" max="8" width="18.5703125" style="667" customWidth="1"/>
    <col min="9" max="9" width="14.85546875" style="667" customWidth="1"/>
    <col min="10" max="18" width="19.7109375" style="667" customWidth="1"/>
    <col min="19" max="20" width="9" style="667"/>
    <col min="21" max="21" width="9.85546875" style="667" bestFit="1" customWidth="1"/>
    <col min="22" max="16384" width="9" style="667"/>
  </cols>
  <sheetData>
    <row r="1" spans="1:27" s="679" customFormat="1" ht="18.600000000000001" customHeight="1" x14ac:dyDescent="0.2">
      <c r="A1" s="28"/>
      <c r="B1" s="28"/>
      <c r="C1" s="28"/>
    </row>
    <row r="2" spans="1:27" s="679" customFormat="1" ht="18.600000000000001" customHeight="1" x14ac:dyDescent="0.2">
      <c r="A2" s="28"/>
      <c r="B2" s="28"/>
      <c r="C2" s="28"/>
    </row>
    <row r="3" spans="1:27" s="679" customFormat="1" ht="18.600000000000001" customHeight="1" x14ac:dyDescent="0.2">
      <c r="A3" s="28"/>
      <c r="B3" s="28"/>
      <c r="C3" s="28"/>
      <c r="E3" s="83"/>
      <c r="F3" s="28"/>
      <c r="G3" s="28"/>
      <c r="K3" s="75" t="s">
        <v>409</v>
      </c>
      <c r="L3" s="76"/>
      <c r="M3" s="76"/>
      <c r="N3" s="76"/>
      <c r="O3" s="76"/>
      <c r="P3" s="76"/>
      <c r="Q3" s="76"/>
      <c r="R3" s="76"/>
      <c r="S3" s="76"/>
      <c r="T3" s="76"/>
      <c r="U3" s="76"/>
      <c r="V3" s="76"/>
      <c r="W3" s="76"/>
      <c r="X3" s="76"/>
      <c r="Y3" s="76"/>
    </row>
    <row r="4" spans="1:27" s="679" customFormat="1" ht="18.600000000000001" customHeight="1" x14ac:dyDescent="0.2">
      <c r="A4" s="28"/>
      <c r="B4" s="28"/>
      <c r="C4" s="28"/>
      <c r="E4" s="28"/>
      <c r="F4" s="28"/>
      <c r="G4" s="28"/>
      <c r="K4" s="76"/>
      <c r="L4" s="76"/>
      <c r="M4" s="76"/>
      <c r="N4" s="76"/>
      <c r="O4" s="76"/>
      <c r="P4" s="76"/>
      <c r="Q4" s="76"/>
      <c r="R4" s="76"/>
      <c r="S4" s="76"/>
      <c r="T4" s="76"/>
      <c r="U4" s="76"/>
      <c r="V4" s="76"/>
      <c r="W4" s="76"/>
      <c r="X4" s="76"/>
      <c r="Y4" s="76"/>
    </row>
    <row r="5" spans="1:27" s="679" customFormat="1" ht="18.600000000000001" customHeight="1" x14ac:dyDescent="0.2">
      <c r="A5" s="28"/>
      <c r="B5" s="28"/>
      <c r="C5" s="28"/>
      <c r="E5" s="28"/>
      <c r="F5" s="28"/>
      <c r="G5" s="28"/>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t="str">
        <f>'Contents, list of sources'!T17</f>
        <v>Date accessed</v>
      </c>
      <c r="Y5" s="449"/>
      <c r="Z5" s="28"/>
      <c r="AA5" s="28"/>
    </row>
    <row r="6" spans="1:27" s="679" customFormat="1" ht="18.600000000000001" customHeight="1" x14ac:dyDescent="0.2">
      <c r="A6" s="28"/>
      <c r="B6" s="28"/>
      <c r="C6" s="28"/>
      <c r="E6" s="28"/>
      <c r="F6" s="28"/>
      <c r="G6" s="28"/>
      <c r="K6" s="74" t="str">
        <f>'Contents, list of sources'!G489</f>
        <v>Transport for NSW</v>
      </c>
      <c r="L6" s="74"/>
      <c r="M6" s="74" t="str">
        <f>'Contents, list of sources'!I489</f>
        <v>Annual revenue - Email 12 June 2019</v>
      </c>
      <c r="N6" s="74"/>
      <c r="O6" s="74"/>
      <c r="P6" s="74"/>
      <c r="Q6" s="74"/>
      <c r="R6" s="74"/>
      <c r="S6" s="74"/>
      <c r="T6" s="74"/>
      <c r="U6" s="74"/>
      <c r="V6" s="74"/>
      <c r="W6" s="74"/>
      <c r="X6" s="74"/>
      <c r="Y6" s="74"/>
      <c r="Z6" s="28"/>
    </row>
    <row r="7" spans="1:27" s="679" customFormat="1" ht="18.600000000000001" customHeight="1" x14ac:dyDescent="0.2">
      <c r="A7" s="28"/>
      <c r="B7" s="28"/>
      <c r="C7" s="28"/>
      <c r="E7" s="28"/>
      <c r="F7" s="28"/>
      <c r="G7" s="28"/>
      <c r="K7" s="74" t="str">
        <f>'Contents, list of sources'!G490</f>
        <v>NSW Government</v>
      </c>
      <c r="L7" s="74"/>
      <c r="M7" s="74" t="str">
        <f>'Contents, list of sources'!I490</f>
        <v>Future transport strategy 2056</v>
      </c>
      <c r="N7" s="74"/>
      <c r="O7" s="74"/>
      <c r="P7" s="74"/>
      <c r="Q7" s="191">
        <f>'Contents, list of sources'!M490</f>
        <v>43160</v>
      </c>
      <c r="R7" s="74">
        <f>'Contents, list of sources'!N490</f>
        <v>137</v>
      </c>
      <c r="S7" s="74" t="str">
        <f>'Contents, list of sources'!O490</f>
        <v>https://future.transport.nsw.gov.au/sites/default/files/media/documents/2018/Future_Transport_2056_Strategy.pdf</v>
      </c>
      <c r="T7" s="74"/>
      <c r="U7" s="74"/>
      <c r="V7" s="74"/>
      <c r="W7" s="74"/>
      <c r="X7" s="191">
        <f>'Contents, list of sources'!T490</f>
        <v>43570</v>
      </c>
      <c r="Y7" s="74"/>
      <c r="Z7" s="28"/>
    </row>
    <row r="8" spans="1:27" s="2" customFormat="1" ht="18.600000000000001" customHeight="1" x14ac:dyDescent="0.2">
      <c r="A8" s="381"/>
      <c r="D8" s="86"/>
      <c r="Z8" s="28"/>
    </row>
    <row r="9" spans="1:27" s="2" customFormat="1" ht="18.600000000000001" customHeight="1" x14ac:dyDescent="0.2">
      <c r="A9" s="381"/>
      <c r="D9" s="86"/>
    </row>
    <row r="10" spans="1:27" s="2" customFormat="1" ht="18.600000000000001" customHeight="1" x14ac:dyDescent="0.2">
      <c r="A10" s="381"/>
      <c r="D10" s="86"/>
      <c r="F10" s="89"/>
    </row>
    <row r="11" spans="1:27" s="268" customFormat="1" ht="18.600000000000001" customHeight="1" x14ac:dyDescent="0.3">
      <c r="B11" s="382" t="s">
        <v>754</v>
      </c>
      <c r="E11" s="76"/>
      <c r="F11" s="76"/>
      <c r="G11" s="76"/>
      <c r="H11" s="76"/>
      <c r="I11" s="76"/>
      <c r="J11" s="76"/>
      <c r="K11" s="269"/>
      <c r="L11" s="76"/>
      <c r="M11" s="76"/>
      <c r="N11" s="76"/>
      <c r="O11" s="76"/>
      <c r="P11" s="76"/>
      <c r="Q11" s="76"/>
      <c r="R11" s="76"/>
      <c r="S11" s="76"/>
    </row>
    <row r="12" spans="1:27" s="77" customFormat="1" ht="18.600000000000001" customHeight="1" x14ac:dyDescent="0.3">
      <c r="C12" s="383"/>
    </row>
    <row r="16" spans="1:27" ht="14.25" x14ac:dyDescent="0.2">
      <c r="B16" s="337" t="s">
        <v>890</v>
      </c>
      <c r="C16" s="669"/>
      <c r="D16" s="669"/>
      <c r="E16" s="669"/>
      <c r="F16" s="669"/>
      <c r="G16" s="669"/>
      <c r="H16" s="669"/>
    </row>
    <row r="17" spans="2:17" x14ac:dyDescent="0.2">
      <c r="B17" s="14"/>
      <c r="C17" s="847">
        <v>2014</v>
      </c>
      <c r="D17" s="847">
        <v>2015</v>
      </c>
      <c r="E17" s="847">
        <v>2016</v>
      </c>
      <c r="F17" s="847">
        <v>2017</v>
      </c>
      <c r="G17" s="847">
        <v>2018</v>
      </c>
      <c r="H17" s="950">
        <v>2019</v>
      </c>
      <c r="I17" s="950" t="s">
        <v>661</v>
      </c>
      <c r="N17" s="189" t="s">
        <v>456</v>
      </c>
      <c r="O17" s="1129"/>
    </row>
    <row r="18" spans="2:17" x14ac:dyDescent="0.2">
      <c r="B18" s="670" t="s">
        <v>752</v>
      </c>
      <c r="C18" s="46">
        <f t="shared" ref="C18:H18" si="0">C48-1</f>
        <v>0</v>
      </c>
      <c r="D18" s="46">
        <f t="shared" si="0"/>
        <v>2.2816623913517686E-2</v>
      </c>
      <c r="E18" s="46">
        <f t="shared" si="0"/>
        <v>4.615384615384599E-2</v>
      </c>
      <c r="F18" s="46">
        <f t="shared" si="0"/>
        <v>0.18281211030123345</v>
      </c>
      <c r="G18" s="46">
        <f t="shared" si="0"/>
        <v>0.33732193732193716</v>
      </c>
      <c r="H18" s="617">
        <f t="shared" si="0"/>
        <v>0.38408276485136672</v>
      </c>
      <c r="I18" s="615">
        <f>(H18+1)^(1/5)-1</f>
        <v>6.7167061530698291E-2</v>
      </c>
      <c r="N18" s="1129"/>
      <c r="O18" s="1129"/>
    </row>
    <row r="19" spans="2:17" x14ac:dyDescent="0.2">
      <c r="B19" s="670" t="s">
        <v>751</v>
      </c>
      <c r="C19" s="46">
        <f t="shared" ref="C19:H19" si="1">C47-1</f>
        <v>0</v>
      </c>
      <c r="D19" s="46">
        <f t="shared" si="1"/>
        <v>-2.687179699518738E-2</v>
      </c>
      <c r="E19" s="46">
        <f t="shared" si="1"/>
        <v>1.2961718419049362E-2</v>
      </c>
      <c r="F19" s="46">
        <f t="shared" si="1"/>
        <v>8.8132996563289323E-2</v>
      </c>
      <c r="G19" s="46">
        <f t="shared" si="1"/>
        <v>0.17886661804097925</v>
      </c>
      <c r="H19" s="617">
        <f t="shared" si="1"/>
        <v>0.2813329345626423</v>
      </c>
      <c r="I19" s="615">
        <f t="shared" ref="I19:I21" si="2">(H19+1)^(1/5)-1</f>
        <v>5.0829842529714009E-2</v>
      </c>
      <c r="N19" s="1129"/>
      <c r="O19" s="1129"/>
    </row>
    <row r="20" spans="2:17" x14ac:dyDescent="0.2">
      <c r="B20" s="670" t="s">
        <v>750</v>
      </c>
      <c r="C20" s="46">
        <f t="shared" ref="C20:H20" si="3">C49-1</f>
        <v>0</v>
      </c>
      <c r="D20" s="46">
        <f t="shared" si="3"/>
        <v>8.429810313615782E-2</v>
      </c>
      <c r="E20" s="46">
        <f t="shared" si="3"/>
        <v>0.21340254870954589</v>
      </c>
      <c r="F20" s="46">
        <f t="shared" si="3"/>
        <v>0.30431570511673844</v>
      </c>
      <c r="G20" s="46">
        <f t="shared" si="3"/>
        <v>0.36779553081419913</v>
      </c>
      <c r="H20" s="617">
        <f t="shared" si="3"/>
        <v>0.43176728178195023</v>
      </c>
      <c r="I20" s="615">
        <f t="shared" si="2"/>
        <v>7.4420996446965759E-2</v>
      </c>
      <c r="N20" s="1129"/>
      <c r="O20" s="1129"/>
    </row>
    <row r="21" spans="2:17" x14ac:dyDescent="0.2">
      <c r="B21" s="674" t="s">
        <v>941</v>
      </c>
      <c r="C21" s="471">
        <f>SUMPRODUCT('Change in average single fare'!$G$54:$G$56, 'Fare change index'!J56:J58)</f>
        <v>0</v>
      </c>
      <c r="D21" s="471">
        <f>SUMPRODUCT('Change in average single fare'!$G$54:$G$56, 'Fare change index'!K56:K58)</f>
        <v>2.954979360174154E-2</v>
      </c>
      <c r="E21" s="471">
        <f>SUMPRODUCT('Change in average single fare'!$G$54:$G$56, 'Fare change index'!L56:L58)</f>
        <v>1.5405261778186073E-2</v>
      </c>
      <c r="F21" s="471">
        <f>SUMPRODUCT('Change in average single fare'!$G$54:$G$56, 'Fare change index'!M56:M58)</f>
        <v>1.5405261778186073E-2</v>
      </c>
      <c r="G21" s="471">
        <f>SUMPRODUCT('Change in average single fare'!$G$54:$G$56, 'Fare change index'!N56:N58)</f>
        <v>3.9872858447539843E-2</v>
      </c>
      <c r="H21" s="614">
        <f>SUMPRODUCT('Change in average single fare'!$G$54:$G$56, 'Fare change index'!O56:O58)</f>
        <v>5.2106656782216945E-2</v>
      </c>
      <c r="I21" s="951">
        <f t="shared" si="2"/>
        <v>1.0210675585603513E-2</v>
      </c>
      <c r="N21" s="1129"/>
      <c r="O21" s="1129"/>
    </row>
    <row r="22" spans="2:17" x14ac:dyDescent="0.2">
      <c r="N22" s="1129"/>
      <c r="O22" s="1129"/>
    </row>
    <row r="23" spans="2:17" x14ac:dyDescent="0.2">
      <c r="I23" s="677"/>
      <c r="N23" s="1129"/>
      <c r="O23" s="1129"/>
    </row>
    <row r="24" spans="2:17" ht="12.75" x14ac:dyDescent="0.2">
      <c r="I24" s="1044">
        <f>SUMPRODUCT('Change in average single fare'!$G$54:$G$56, 'Fare change index'!P56:P58)</f>
        <v>6.4340455116893916E-2</v>
      </c>
      <c r="N24" s="1129"/>
      <c r="O24" s="1129"/>
    </row>
    <row r="25" spans="2:17" x14ac:dyDescent="0.2">
      <c r="N25" s="1129"/>
      <c r="O25" s="1129"/>
    </row>
    <row r="26" spans="2:17" x14ac:dyDescent="0.2">
      <c r="N26" s="1129"/>
      <c r="O26" s="1129"/>
    </row>
    <row r="27" spans="2:17" x14ac:dyDescent="0.2">
      <c r="N27" s="1129"/>
      <c r="O27" s="1129"/>
    </row>
    <row r="28" spans="2:17" x14ac:dyDescent="0.2">
      <c r="N28" s="1129"/>
      <c r="O28" s="1129"/>
    </row>
    <row r="29" spans="2:17" ht="22.5" customHeight="1" x14ac:dyDescent="0.2">
      <c r="B29" s="27" t="s">
        <v>774</v>
      </c>
      <c r="C29" s="973">
        <v>1770080981.3900001</v>
      </c>
      <c r="N29" s="190" t="str">
        <f>'Contents, list of sources'!G489</f>
        <v>Transport for NSW</v>
      </c>
      <c r="O29" s="958" t="str">
        <f>'Contents, list of sources'!I489</f>
        <v>Annual revenue - Email 12 June 2019</v>
      </c>
      <c r="P29" s="70"/>
      <c r="Q29" s="70"/>
    </row>
    <row r="30" spans="2:17" x14ac:dyDescent="0.2">
      <c r="N30" s="1275"/>
      <c r="O30" s="958"/>
      <c r="P30" s="70"/>
      <c r="Q30" s="70"/>
    </row>
    <row r="31" spans="2:17" x14ac:dyDescent="0.2">
      <c r="N31" s="1129"/>
      <c r="O31" s="1129"/>
      <c r="P31" s="677"/>
      <c r="Q31" s="677"/>
    </row>
    <row r="32" spans="2:17" x14ac:dyDescent="0.2">
      <c r="N32" s="1129"/>
      <c r="O32" s="1129"/>
      <c r="P32" s="677"/>
      <c r="Q32" s="677"/>
    </row>
    <row r="33" spans="2:21" ht="14.25" x14ac:dyDescent="0.2">
      <c r="B33" s="337" t="s">
        <v>757</v>
      </c>
      <c r="N33" s="1129"/>
      <c r="O33" s="1129"/>
      <c r="P33" s="677"/>
      <c r="Q33" s="677"/>
    </row>
    <row r="34" spans="2:21" s="351" customFormat="1" x14ac:dyDescent="0.2">
      <c r="B34" s="581"/>
      <c r="C34" s="6" t="s">
        <v>9</v>
      </c>
      <c r="D34" s="6" t="s">
        <v>18</v>
      </c>
      <c r="E34" s="6" t="s">
        <v>19</v>
      </c>
      <c r="F34" s="6" t="s">
        <v>20</v>
      </c>
      <c r="G34" s="6" t="s">
        <v>6</v>
      </c>
      <c r="H34" s="6" t="s">
        <v>51</v>
      </c>
      <c r="I34" s="69" t="s">
        <v>618</v>
      </c>
      <c r="J34" s="294"/>
      <c r="M34" s="70"/>
      <c r="N34" s="958"/>
      <c r="O34" s="958"/>
      <c r="P34" s="70"/>
      <c r="Q34" s="70"/>
    </row>
    <row r="35" spans="2:21" s="351" customFormat="1" x14ac:dyDescent="0.2">
      <c r="B35" s="287" t="s">
        <v>753</v>
      </c>
      <c r="C35" s="952">
        <f>'TfNSW cost revenue data'!L26/1000</f>
        <v>1255.8520000000001</v>
      </c>
      <c r="D35" s="952">
        <f>'TfNSW cost revenue data'!M26/1000</f>
        <v>1222.105</v>
      </c>
      <c r="E35" s="952">
        <f>'TfNSW cost revenue data'!N26/1000</f>
        <v>1272.1300000000001</v>
      </c>
      <c r="F35" s="952">
        <f>'TfNSW cost revenue data'!O26/1000</f>
        <v>1366.5340000000001</v>
      </c>
      <c r="G35" s="952">
        <f>'TfNSW cost revenue data'!P26/1000</f>
        <v>1480.482</v>
      </c>
      <c r="H35" s="974">
        <f>C29/1000000/(1+'IPART inputs'!C23)</f>
        <v>1609.1645285363636</v>
      </c>
      <c r="I35" s="56"/>
      <c r="J35" s="294"/>
      <c r="M35" s="70"/>
      <c r="N35" s="958"/>
      <c r="O35" s="958"/>
      <c r="P35" s="70"/>
      <c r="Q35" s="70"/>
      <c r="R35" s="70"/>
      <c r="S35" s="70"/>
      <c r="T35" s="70"/>
      <c r="U35" s="70"/>
    </row>
    <row r="36" spans="2:21" s="351" customFormat="1" ht="24" x14ac:dyDescent="0.2">
      <c r="B36" s="287" t="s">
        <v>752</v>
      </c>
      <c r="C36" s="953">
        <v>3510</v>
      </c>
      <c r="D36" s="954">
        <f>(E36/C36)^(1/2)*C36</f>
        <v>3590.0863499364473</v>
      </c>
      <c r="E36" s="953">
        <v>3672</v>
      </c>
      <c r="F36" s="954">
        <f>(G36/E36)^(1/2)*E36</f>
        <v>4151.6705071573306</v>
      </c>
      <c r="G36" s="953">
        <v>4694</v>
      </c>
      <c r="H36" s="954">
        <f>(I36/G36)^(1/2)*G36</f>
        <v>4858.1305046282978</v>
      </c>
      <c r="I36" s="955">
        <v>5028</v>
      </c>
      <c r="J36" s="956"/>
      <c r="K36" s="957"/>
      <c r="N36" s="190" t="str">
        <f>'Contents, list of sources'!G490</f>
        <v>NSW Government</v>
      </c>
      <c r="O36" s="958" t="str">
        <f>'Contents, list of sources'!I490</f>
        <v>Future transport strategy 2056</v>
      </c>
      <c r="P36" s="70"/>
      <c r="Q36" s="70"/>
      <c r="R36" s="70"/>
      <c r="S36" s="70"/>
      <c r="T36" s="70"/>
      <c r="U36" s="70"/>
    </row>
    <row r="37" spans="2:21" s="351" customFormat="1" x14ac:dyDescent="0.2">
      <c r="B37" s="288" t="s">
        <v>758</v>
      </c>
      <c r="C37" s="959">
        <f>SUM('Patronage since 2011-12'!F18:F21)</f>
        <v>559028</v>
      </c>
      <c r="D37" s="959">
        <f>SUM('Patronage since 2011-12'!G18:G21)</f>
        <v>606153</v>
      </c>
      <c r="E37" s="959">
        <f>SUM('Patronage since 2011-12'!H18:H21)</f>
        <v>678326</v>
      </c>
      <c r="F37" s="959">
        <f>SUM('Patronage since 2011-12'!I18:I21)</f>
        <v>729149</v>
      </c>
      <c r="G37" s="959">
        <f>SUM('Patronage since 2011-12'!J18:J21)</f>
        <v>764636</v>
      </c>
      <c r="H37" s="959">
        <f>SUM('Patronage since 2011-12'!K18:K21)</f>
        <v>800398</v>
      </c>
      <c r="I37" s="57"/>
      <c r="J37" s="294"/>
      <c r="L37" s="957"/>
      <c r="N37" s="1275"/>
      <c r="O37" s="958"/>
      <c r="P37" s="70"/>
      <c r="Q37" s="70"/>
      <c r="R37" s="70"/>
      <c r="S37" s="70"/>
      <c r="T37" s="70"/>
      <c r="U37" s="70"/>
    </row>
    <row r="38" spans="2:21" s="351" customFormat="1" x14ac:dyDescent="0.2">
      <c r="I38" s="960"/>
      <c r="J38" s="960"/>
      <c r="K38" s="960"/>
      <c r="L38" s="960"/>
      <c r="M38" s="960"/>
      <c r="N38" s="1276"/>
      <c r="O38" s="958"/>
      <c r="P38" s="70"/>
      <c r="Q38" s="70"/>
      <c r="R38" s="70"/>
      <c r="S38" s="70"/>
      <c r="T38" s="70"/>
      <c r="U38" s="70"/>
    </row>
    <row r="39" spans="2:21" x14ac:dyDescent="0.2">
      <c r="I39" s="949"/>
      <c r="J39" s="949"/>
      <c r="K39" s="949"/>
      <c r="L39" s="949"/>
      <c r="M39" s="949"/>
      <c r="N39" s="1277"/>
      <c r="O39" s="1129"/>
      <c r="P39" s="677"/>
      <c r="Q39" s="677"/>
      <c r="R39" s="677"/>
      <c r="S39" s="677"/>
      <c r="T39" s="677"/>
      <c r="U39" s="677"/>
    </row>
    <row r="40" spans="2:21" ht="14.25" x14ac:dyDescent="0.2">
      <c r="B40" s="337" t="s">
        <v>756</v>
      </c>
      <c r="C40" s="948"/>
      <c r="D40" s="948"/>
      <c r="E40" s="948"/>
      <c r="F40" s="948"/>
      <c r="G40" s="948"/>
      <c r="H40" s="948"/>
      <c r="N40" s="1129"/>
      <c r="O40" s="1129"/>
      <c r="Q40" s="677"/>
      <c r="R40" s="677"/>
      <c r="S40" s="677"/>
      <c r="T40" s="677"/>
      <c r="U40" s="677"/>
    </row>
    <row r="41" spans="2:21" x14ac:dyDescent="0.2">
      <c r="B41" s="581" t="s">
        <v>753</v>
      </c>
      <c r="C41" s="668"/>
      <c r="D41" s="947">
        <f t="shared" ref="D41:H43" si="4">D35/C35-1</f>
        <v>-2.687179699518738E-2</v>
      </c>
      <c r="E41" s="947">
        <f t="shared" si="4"/>
        <v>4.0933471346570105E-2</v>
      </c>
      <c r="F41" s="947">
        <f t="shared" si="4"/>
        <v>7.4209396838373465E-2</v>
      </c>
      <c r="G41" s="947">
        <f t="shared" si="4"/>
        <v>8.3384679781110416E-2</v>
      </c>
      <c r="H41" s="946">
        <f t="shared" si="4"/>
        <v>8.6919346899431149E-2</v>
      </c>
      <c r="N41" s="1129"/>
      <c r="O41" s="1129"/>
      <c r="Q41" s="677"/>
      <c r="R41" s="677"/>
      <c r="S41" s="677"/>
      <c r="T41" s="677"/>
      <c r="U41" s="677"/>
    </row>
    <row r="42" spans="2:21" x14ac:dyDescent="0.2">
      <c r="B42" s="287" t="s">
        <v>752</v>
      </c>
      <c r="C42" s="669"/>
      <c r="D42" s="46">
        <f t="shared" si="4"/>
        <v>2.2816623913517686E-2</v>
      </c>
      <c r="E42" s="46">
        <f t="shared" si="4"/>
        <v>2.2816623913517464E-2</v>
      </c>
      <c r="F42" s="46">
        <f t="shared" si="4"/>
        <v>0.1306292230820616</v>
      </c>
      <c r="G42" s="46">
        <f t="shared" si="4"/>
        <v>0.13062922308206137</v>
      </c>
      <c r="H42" s="617">
        <f t="shared" si="4"/>
        <v>3.4966021437643269E-2</v>
      </c>
      <c r="N42" s="1129"/>
      <c r="O42" s="1129"/>
      <c r="Q42" s="677"/>
      <c r="R42" s="677"/>
      <c r="S42" s="677"/>
      <c r="T42" s="677"/>
      <c r="U42" s="677"/>
    </row>
    <row r="43" spans="2:21" x14ac:dyDescent="0.2">
      <c r="B43" s="288" t="s">
        <v>758</v>
      </c>
      <c r="C43" s="671"/>
      <c r="D43" s="471">
        <f t="shared" si="4"/>
        <v>8.429810313615782E-2</v>
      </c>
      <c r="E43" s="471">
        <f t="shared" si="4"/>
        <v>0.11906729819039086</v>
      </c>
      <c r="F43" s="471">
        <f t="shared" si="4"/>
        <v>7.4924151514168758E-2</v>
      </c>
      <c r="G43" s="471">
        <f t="shared" si="4"/>
        <v>4.8669064896200931E-2</v>
      </c>
      <c r="H43" s="614">
        <f t="shared" si="4"/>
        <v>4.676996636307984E-2</v>
      </c>
      <c r="N43" s="1129"/>
      <c r="O43" s="1129"/>
      <c r="Q43" s="677"/>
      <c r="R43" s="677"/>
      <c r="S43" s="677"/>
      <c r="T43" s="677"/>
      <c r="U43" s="677"/>
    </row>
    <row r="44" spans="2:21" x14ac:dyDescent="0.2">
      <c r="B44" s="669"/>
      <c r="C44" s="669"/>
      <c r="D44" s="669"/>
      <c r="E44" s="669"/>
      <c r="F44" s="669"/>
      <c r="G44" s="669"/>
      <c r="H44" s="669"/>
      <c r="N44" s="1129"/>
      <c r="O44" s="1129"/>
    </row>
    <row r="45" spans="2:21" x14ac:dyDescent="0.2">
      <c r="C45" s="669"/>
      <c r="D45" s="669"/>
      <c r="E45" s="669"/>
      <c r="F45" s="669"/>
      <c r="G45" s="669"/>
      <c r="H45" s="669"/>
      <c r="N45" s="1129"/>
      <c r="O45" s="1129"/>
    </row>
    <row r="46" spans="2:21" ht="14.25" x14ac:dyDescent="0.2">
      <c r="B46" s="337" t="s">
        <v>755</v>
      </c>
      <c r="C46" s="669"/>
      <c r="D46" s="669"/>
      <c r="E46" s="669"/>
      <c r="F46" s="669"/>
      <c r="G46" s="669"/>
      <c r="H46" s="669"/>
      <c r="N46" s="1129"/>
      <c r="O46" s="1129"/>
    </row>
    <row r="47" spans="2:21" x14ac:dyDescent="0.2">
      <c r="B47" s="581" t="s">
        <v>753</v>
      </c>
      <c r="C47" s="668">
        <v>1</v>
      </c>
      <c r="D47" s="668">
        <f t="shared" ref="D47:H49" si="5">C47*(1+D41)</f>
        <v>0.97312820300481262</v>
      </c>
      <c r="E47" s="668">
        <f t="shared" si="5"/>
        <v>1.0129617184190494</v>
      </c>
      <c r="F47" s="668">
        <f t="shared" si="5"/>
        <v>1.0881329965632893</v>
      </c>
      <c r="G47" s="668">
        <f t="shared" si="5"/>
        <v>1.1788666180409793</v>
      </c>
      <c r="H47" s="672">
        <f t="shared" si="5"/>
        <v>1.2813329345626423</v>
      </c>
      <c r="N47" s="1129"/>
      <c r="O47" s="1129"/>
    </row>
    <row r="48" spans="2:21" x14ac:dyDescent="0.2">
      <c r="B48" s="287" t="s">
        <v>752</v>
      </c>
      <c r="C48" s="669">
        <v>1</v>
      </c>
      <c r="D48" s="669">
        <f t="shared" si="5"/>
        <v>1.0228166239135177</v>
      </c>
      <c r="E48" s="669">
        <f t="shared" si="5"/>
        <v>1.046153846153846</v>
      </c>
      <c r="F48" s="669">
        <f t="shared" si="5"/>
        <v>1.1828121103012335</v>
      </c>
      <c r="G48" s="669">
        <f t="shared" si="5"/>
        <v>1.3373219373219372</v>
      </c>
      <c r="H48" s="673">
        <f t="shared" si="5"/>
        <v>1.3840827648513667</v>
      </c>
      <c r="N48" s="1129"/>
      <c r="O48" s="1129"/>
    </row>
    <row r="49" spans="2:15" x14ac:dyDescent="0.2">
      <c r="B49" s="288" t="s">
        <v>758</v>
      </c>
      <c r="C49" s="671">
        <v>1</v>
      </c>
      <c r="D49" s="671">
        <f t="shared" si="5"/>
        <v>1.0842981031361578</v>
      </c>
      <c r="E49" s="671">
        <f t="shared" si="5"/>
        <v>1.2134025487095459</v>
      </c>
      <c r="F49" s="671">
        <f t="shared" si="5"/>
        <v>1.3043157051167384</v>
      </c>
      <c r="G49" s="671">
        <f t="shared" si="5"/>
        <v>1.3677955308141991</v>
      </c>
      <c r="H49" s="675">
        <f t="shared" si="5"/>
        <v>1.4317672817819502</v>
      </c>
      <c r="N49" s="1129"/>
      <c r="O49" s="1129"/>
    </row>
    <row r="50" spans="2:15" x14ac:dyDescent="0.2">
      <c r="H50" s="669"/>
      <c r="I50" s="669"/>
      <c r="J50" s="669"/>
      <c r="K50" s="669"/>
      <c r="L50" s="669"/>
      <c r="M50" s="669"/>
      <c r="N50" s="669"/>
    </row>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AB83"/>
  <sheetViews>
    <sheetView showGridLines="0" zoomScale="75" zoomScaleNormal="75" workbookViewId="0"/>
  </sheetViews>
  <sheetFormatPr defaultColWidth="9.140625" defaultRowHeight="14.25" x14ac:dyDescent="0.2"/>
  <cols>
    <col min="1" max="1" width="14.42578125" style="370" customWidth="1"/>
    <col min="2" max="2" width="39.42578125" style="370" customWidth="1"/>
    <col min="3" max="3" width="18.7109375" style="368" customWidth="1"/>
    <col min="4" max="4" width="20.5703125" style="368" customWidth="1"/>
    <col min="5" max="5" width="12.42578125" style="368" customWidth="1"/>
    <col min="6" max="6" width="16.140625" style="368" customWidth="1"/>
    <col min="7" max="10" width="12.42578125" style="368" customWidth="1"/>
    <col min="11" max="11" width="13.28515625" style="368" customWidth="1"/>
    <col min="12" max="12" width="15.7109375" style="368" customWidth="1"/>
    <col min="13" max="13" width="16.42578125" style="368" customWidth="1"/>
    <col min="14" max="14" width="23.140625" style="368" customWidth="1"/>
    <col min="15" max="15" width="16.28515625" style="368" customWidth="1"/>
    <col min="16" max="17" width="9" style="368"/>
    <col min="18" max="18" width="9.85546875" style="368" bestFit="1" customWidth="1"/>
    <col min="19" max="19" width="9" style="368" customWidth="1"/>
    <col min="20" max="21" width="9.140625" style="352"/>
    <col min="22" max="22" width="9.5703125" style="352" customWidth="1"/>
    <col min="23" max="23" width="14.140625" style="352" customWidth="1"/>
    <col min="24" max="24" width="14.7109375" style="352" customWidth="1"/>
    <col min="25" max="25" width="11.7109375" style="352" customWidth="1"/>
    <col min="26" max="16384" width="9.140625" style="352"/>
  </cols>
  <sheetData>
    <row r="1" spans="1:27" ht="18.600000000000001" customHeight="1" x14ac:dyDescent="0.2">
      <c r="A1" s="352"/>
      <c r="B1" s="352"/>
      <c r="C1" s="352"/>
      <c r="D1" s="352"/>
      <c r="E1" s="352"/>
      <c r="F1" s="352"/>
      <c r="G1" s="352"/>
      <c r="H1" s="352"/>
      <c r="I1" s="352"/>
      <c r="J1" s="352"/>
      <c r="K1" s="352"/>
      <c r="L1" s="352"/>
      <c r="M1" s="352"/>
      <c r="N1" s="352"/>
      <c r="O1" s="352"/>
      <c r="P1" s="352"/>
      <c r="Q1" s="352"/>
      <c r="R1" s="352"/>
      <c r="S1" s="352"/>
    </row>
    <row r="2" spans="1:27" ht="18.600000000000001" customHeight="1" x14ac:dyDescent="0.2">
      <c r="A2" s="352"/>
      <c r="B2" s="352"/>
      <c r="C2" s="352"/>
      <c r="D2" s="352"/>
      <c r="E2" s="352"/>
      <c r="F2" s="352"/>
      <c r="G2" s="352"/>
      <c r="H2" s="352"/>
      <c r="I2" s="352"/>
      <c r="J2" s="352"/>
      <c r="K2" s="352"/>
      <c r="L2" s="352"/>
      <c r="M2" s="352"/>
      <c r="N2" s="352"/>
      <c r="O2" s="352"/>
      <c r="P2" s="352"/>
      <c r="Q2" s="352"/>
      <c r="R2" s="352"/>
      <c r="S2" s="352"/>
    </row>
    <row r="3" spans="1:27" ht="18.600000000000001" customHeight="1" x14ac:dyDescent="0.2">
      <c r="A3" s="352"/>
      <c r="B3" s="352"/>
      <c r="C3" s="352"/>
      <c r="D3" s="352"/>
      <c r="K3" s="75" t="s">
        <v>409</v>
      </c>
      <c r="L3" s="76"/>
      <c r="M3" s="76"/>
      <c r="N3" s="76"/>
      <c r="O3" s="76"/>
      <c r="P3" s="76"/>
      <c r="Q3" s="76"/>
      <c r="R3" s="76"/>
      <c r="S3" s="76"/>
      <c r="T3" s="76"/>
      <c r="U3" s="76"/>
      <c r="V3" s="76"/>
      <c r="W3" s="76"/>
      <c r="X3" s="76"/>
      <c r="Y3" s="76"/>
    </row>
    <row r="4" spans="1:27" ht="18.600000000000001" customHeight="1" x14ac:dyDescent="0.2">
      <c r="A4" s="352"/>
      <c r="B4" s="352"/>
      <c r="C4" s="352"/>
      <c r="D4" s="352"/>
      <c r="K4" s="76"/>
      <c r="L4" s="76"/>
      <c r="M4" s="76"/>
      <c r="N4" s="76"/>
      <c r="O4" s="76"/>
      <c r="P4" s="76"/>
      <c r="Q4" s="76"/>
      <c r="R4" s="76"/>
      <c r="S4" s="76"/>
      <c r="T4" s="76"/>
      <c r="U4" s="76"/>
      <c r="V4" s="76"/>
      <c r="W4" s="76"/>
      <c r="X4" s="76"/>
      <c r="Y4" s="76"/>
    </row>
    <row r="5" spans="1:27" s="679" customFormat="1" ht="18.600000000000001" customHeight="1" x14ac:dyDescent="0.2">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t="str">
        <f>'Contents, list of sources'!T17</f>
        <v>Date accessed</v>
      </c>
      <c r="Y5" s="449"/>
      <c r="Z5" s="679" t="str">
        <f>'Contents, list of sources'!V17</f>
        <v>Link in this document</v>
      </c>
    </row>
    <row r="6" spans="1:27" ht="18.600000000000001" customHeight="1" x14ac:dyDescent="0.2">
      <c r="A6" s="352"/>
      <c r="B6" s="352"/>
      <c r="C6" s="352"/>
      <c r="D6" s="352"/>
      <c r="K6" s="74" t="str">
        <f>'Contents, list of sources'!G478</f>
        <v>Transport Performance and Analytics</v>
      </c>
      <c r="L6" s="74"/>
      <c r="M6" s="74" t="str">
        <f>'Contents, list of sources'!I478</f>
        <v>Household Travel survey  2007-08 - 2017-18 - Data by region</v>
      </c>
      <c r="N6" s="74"/>
      <c r="O6" s="74"/>
      <c r="P6" s="74"/>
      <c r="Q6" s="191">
        <f>'Contents, list of sources'!M478</f>
        <v>43536</v>
      </c>
      <c r="R6" s="74"/>
      <c r="S6" s="74"/>
      <c r="T6" s="74"/>
      <c r="U6" s="74"/>
      <c r="V6" s="74"/>
      <c r="W6" s="74"/>
      <c r="X6" s="191">
        <f>'Contents, list of sources'!T478</f>
        <v>43571</v>
      </c>
      <c r="Y6" s="74"/>
      <c r="Z6" s="367" t="s">
        <v>418</v>
      </c>
      <c r="AA6" s="74"/>
    </row>
    <row r="7" spans="1:27" ht="18.600000000000001" customHeight="1" x14ac:dyDescent="0.2">
      <c r="A7" s="352"/>
      <c r="B7" s="352"/>
      <c r="C7" s="352"/>
      <c r="K7" s="74" t="str">
        <f>'Contents, list of sources'!G480</f>
        <v>Transport for NSW</v>
      </c>
      <c r="L7" s="74"/>
      <c r="M7" s="74" t="str">
        <f>'Contents, list of sources'!I480</f>
        <v>All modes historical patronage - Top Level Chart</v>
      </c>
      <c r="N7" s="74"/>
      <c r="O7" s="74"/>
      <c r="P7" s="74"/>
      <c r="Q7" s="74"/>
      <c r="R7" s="74"/>
      <c r="S7" s="74" t="str">
        <f>'Contents, list of sources'!O480</f>
        <v>https://www.transport.nsw.gov.au/data-and-research/passenger-travel/all-modes-patronage-historical/all-modes-historical-patronage</v>
      </c>
      <c r="T7" s="74"/>
      <c r="U7" s="74"/>
      <c r="V7" s="74"/>
      <c r="W7" s="74"/>
      <c r="X7" s="191">
        <f>'Contents, list of sources'!T480</f>
        <v>43556</v>
      </c>
      <c r="Y7" s="74"/>
      <c r="Z7" s="74"/>
      <c r="AA7" s="74"/>
    </row>
    <row r="8" spans="1:27" ht="18.600000000000001" customHeight="1" x14ac:dyDescent="0.2">
      <c r="A8" s="352"/>
      <c r="B8" s="352"/>
      <c r="C8" s="352"/>
      <c r="D8" s="352"/>
      <c r="E8" s="370"/>
      <c r="F8" s="370"/>
      <c r="G8" s="370"/>
      <c r="H8" s="370"/>
      <c r="I8" s="370"/>
      <c r="J8" s="370"/>
      <c r="K8" s="28"/>
      <c r="L8" s="28"/>
      <c r="M8" s="28"/>
      <c r="N8" s="28"/>
      <c r="O8" s="28"/>
      <c r="P8" s="28"/>
      <c r="Q8" s="369"/>
      <c r="R8" s="28"/>
      <c r="S8" s="28"/>
      <c r="T8" s="28"/>
      <c r="U8" s="28"/>
      <c r="V8" s="28"/>
      <c r="W8" s="28"/>
      <c r="X8" s="28"/>
      <c r="Y8" s="28"/>
      <c r="Z8" s="28"/>
      <c r="AA8" s="28"/>
    </row>
    <row r="9" spans="1:27" s="28" customFormat="1" ht="18.600000000000001" customHeight="1" x14ac:dyDescent="0.2">
      <c r="A9" s="372"/>
      <c r="B9" s="32"/>
      <c r="D9" s="32"/>
      <c r="K9" s="369"/>
    </row>
    <row r="10" spans="1:27" s="28" customFormat="1" ht="18.600000000000001" customHeight="1" x14ac:dyDescent="0.2">
      <c r="A10" s="372"/>
      <c r="K10" s="369"/>
    </row>
    <row r="11" spans="1:27" s="270" customFormat="1" ht="18.600000000000001" customHeight="1" x14ac:dyDescent="0.3">
      <c r="B11" s="373" t="s">
        <v>985</v>
      </c>
      <c r="E11" s="1334"/>
      <c r="F11" s="1334"/>
      <c r="G11" s="1334"/>
      <c r="H11" s="1334"/>
      <c r="I11" s="1334"/>
      <c r="J11" s="1334"/>
      <c r="K11" s="1334"/>
      <c r="L11" s="76"/>
      <c r="M11" s="76"/>
      <c r="N11" s="76"/>
      <c r="O11" s="76"/>
      <c r="P11" s="76"/>
      <c r="Q11" s="76"/>
      <c r="R11" s="76"/>
      <c r="S11" s="76"/>
    </row>
    <row r="12" spans="1:27" s="79" customFormat="1" ht="18.600000000000001" customHeight="1" x14ac:dyDescent="0.2">
      <c r="A12" s="374"/>
      <c r="E12" s="1335"/>
      <c r="F12" s="1335"/>
      <c r="G12" s="1335"/>
      <c r="H12" s="1335"/>
      <c r="I12" s="1335"/>
      <c r="J12" s="1335"/>
      <c r="K12" s="1335"/>
    </row>
    <row r="13" spans="1:27" s="28" customFormat="1" ht="12" x14ac:dyDescent="0.2">
      <c r="A13" s="372"/>
      <c r="B13" s="32"/>
      <c r="D13" s="32"/>
      <c r="E13" s="32"/>
    </row>
    <row r="14" spans="1:27" s="28" customFormat="1" ht="12" x14ac:dyDescent="0.2">
      <c r="A14" s="372"/>
      <c r="B14" s="32"/>
      <c r="D14" s="32"/>
      <c r="E14" s="32"/>
    </row>
    <row r="15" spans="1:27" x14ac:dyDescent="0.2">
      <c r="A15" s="352"/>
      <c r="B15" s="20" t="s">
        <v>640</v>
      </c>
      <c r="C15" s="9"/>
      <c r="D15" s="9"/>
      <c r="E15" s="352"/>
      <c r="F15" s="352"/>
      <c r="G15" s="352"/>
      <c r="H15" s="352"/>
      <c r="I15" s="352"/>
      <c r="J15" s="352"/>
      <c r="K15" s="352"/>
      <c r="L15" s="20" t="s">
        <v>999</v>
      </c>
      <c r="M15" s="352"/>
      <c r="N15" s="352"/>
      <c r="O15" s="352"/>
      <c r="P15" s="352"/>
      <c r="Q15" s="352"/>
      <c r="R15" s="352"/>
      <c r="S15" s="352"/>
    </row>
    <row r="16" spans="1:27" ht="12" x14ac:dyDescent="0.2">
      <c r="A16" s="352"/>
      <c r="B16" s="377" t="s">
        <v>136</v>
      </c>
      <c r="C16" s="65" t="str">
        <f>M16</f>
        <v>2017/18</v>
      </c>
      <c r="D16" s="51" t="str">
        <f>N16</f>
        <v>Sydney</v>
      </c>
      <c r="E16" s="352"/>
      <c r="F16" s="352"/>
      <c r="G16" s="352"/>
      <c r="H16" s="352"/>
      <c r="I16" s="352"/>
      <c r="J16" s="352"/>
      <c r="K16" s="352"/>
      <c r="L16" s="602" t="s">
        <v>136</v>
      </c>
      <c r="M16" s="603" t="str">
        <f>'Household travel survey - Mode'!A2</f>
        <v>2017/18</v>
      </c>
      <c r="N16" s="604" t="s">
        <v>135</v>
      </c>
      <c r="O16" s="352"/>
      <c r="P16" s="352"/>
      <c r="Q16" s="352"/>
      <c r="R16" s="352"/>
      <c r="S16" s="352"/>
    </row>
    <row r="17" spans="1:19" ht="24" x14ac:dyDescent="0.2">
      <c r="A17" s="352"/>
      <c r="B17" s="22"/>
      <c r="C17" s="9" t="str">
        <f>M17</f>
        <v>Proportion of all trips</v>
      </c>
      <c r="D17" s="47" t="str">
        <f>N17</f>
        <v>WEIGHTED_TRIPS</v>
      </c>
      <c r="E17" s="352"/>
      <c r="F17" s="352"/>
      <c r="G17" s="352"/>
      <c r="H17" s="352"/>
      <c r="I17" s="352"/>
      <c r="J17" s="352"/>
      <c r="K17" s="352"/>
      <c r="L17" s="605"/>
      <c r="M17" s="606" t="s">
        <v>137</v>
      </c>
      <c r="N17" s="607" t="str">
        <f>'Household travel survey - Mode'!E1</f>
        <v>WEIGHTED_TRIPS</v>
      </c>
      <c r="O17" s="352"/>
      <c r="P17" s="352"/>
      <c r="Q17" s="352"/>
      <c r="R17" s="352"/>
      <c r="S17" s="352"/>
    </row>
    <row r="18" spans="1:19" ht="12" x14ac:dyDescent="0.2">
      <c r="A18" s="352"/>
      <c r="B18" s="596" t="s">
        <v>138</v>
      </c>
      <c r="C18" s="597">
        <f>D18/$D$22</f>
        <v>0.69032423221156325</v>
      </c>
      <c r="D18" s="598">
        <f>D71</f>
        <v>13356532</v>
      </c>
      <c r="E18" s="352"/>
      <c r="F18" s="352"/>
      <c r="G18" s="352"/>
      <c r="H18" s="352"/>
      <c r="I18" s="352"/>
      <c r="J18" s="352"/>
      <c r="K18" s="352"/>
      <c r="L18" s="22" t="s">
        <v>138</v>
      </c>
      <c r="M18" s="46">
        <f>N18/$N$23</f>
        <v>0.69032423221156325</v>
      </c>
      <c r="N18" s="338">
        <f>SUM('Household travel survey - Mode'!E5,'Household travel survey - Mode'!E6)</f>
        <v>13356532</v>
      </c>
      <c r="O18" s="352"/>
      <c r="P18" s="352"/>
      <c r="Q18" s="352"/>
      <c r="R18" s="352"/>
      <c r="S18" s="352"/>
    </row>
    <row r="19" spans="1:19" ht="12" x14ac:dyDescent="0.2">
      <c r="A19" s="352"/>
      <c r="B19" s="596" t="s">
        <v>139</v>
      </c>
      <c r="C19" s="597">
        <f>D19/$D$22</f>
        <v>0.17460600083697703</v>
      </c>
      <c r="D19" s="598">
        <f>D72</f>
        <v>3378312</v>
      </c>
      <c r="E19" s="352"/>
      <c r="F19" s="352"/>
      <c r="G19" s="352"/>
      <c r="H19" s="352"/>
      <c r="I19" s="352"/>
      <c r="J19" s="352"/>
      <c r="K19" s="352"/>
      <c r="L19" s="22" t="s">
        <v>139</v>
      </c>
      <c r="M19" s="46">
        <f>N19/$N$23</f>
        <v>0.17460600083697703</v>
      </c>
      <c r="N19" s="338">
        <f>'Household travel survey - Mode'!E7</f>
        <v>3378312</v>
      </c>
      <c r="O19" s="352"/>
      <c r="P19" s="352"/>
      <c r="Q19" s="352"/>
      <c r="R19" s="352"/>
      <c r="S19" s="352"/>
    </row>
    <row r="20" spans="1:19" ht="12" x14ac:dyDescent="0.2">
      <c r="A20" s="352"/>
      <c r="B20" s="596" t="s">
        <v>2</v>
      </c>
      <c r="C20" s="597">
        <f>D20/$D$22</f>
        <v>1.4315176495966862E-2</v>
      </c>
      <c r="D20" s="598">
        <f>D73</f>
        <v>276972.91219444253</v>
      </c>
      <c r="E20" s="352"/>
      <c r="F20" s="352"/>
      <c r="G20" s="352"/>
      <c r="H20" s="352"/>
      <c r="I20" s="352"/>
      <c r="J20" s="352"/>
      <c r="K20" s="352"/>
      <c r="L20" s="22" t="s">
        <v>2</v>
      </c>
      <c r="M20" s="46">
        <f>N20/$N$23</f>
        <v>1.8882479048052063E-2</v>
      </c>
      <c r="N20" s="338">
        <f>'Household travel survey - Mode'!E2</f>
        <v>365342</v>
      </c>
      <c r="O20" s="352"/>
      <c r="P20" s="352"/>
      <c r="Q20" s="352"/>
      <c r="R20" s="352"/>
      <c r="S20" s="352"/>
    </row>
    <row r="21" spans="1:19" ht="12" x14ac:dyDescent="0.2">
      <c r="A21" s="352"/>
      <c r="B21" s="596" t="s">
        <v>65</v>
      </c>
      <c r="C21" s="559">
        <f>D21/$D$22</f>
        <v>0.12075459045549286</v>
      </c>
      <c r="D21" s="598">
        <f>SUM(D74:D76)</f>
        <v>2336384.0878055575</v>
      </c>
      <c r="E21" s="352"/>
      <c r="F21" s="352"/>
      <c r="G21" s="352"/>
      <c r="H21" s="352"/>
      <c r="I21" s="352"/>
      <c r="J21" s="352"/>
      <c r="K21" s="352"/>
      <c r="L21" s="22" t="s">
        <v>4</v>
      </c>
      <c r="M21" s="46">
        <f>N21/$N$23</f>
        <v>6.3762155458277486E-2</v>
      </c>
      <c r="N21" s="338">
        <f>'Household travel survey - Mode'!E4</f>
        <v>1233683</v>
      </c>
      <c r="O21" s="352"/>
      <c r="P21" s="352"/>
      <c r="Q21" s="352"/>
      <c r="R21" s="352"/>
      <c r="S21" s="352"/>
    </row>
    <row r="22" spans="1:19" ht="12" x14ac:dyDescent="0.2">
      <c r="A22" s="352"/>
      <c r="B22" s="599" t="s">
        <v>5</v>
      </c>
      <c r="C22" s="600">
        <f>SUM(C18:C21)</f>
        <v>0.99999999999999989</v>
      </c>
      <c r="D22" s="601">
        <f>SUM(D18:D21)</f>
        <v>19348201</v>
      </c>
      <c r="E22" s="352"/>
      <c r="F22" s="352"/>
      <c r="G22" s="352"/>
      <c r="H22" s="352"/>
      <c r="I22" s="352"/>
      <c r="J22" s="352"/>
      <c r="K22" s="352"/>
      <c r="L22" s="22" t="s">
        <v>3</v>
      </c>
      <c r="M22" s="46">
        <f>N22/$N$23</f>
        <v>5.2425132445130168E-2</v>
      </c>
      <c r="N22" s="338">
        <f>'Household travel survey - Mode'!E3</f>
        <v>1014332</v>
      </c>
      <c r="O22" s="352"/>
      <c r="P22" s="352"/>
      <c r="Q22" s="352"/>
      <c r="R22" s="352"/>
      <c r="S22" s="352"/>
    </row>
    <row r="23" spans="1:19" ht="12" x14ac:dyDescent="0.2">
      <c r="A23" s="352"/>
      <c r="B23" s="352"/>
      <c r="C23" s="352"/>
      <c r="D23" s="352"/>
      <c r="E23" s="352"/>
      <c r="F23" s="352"/>
      <c r="G23" s="352"/>
      <c r="H23" s="352"/>
      <c r="I23" s="352"/>
      <c r="J23" s="352"/>
      <c r="K23" s="352"/>
      <c r="L23" s="48" t="s">
        <v>5</v>
      </c>
      <c r="M23" s="378">
        <f>SUM(M18:M22)</f>
        <v>0.99999999999999989</v>
      </c>
      <c r="N23" s="339">
        <f>SUM(N18:N22)</f>
        <v>19348201</v>
      </c>
      <c r="O23" s="352"/>
      <c r="P23" s="352"/>
      <c r="Q23" s="352"/>
      <c r="R23" s="352"/>
      <c r="S23" s="352"/>
    </row>
    <row r="24" spans="1:19" ht="12" x14ac:dyDescent="0.2">
      <c r="A24" s="352"/>
      <c r="B24" s="352"/>
      <c r="C24" s="352"/>
      <c r="D24" s="352"/>
      <c r="E24" s="352"/>
      <c r="F24" s="352"/>
      <c r="G24" s="352"/>
      <c r="H24" s="352"/>
      <c r="I24" s="352"/>
      <c r="J24" s="352"/>
      <c r="K24" s="352"/>
      <c r="L24" s="352"/>
      <c r="M24" s="352"/>
      <c r="N24" s="352"/>
      <c r="O24" s="352"/>
      <c r="P24" s="352"/>
      <c r="Q24" s="352"/>
      <c r="R24" s="352"/>
      <c r="S24" s="352"/>
    </row>
    <row r="25" spans="1:19" ht="12" x14ac:dyDescent="0.2">
      <c r="A25" s="352"/>
      <c r="B25" s="352"/>
      <c r="C25" s="352"/>
      <c r="D25" s="352"/>
      <c r="E25" s="352"/>
      <c r="F25" s="352"/>
      <c r="G25" s="352"/>
      <c r="H25" s="352"/>
      <c r="I25" s="352"/>
      <c r="J25" s="352"/>
      <c r="K25" s="352"/>
      <c r="L25" s="352"/>
      <c r="M25" s="352"/>
      <c r="N25" s="352"/>
      <c r="O25" s="352"/>
      <c r="P25" s="352"/>
      <c r="Q25" s="352"/>
      <c r="R25" s="352"/>
      <c r="S25" s="352"/>
    </row>
    <row r="26" spans="1:19" ht="12" x14ac:dyDescent="0.2">
      <c r="A26" s="352"/>
      <c r="B26" s="352"/>
      <c r="C26" s="352"/>
      <c r="D26" s="352"/>
      <c r="E26" s="352"/>
      <c r="F26" s="352"/>
      <c r="G26" s="352"/>
      <c r="H26" s="352"/>
      <c r="I26" s="352"/>
      <c r="J26" s="352"/>
      <c r="K26" s="352"/>
      <c r="L26" s="352"/>
      <c r="M26" s="352"/>
      <c r="N26" s="352"/>
      <c r="O26" s="352"/>
      <c r="P26" s="352"/>
      <c r="Q26" s="352"/>
      <c r="R26" s="352"/>
      <c r="S26" s="352"/>
    </row>
    <row r="27" spans="1:19" ht="12" x14ac:dyDescent="0.2">
      <c r="A27" s="352"/>
      <c r="B27" s="352"/>
      <c r="C27" s="352"/>
      <c r="D27" s="352"/>
      <c r="E27" s="352"/>
      <c r="F27" s="352"/>
      <c r="G27" s="352"/>
      <c r="H27" s="352"/>
      <c r="I27" s="352"/>
      <c r="J27" s="352"/>
      <c r="K27" s="352"/>
      <c r="L27" s="352"/>
      <c r="M27" s="352"/>
      <c r="N27" s="352"/>
      <c r="O27" s="352"/>
      <c r="P27" s="352"/>
      <c r="Q27" s="352"/>
      <c r="R27" s="352"/>
      <c r="S27" s="352"/>
    </row>
    <row r="28" spans="1:19" ht="12" x14ac:dyDescent="0.2">
      <c r="A28" s="352"/>
      <c r="B28" s="352"/>
      <c r="C28" s="352"/>
      <c r="D28" s="352"/>
      <c r="E28" s="352"/>
      <c r="F28" s="352"/>
      <c r="G28" s="352"/>
      <c r="H28" s="352"/>
      <c r="I28" s="352"/>
      <c r="J28" s="352"/>
      <c r="K28" s="352"/>
      <c r="L28" s="352"/>
      <c r="M28" s="352"/>
      <c r="N28" s="352"/>
      <c r="O28" s="352"/>
      <c r="P28" s="352"/>
      <c r="Q28" s="352"/>
      <c r="R28" s="352"/>
      <c r="S28" s="352"/>
    </row>
    <row r="29" spans="1:19" ht="12" x14ac:dyDescent="0.2">
      <c r="A29" s="352"/>
      <c r="B29" s="352"/>
      <c r="C29" s="352"/>
      <c r="D29" s="352"/>
      <c r="E29" s="352"/>
      <c r="F29" s="352"/>
      <c r="G29" s="352"/>
      <c r="H29" s="352"/>
      <c r="I29" s="352"/>
      <c r="J29" s="352"/>
      <c r="K29" s="352"/>
      <c r="L29" s="352"/>
      <c r="M29" s="352"/>
      <c r="N29" s="352"/>
      <c r="O29" s="352"/>
      <c r="P29" s="352"/>
      <c r="Q29" s="352"/>
      <c r="R29" s="352"/>
      <c r="S29" s="352"/>
    </row>
    <row r="30" spans="1:19" ht="12" x14ac:dyDescent="0.2">
      <c r="A30" s="352"/>
      <c r="B30" s="352"/>
      <c r="C30" s="352"/>
      <c r="D30" s="352"/>
      <c r="E30" s="352"/>
      <c r="F30" s="352"/>
      <c r="G30" s="352"/>
      <c r="H30" s="352"/>
      <c r="I30" s="352"/>
      <c r="J30" s="352"/>
      <c r="K30" s="352"/>
      <c r="L30" s="352"/>
      <c r="M30" s="352"/>
      <c r="N30" s="352"/>
      <c r="O30" s="352"/>
      <c r="P30" s="352"/>
      <c r="Q30" s="352"/>
      <c r="R30" s="352"/>
      <c r="S30" s="352"/>
    </row>
    <row r="31" spans="1:19" ht="12" x14ac:dyDescent="0.2">
      <c r="A31" s="352"/>
      <c r="B31" s="352"/>
      <c r="C31" s="352"/>
      <c r="D31" s="352"/>
      <c r="E31" s="352"/>
      <c r="F31" s="352"/>
      <c r="G31" s="352"/>
      <c r="H31" s="352"/>
      <c r="I31" s="352"/>
      <c r="J31" s="352"/>
      <c r="K31" s="352"/>
      <c r="L31" s="352"/>
      <c r="M31" s="352"/>
      <c r="N31" s="352"/>
      <c r="O31" s="352"/>
      <c r="P31" s="352"/>
      <c r="Q31" s="352"/>
      <c r="R31" s="352"/>
      <c r="S31" s="352"/>
    </row>
    <row r="32" spans="1:19" ht="12" x14ac:dyDescent="0.2">
      <c r="A32" s="352"/>
      <c r="B32" s="352"/>
      <c r="C32" s="352"/>
      <c r="D32" s="352"/>
      <c r="E32" s="352"/>
      <c r="F32" s="352"/>
      <c r="G32" s="352"/>
      <c r="H32" s="352"/>
      <c r="I32" s="352"/>
      <c r="J32" s="352"/>
      <c r="K32" s="352"/>
      <c r="L32" s="352"/>
      <c r="M32" s="352"/>
      <c r="N32" s="352"/>
      <c r="O32" s="352"/>
      <c r="P32" s="352"/>
      <c r="Q32" s="352"/>
      <c r="R32" s="352"/>
      <c r="S32" s="352"/>
    </row>
    <row r="33" spans="1:28" ht="12" x14ac:dyDescent="0.2">
      <c r="A33" s="352"/>
      <c r="B33" s="352"/>
      <c r="C33" s="352"/>
      <c r="D33" s="352"/>
      <c r="E33" s="352"/>
      <c r="F33" s="352"/>
      <c r="G33" s="352"/>
      <c r="H33" s="352"/>
      <c r="I33" s="352"/>
      <c r="J33" s="352"/>
      <c r="K33" s="352"/>
      <c r="L33" s="352"/>
      <c r="M33" s="352"/>
      <c r="N33" s="352"/>
      <c r="O33" s="352"/>
      <c r="P33" s="352"/>
      <c r="Q33" s="352"/>
      <c r="R33" s="352"/>
      <c r="S33" s="352"/>
    </row>
    <row r="35" spans="1:28" x14ac:dyDescent="0.2">
      <c r="B35" s="20" t="s">
        <v>949</v>
      </c>
    </row>
    <row r="36" spans="1:28" x14ac:dyDescent="0.2">
      <c r="B36" s="609" t="s">
        <v>136</v>
      </c>
      <c r="C36" s="603" t="s">
        <v>636</v>
      </c>
      <c r="D36" s="604"/>
      <c r="E36" s="620"/>
      <c r="F36" s="610"/>
      <c r="O36" s="352"/>
      <c r="P36" s="352"/>
      <c r="Q36" s="352"/>
      <c r="R36" s="352"/>
      <c r="S36" s="352"/>
      <c r="W36" s="1198"/>
      <c r="X36" s="370"/>
      <c r="Y36" s="370"/>
      <c r="Z36" s="370"/>
      <c r="AA36" s="370"/>
      <c r="AB36" s="370"/>
    </row>
    <row r="37" spans="1:28" x14ac:dyDescent="0.2">
      <c r="B37" s="596"/>
      <c r="C37" s="610" t="s">
        <v>948</v>
      </c>
      <c r="D37" s="607"/>
      <c r="E37" s="620"/>
      <c r="F37" s="610"/>
      <c r="O37" s="352"/>
      <c r="P37" s="352"/>
      <c r="Q37" s="352"/>
      <c r="R37" s="352"/>
      <c r="S37" s="352"/>
      <c r="W37" s="370"/>
      <c r="X37" s="370"/>
      <c r="Y37" s="370"/>
      <c r="Z37" s="370"/>
      <c r="AA37" s="370"/>
      <c r="AB37" s="370"/>
    </row>
    <row r="38" spans="1:28" x14ac:dyDescent="0.2">
      <c r="B38" s="596" t="s">
        <v>4</v>
      </c>
      <c r="C38" s="1231">
        <f>'Patronage since 2011-12'!K18</f>
        <v>424052</v>
      </c>
      <c r="D38" s="611">
        <f>C38/$C$42</f>
        <v>0.52980142379166362</v>
      </c>
      <c r="E38" s="620"/>
      <c r="F38" s="1231"/>
      <c r="O38" s="352"/>
      <c r="P38" s="352"/>
      <c r="Q38" s="352"/>
      <c r="R38" s="352"/>
      <c r="S38" s="352"/>
    </row>
    <row r="39" spans="1:28" x14ac:dyDescent="0.2">
      <c r="B39" s="596" t="s">
        <v>3</v>
      </c>
      <c r="C39" s="1231">
        <f>'Patronage since 2011-12'!K19</f>
        <v>349072</v>
      </c>
      <c r="D39" s="611">
        <f>C39/$C$42</f>
        <v>0.43612302879317538</v>
      </c>
      <c r="E39" s="620"/>
      <c r="F39" s="1231"/>
      <c r="O39" s="352"/>
      <c r="P39" s="352"/>
      <c r="Q39" s="352"/>
      <c r="R39" s="352"/>
      <c r="S39" s="352"/>
    </row>
    <row r="40" spans="1:28" x14ac:dyDescent="0.2">
      <c r="B40" s="596" t="s">
        <v>7</v>
      </c>
      <c r="C40" s="1231">
        <f>'Patronage since 2011-12'!K20</f>
        <v>16074</v>
      </c>
      <c r="D40" s="611">
        <f>C40/$C$42</f>
        <v>2.0082508951796481E-2</v>
      </c>
      <c r="E40" s="620"/>
      <c r="F40" s="1231"/>
      <c r="O40" s="352"/>
      <c r="P40" s="352"/>
      <c r="Q40" s="352"/>
      <c r="R40" s="352"/>
      <c r="S40" s="352"/>
    </row>
    <row r="41" spans="1:28" x14ac:dyDescent="0.2">
      <c r="B41" s="596" t="s">
        <v>8</v>
      </c>
      <c r="C41" s="1231">
        <f>'Patronage since 2011-12'!K21</f>
        <v>11200</v>
      </c>
      <c r="D41" s="611">
        <f>C41/$C$42</f>
        <v>1.3993038463364476E-2</v>
      </c>
      <c r="E41" s="620"/>
      <c r="F41" s="1231"/>
      <c r="O41" s="352"/>
      <c r="P41" s="352"/>
      <c r="Q41" s="352"/>
      <c r="R41" s="352"/>
      <c r="S41" s="352"/>
    </row>
    <row r="42" spans="1:28" x14ac:dyDescent="0.2">
      <c r="B42" s="599" t="s">
        <v>5</v>
      </c>
      <c r="C42" s="1232">
        <f>SUM(C38:C41)</f>
        <v>800398</v>
      </c>
      <c r="D42" s="612">
        <f>C42/$C$42</f>
        <v>1</v>
      </c>
      <c r="E42" s="1147"/>
      <c r="F42" s="375"/>
      <c r="O42" s="352"/>
      <c r="P42" s="352"/>
      <c r="Q42" s="352"/>
      <c r="R42" s="352"/>
      <c r="S42" s="352"/>
    </row>
    <row r="43" spans="1:28" s="679" customFormat="1" x14ac:dyDescent="0.2">
      <c r="A43" s="370"/>
      <c r="B43" s="1150" t="s">
        <v>891</v>
      </c>
      <c r="C43" s="1149"/>
      <c r="D43" s="1148"/>
      <c r="E43" s="1147"/>
      <c r="F43" s="375"/>
      <c r="G43" s="368"/>
      <c r="H43" s="368"/>
      <c r="I43" s="368"/>
      <c r="J43" s="368"/>
      <c r="K43" s="368"/>
      <c r="L43" s="368"/>
      <c r="M43" s="368"/>
      <c r="N43" s="368"/>
    </row>
    <row r="45" spans="1:28" x14ac:dyDescent="0.2">
      <c r="T45" s="679"/>
    </row>
    <row r="47" spans="1:28" x14ac:dyDescent="0.2">
      <c r="B47" s="20" t="s">
        <v>629</v>
      </c>
      <c r="D47" s="352"/>
      <c r="E47" s="616"/>
    </row>
    <row r="48" spans="1:28" x14ac:dyDescent="0.2">
      <c r="B48" s="616" t="s">
        <v>1001</v>
      </c>
      <c r="D48" s="616"/>
    </row>
    <row r="49" spans="1:19" x14ac:dyDescent="0.2">
      <c r="A49" s="608"/>
      <c r="B49" s="14" t="s">
        <v>135</v>
      </c>
      <c r="C49" s="15">
        <f>SUM('Household travel survey - Mode'!G3:G4)</f>
        <v>28568917</v>
      </c>
      <c r="D49" s="613"/>
      <c r="F49" s="613"/>
      <c r="G49" s="613"/>
      <c r="H49" s="613"/>
      <c r="I49" s="613"/>
      <c r="J49" s="613"/>
      <c r="K49" s="613"/>
      <c r="L49" s="613"/>
      <c r="M49" s="613"/>
      <c r="N49" s="613"/>
      <c r="O49" s="613"/>
      <c r="P49" s="613"/>
      <c r="Q49" s="613"/>
      <c r="R49" s="613"/>
      <c r="S49" s="613"/>
    </row>
    <row r="50" spans="1:19" x14ac:dyDescent="0.2">
      <c r="A50" s="608"/>
      <c r="B50" s="11" t="s">
        <v>628</v>
      </c>
      <c r="C50" s="296">
        <f>SUM('Household travel survey - Mode'!G9:G10,'Household travel survey - Mode'!G14,'Household travel survey - Mode'!G18)</f>
        <v>2930436</v>
      </c>
      <c r="D50" s="613"/>
      <c r="F50" s="613"/>
      <c r="G50" s="613"/>
      <c r="H50" s="613"/>
      <c r="I50" s="613"/>
      <c r="J50" s="613"/>
      <c r="K50" s="613"/>
      <c r="L50" s="613"/>
      <c r="M50" s="613"/>
      <c r="N50" s="613"/>
      <c r="O50" s="613"/>
      <c r="P50" s="613"/>
      <c r="Q50" s="613"/>
      <c r="R50" s="613"/>
      <c r="S50" s="613"/>
    </row>
    <row r="51" spans="1:19" x14ac:dyDescent="0.2">
      <c r="A51" s="608"/>
      <c r="B51" s="24" t="s">
        <v>1000</v>
      </c>
      <c r="C51" s="614">
        <f>C50/C49</f>
        <v>0.10257427679180138</v>
      </c>
      <c r="D51" s="613"/>
      <c r="F51" s="613"/>
      <c r="G51" s="613"/>
      <c r="H51" s="613"/>
      <c r="I51" s="613"/>
      <c r="J51" s="613"/>
      <c r="K51" s="613"/>
      <c r="L51" s="613"/>
      <c r="M51" s="613"/>
      <c r="N51" s="613"/>
      <c r="O51" s="613"/>
      <c r="P51" s="613"/>
      <c r="Q51" s="613"/>
      <c r="R51" s="613"/>
      <c r="S51" s="613"/>
    </row>
    <row r="55" spans="1:19" x14ac:dyDescent="0.2">
      <c r="B55" s="20" t="s">
        <v>631</v>
      </c>
      <c r="D55" s="352"/>
    </row>
    <row r="56" spans="1:19" x14ac:dyDescent="0.2">
      <c r="B56" s="616" t="s">
        <v>633</v>
      </c>
    </row>
    <row r="57" spans="1:19" x14ac:dyDescent="0.2">
      <c r="B57" s="14"/>
      <c r="C57" s="668" t="s">
        <v>632</v>
      </c>
      <c r="D57" s="672" t="s">
        <v>0</v>
      </c>
    </row>
    <row r="58" spans="1:19" x14ac:dyDescent="0.2">
      <c r="B58" s="670" t="s">
        <v>627</v>
      </c>
      <c r="C58" s="618">
        <f>SUM(C38:C39)*(1-C51)</f>
        <v>693821.36482961534</v>
      </c>
      <c r="D58" s="617">
        <f>C58/$C$60</f>
        <v>0.96217698610995173</v>
      </c>
    </row>
    <row r="59" spans="1:19" x14ac:dyDescent="0.2">
      <c r="B59" s="670" t="s">
        <v>630</v>
      </c>
      <c r="C59" s="618">
        <f>SUM(C40:C41)</f>
        <v>27274</v>
      </c>
      <c r="D59" s="617">
        <f>C59/$C$60</f>
        <v>3.7823013890048315E-2</v>
      </c>
    </row>
    <row r="60" spans="1:19" s="679" customFormat="1" x14ac:dyDescent="0.2">
      <c r="A60" s="376"/>
      <c r="B60" s="48" t="s">
        <v>5</v>
      </c>
      <c r="C60" s="619">
        <f>SUM(C58:C59)</f>
        <v>721095.36482961534</v>
      </c>
      <c r="D60" s="614"/>
      <c r="E60" s="375"/>
      <c r="F60" s="368"/>
      <c r="G60" s="368"/>
      <c r="H60" s="368"/>
      <c r="I60" s="368"/>
      <c r="J60" s="368"/>
      <c r="K60" s="368"/>
      <c r="L60" s="368"/>
      <c r="M60" s="368"/>
      <c r="N60" s="368"/>
      <c r="O60" s="368"/>
      <c r="P60" s="368"/>
      <c r="Q60" s="368"/>
      <c r="R60" s="368"/>
      <c r="S60" s="368"/>
    </row>
    <row r="61" spans="1:19" s="679" customFormat="1" x14ac:dyDescent="0.2">
      <c r="A61" s="376"/>
      <c r="B61" s="669"/>
      <c r="C61" s="618"/>
      <c r="D61" s="46"/>
      <c r="E61" s="375"/>
      <c r="F61" s="368"/>
      <c r="G61" s="368"/>
      <c r="H61" s="368"/>
      <c r="I61" s="368"/>
      <c r="J61" s="368"/>
      <c r="K61" s="368"/>
      <c r="L61" s="368"/>
      <c r="M61" s="368"/>
      <c r="N61" s="368"/>
      <c r="O61" s="368"/>
      <c r="P61" s="368"/>
      <c r="Q61" s="368"/>
      <c r="R61" s="368"/>
      <c r="S61" s="368"/>
    </row>
    <row r="62" spans="1:19" x14ac:dyDescent="0.2">
      <c r="A62" s="376"/>
      <c r="B62" s="669"/>
      <c r="C62" s="618"/>
      <c r="D62" s="46"/>
      <c r="E62" s="375"/>
    </row>
    <row r="63" spans="1:19" x14ac:dyDescent="0.2">
      <c r="A63" s="376"/>
      <c r="B63" s="669"/>
      <c r="C63" s="618"/>
      <c r="D63" s="46"/>
      <c r="E63" s="375"/>
    </row>
    <row r="64" spans="1:19" x14ac:dyDescent="0.2">
      <c r="B64" s="1278" t="s">
        <v>973</v>
      </c>
      <c r="C64" s="1280"/>
      <c r="D64" s="1279">
        <f>C59/C58</f>
        <v>3.9309830141505936E-2</v>
      </c>
    </row>
    <row r="65" spans="1:19" x14ac:dyDescent="0.2">
      <c r="B65" s="36"/>
      <c r="C65" s="618"/>
      <c r="D65" s="46"/>
    </row>
    <row r="66" spans="1:19" x14ac:dyDescent="0.2">
      <c r="B66" s="36"/>
      <c r="C66" s="618"/>
      <c r="D66" s="46"/>
    </row>
    <row r="67" spans="1:19" x14ac:dyDescent="0.2">
      <c r="F67" s="613"/>
      <c r="G67" s="613"/>
      <c r="H67" s="613"/>
      <c r="I67" s="613"/>
      <c r="J67" s="613"/>
      <c r="K67" s="613"/>
      <c r="L67" s="613"/>
      <c r="M67" s="613"/>
      <c r="N67" s="613"/>
      <c r="O67" s="613"/>
      <c r="P67" s="613"/>
      <c r="Q67" s="613"/>
      <c r="R67" s="613"/>
      <c r="S67" s="613"/>
    </row>
    <row r="68" spans="1:19" x14ac:dyDescent="0.2">
      <c r="A68" s="376"/>
      <c r="B68" s="20" t="s">
        <v>639</v>
      </c>
      <c r="C68" s="375"/>
      <c r="D68" s="375"/>
      <c r="F68" s="613"/>
      <c r="G68" s="613"/>
      <c r="H68" s="613"/>
      <c r="I68" s="613"/>
      <c r="J68" s="613"/>
      <c r="K68" s="613"/>
      <c r="L68" s="613"/>
      <c r="M68" s="613"/>
      <c r="N68" s="613"/>
      <c r="O68" s="613"/>
      <c r="P68" s="613"/>
      <c r="Q68" s="613"/>
      <c r="R68" s="613"/>
      <c r="S68" s="613"/>
    </row>
    <row r="69" spans="1:19" ht="12" x14ac:dyDescent="0.2">
      <c r="A69" s="620"/>
      <c r="B69" s="621"/>
      <c r="C69" s="603" t="str">
        <f>'Household travel survey - Mode'!A25</f>
        <v>2016/17</v>
      </c>
      <c r="D69" s="604" t="s">
        <v>135</v>
      </c>
      <c r="E69" s="613"/>
      <c r="F69" s="613"/>
      <c r="G69" s="613"/>
      <c r="H69" s="613"/>
      <c r="I69" s="613"/>
      <c r="J69" s="613"/>
      <c r="K69" s="613"/>
      <c r="L69" s="613"/>
      <c r="M69" s="613"/>
      <c r="N69" s="613"/>
      <c r="O69" s="613"/>
      <c r="P69" s="613"/>
      <c r="Q69" s="613"/>
      <c r="R69" s="613"/>
      <c r="S69" s="613"/>
    </row>
    <row r="70" spans="1:19" ht="12" x14ac:dyDescent="0.2">
      <c r="A70" s="620"/>
      <c r="B70" s="605"/>
      <c r="C70" s="606" t="s">
        <v>137</v>
      </c>
      <c r="D70" s="607" t="str">
        <f>N17</f>
        <v>WEIGHTED_TRIPS</v>
      </c>
      <c r="E70" s="613"/>
      <c r="F70" s="613"/>
      <c r="G70" s="613"/>
      <c r="H70" s="613"/>
      <c r="I70" s="613"/>
      <c r="J70" s="613"/>
      <c r="K70" s="613"/>
      <c r="L70" s="613"/>
      <c r="M70" s="613"/>
      <c r="N70" s="613"/>
      <c r="O70" s="613"/>
      <c r="P70" s="613"/>
      <c r="Q70" s="613"/>
      <c r="R70" s="613"/>
      <c r="S70" s="613"/>
    </row>
    <row r="71" spans="1:19" ht="12" x14ac:dyDescent="0.2">
      <c r="A71" s="620"/>
      <c r="B71" s="22" t="s">
        <v>138</v>
      </c>
      <c r="C71" s="366">
        <f>D71/$N$23</f>
        <v>0.69032423221156325</v>
      </c>
      <c r="D71" s="338">
        <f>N18</f>
        <v>13356532</v>
      </c>
      <c r="E71" s="613"/>
      <c r="F71" s="613"/>
      <c r="G71" s="613"/>
      <c r="H71" s="613"/>
      <c r="I71" s="613"/>
      <c r="J71" s="613"/>
      <c r="K71" s="613"/>
      <c r="L71" s="613"/>
      <c r="M71" s="613"/>
      <c r="N71" s="613"/>
      <c r="O71" s="613"/>
      <c r="P71" s="613"/>
      <c r="Q71" s="613"/>
      <c r="R71" s="613"/>
      <c r="S71" s="613"/>
    </row>
    <row r="72" spans="1:19" ht="12" x14ac:dyDescent="0.2">
      <c r="A72" s="620"/>
      <c r="B72" s="22" t="s">
        <v>139</v>
      </c>
      <c r="C72" s="366">
        <f>D72/$N$23</f>
        <v>0.17460600083697703</v>
      </c>
      <c r="D72" s="338">
        <f>N19</f>
        <v>3378312</v>
      </c>
      <c r="E72" s="613"/>
      <c r="F72" s="613"/>
      <c r="G72" s="613"/>
      <c r="H72" s="613"/>
      <c r="I72" s="613"/>
      <c r="J72" s="613"/>
      <c r="K72" s="613"/>
      <c r="L72" s="613"/>
      <c r="M72" s="613"/>
      <c r="N72" s="613"/>
      <c r="O72" s="613"/>
      <c r="P72" s="613"/>
      <c r="Q72" s="613"/>
      <c r="R72" s="613"/>
      <c r="S72" s="613"/>
    </row>
    <row r="73" spans="1:19" ht="12" x14ac:dyDescent="0.2">
      <c r="A73" s="620"/>
      <c r="B73" s="22" t="s">
        <v>2</v>
      </c>
      <c r="C73" s="366">
        <f>D73/$N$23</f>
        <v>1.4315176495966862E-2</v>
      </c>
      <c r="D73" s="338">
        <f>N20-D76</f>
        <v>276972.91219444253</v>
      </c>
      <c r="E73" s="613"/>
      <c r="F73" s="613"/>
      <c r="G73" s="613"/>
      <c r="H73" s="613"/>
      <c r="I73" s="613"/>
      <c r="J73" s="613"/>
      <c r="K73" s="613"/>
      <c r="L73" s="613"/>
      <c r="M73" s="613"/>
      <c r="N73" s="613"/>
      <c r="O73" s="613"/>
      <c r="P73" s="613"/>
      <c r="Q73" s="613"/>
      <c r="R73" s="613"/>
      <c r="S73" s="613"/>
    </row>
    <row r="74" spans="1:19" ht="12" x14ac:dyDescent="0.2">
      <c r="A74" s="620"/>
      <c r="B74" s="22" t="s">
        <v>4</v>
      </c>
      <c r="C74" s="366">
        <f>D74/$N$23</f>
        <v>6.3762155458277486E-2</v>
      </c>
      <c r="D74" s="338">
        <f>N21</f>
        <v>1233683</v>
      </c>
      <c r="E74" s="613"/>
      <c r="F74" s="613"/>
      <c r="G74" s="613"/>
      <c r="H74" s="613"/>
      <c r="I74" s="613"/>
      <c r="J74" s="613"/>
      <c r="K74" s="613"/>
      <c r="L74" s="613"/>
      <c r="M74" s="613"/>
      <c r="N74" s="613"/>
      <c r="O74" s="613"/>
      <c r="P74" s="613"/>
      <c r="Q74" s="613"/>
      <c r="R74" s="613"/>
      <c r="S74" s="613"/>
    </row>
    <row r="75" spans="1:19" ht="12" x14ac:dyDescent="0.2">
      <c r="A75" s="620"/>
      <c r="B75" s="22" t="s">
        <v>3</v>
      </c>
      <c r="C75" s="366">
        <f>D75/$N$23</f>
        <v>5.2425132445130168E-2</v>
      </c>
      <c r="D75" s="338">
        <f>N22</f>
        <v>1014332</v>
      </c>
      <c r="E75" s="613"/>
      <c r="F75" s="613"/>
      <c r="G75" s="613"/>
      <c r="H75" s="613"/>
      <c r="I75" s="613"/>
      <c r="J75" s="613"/>
      <c r="K75" s="613"/>
      <c r="L75" s="613"/>
      <c r="M75" s="613"/>
      <c r="N75" s="613"/>
      <c r="O75" s="613"/>
      <c r="P75" s="613"/>
      <c r="Q75" s="613"/>
      <c r="R75" s="613"/>
      <c r="S75" s="613"/>
    </row>
    <row r="76" spans="1:19" x14ac:dyDescent="0.2">
      <c r="A76" s="620"/>
      <c r="B76" s="22" t="s">
        <v>634</v>
      </c>
      <c r="C76" s="366">
        <f>SUM(C74:C75)*D64</f>
        <v>4.5673025520852019E-3</v>
      </c>
      <c r="D76" s="338">
        <f>SUM(D74:D75)*D64</f>
        <v>88369.087805557472</v>
      </c>
      <c r="E76" s="613"/>
    </row>
    <row r="77" spans="1:19" x14ac:dyDescent="0.2">
      <c r="A77" s="620"/>
      <c r="B77" s="622" t="s">
        <v>635</v>
      </c>
      <c r="C77" s="600">
        <f>SUM(C71:C76)</f>
        <v>0.99999999999999978</v>
      </c>
      <c r="D77" s="339">
        <f>SUM(D71:D76)</f>
        <v>19348201</v>
      </c>
      <c r="E77" s="613"/>
    </row>
    <row r="78" spans="1:19" x14ac:dyDescent="0.2">
      <c r="A78" s="376"/>
      <c r="B78" s="376"/>
      <c r="C78" s="375"/>
      <c r="D78" s="375"/>
    </row>
    <row r="79" spans="1:19" x14ac:dyDescent="0.2">
      <c r="A79" s="376"/>
      <c r="B79" s="9"/>
      <c r="C79" s="9"/>
      <c r="D79" s="9"/>
    </row>
    <row r="80" spans="1:19" x14ac:dyDescent="0.2">
      <c r="A80" s="376"/>
      <c r="B80" s="9"/>
      <c r="C80" s="9"/>
      <c r="D80" s="9"/>
    </row>
    <row r="81" spans="2:4" x14ac:dyDescent="0.2">
      <c r="B81" s="352"/>
      <c r="C81" s="352"/>
      <c r="D81" s="352"/>
    </row>
    <row r="82" spans="2:4" x14ac:dyDescent="0.2">
      <c r="B82" s="352"/>
      <c r="C82" s="352"/>
      <c r="D82" s="352"/>
    </row>
    <row r="83" spans="2:4" x14ac:dyDescent="0.2">
      <c r="B83" s="352"/>
      <c r="C83" s="352"/>
      <c r="D83" s="352"/>
    </row>
  </sheetData>
  <mergeCells count="1">
    <mergeCell ref="E11:K12"/>
  </mergeCells>
  <hyperlinks>
    <hyperlink ref="Z6" location="'Household travel survey - Mode'!A1" display="'Household travel survey - Mode'!A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Y298"/>
  <sheetViews>
    <sheetView showGridLines="0" zoomScale="75" zoomScaleNormal="75" workbookViewId="0"/>
  </sheetViews>
  <sheetFormatPr defaultColWidth="9" defaultRowHeight="12" x14ac:dyDescent="0.2"/>
  <cols>
    <col min="1" max="1" width="14.42578125" style="352" customWidth="1"/>
    <col min="2" max="2" width="39.42578125" style="352" customWidth="1"/>
    <col min="3" max="3" width="18.7109375" style="352" customWidth="1"/>
    <col min="4" max="4" width="15.42578125" style="352" customWidth="1"/>
    <col min="5" max="5" width="13.42578125" style="352" customWidth="1"/>
    <col min="6" max="6" width="14.42578125" style="352" customWidth="1"/>
    <col min="7" max="7" width="15.42578125" style="352" customWidth="1"/>
    <col min="8" max="8" width="9" style="352"/>
    <col min="9" max="9" width="11.140625" style="352" customWidth="1"/>
    <col min="10" max="10" width="9" style="352"/>
    <col min="11" max="11" width="20.28515625" style="352" customWidth="1"/>
    <col min="12" max="12" width="23.42578125" style="352" customWidth="1"/>
    <col min="13" max="13" width="24.28515625" style="352" customWidth="1"/>
    <col min="14" max="14" width="12.42578125" style="352" customWidth="1"/>
    <col min="15" max="15" width="25.28515625" style="352" customWidth="1"/>
    <col min="16" max="16" width="15.42578125" style="352" customWidth="1"/>
    <col min="17" max="17" width="9.85546875" style="352" bestFit="1" customWidth="1"/>
    <col min="18" max="20" width="9" style="352"/>
    <col min="21" max="21" width="15.5703125" style="352" customWidth="1"/>
    <col min="22" max="23" width="9" style="352"/>
    <col min="24" max="24" width="9.140625" style="352" bestFit="1" customWidth="1"/>
    <col min="25" max="16384" width="9" style="352"/>
  </cols>
  <sheetData>
    <row r="1" spans="1:25" ht="18.600000000000001" customHeight="1" x14ac:dyDescent="0.2"/>
    <row r="2" spans="1:25" ht="18.600000000000001" customHeight="1" x14ac:dyDescent="0.2"/>
    <row r="3" spans="1:25" ht="18.600000000000001" customHeight="1" x14ac:dyDescent="0.2">
      <c r="K3" s="75" t="s">
        <v>409</v>
      </c>
      <c r="L3" s="76"/>
      <c r="M3" s="76"/>
      <c r="N3" s="76"/>
      <c r="O3" s="76"/>
      <c r="P3" s="76"/>
      <c r="Q3" s="76"/>
      <c r="R3" s="76"/>
      <c r="S3" s="76"/>
      <c r="T3" s="76"/>
      <c r="U3" s="76"/>
      <c r="V3" s="76"/>
      <c r="W3" s="76"/>
      <c r="X3" s="76"/>
      <c r="Y3" s="76"/>
    </row>
    <row r="4" spans="1:25" ht="18.600000000000001" customHeight="1" x14ac:dyDescent="0.2">
      <c r="K4" s="76"/>
      <c r="L4" s="76"/>
      <c r="M4" s="76"/>
      <c r="N4" s="76"/>
      <c r="O4" s="76"/>
      <c r="P4" s="76"/>
      <c r="Q4" s="76"/>
      <c r="R4" s="76"/>
      <c r="S4" s="76"/>
      <c r="T4" s="76"/>
      <c r="U4" s="76"/>
      <c r="V4" s="76"/>
      <c r="W4" s="76"/>
      <c r="X4" s="76"/>
      <c r="Y4" s="76"/>
    </row>
    <row r="5" spans="1:25" s="679" customFormat="1" ht="18.600000000000001" customHeight="1" x14ac:dyDescent="0.2">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t="str">
        <f>'Contents, list of sources'!T17</f>
        <v>Date accessed</v>
      </c>
      <c r="Y5" s="449"/>
    </row>
    <row r="6" spans="1:25" ht="18.600000000000001" customHeight="1" x14ac:dyDescent="0.2">
      <c r="K6" s="286" t="str">
        <f>'Contents, list of sources'!G477</f>
        <v>NSW Government</v>
      </c>
      <c r="L6" s="1289"/>
      <c r="M6" s="286" t="str">
        <f>'Contents, list of sources'!I477</f>
        <v>2018-19 Budget - Budget Paper 1 - Appendix 1A - Statement of Finances</v>
      </c>
      <c r="N6" s="1289"/>
      <c r="O6" s="1289"/>
      <c r="P6" s="1289"/>
      <c r="Q6" s="1290">
        <f>'Contents, list of sources'!M477</f>
        <v>43252</v>
      </c>
      <c r="R6" s="286"/>
      <c r="S6" s="286" t="str">
        <f>'Contents, list of sources'!O477</f>
        <v>https://www.budget.nsw.gov.au/sites/default/files/budget-2018-06/Appendices-A1-BP1-Budget_201819_0.pdf</v>
      </c>
      <c r="T6" s="1289"/>
      <c r="U6" s="1289"/>
      <c r="V6" s="1289"/>
      <c r="W6" s="1289"/>
      <c r="X6" s="1291">
        <f>'Contents, list of sources'!T477</f>
        <v>43571</v>
      </c>
      <c r="Y6" s="286"/>
    </row>
    <row r="7" spans="1:25" ht="18.600000000000001" customHeight="1" x14ac:dyDescent="0.2">
      <c r="K7" s="286" t="str">
        <f>'Contents, list of sources'!G484</f>
        <v>ABS</v>
      </c>
      <c r="L7" s="1289"/>
      <c r="M7" s="286" t="str">
        <f>'Contents, list of sources'!I484</f>
        <v>2016 Census QuickStats - NSW</v>
      </c>
      <c r="N7" s="1289"/>
      <c r="O7" s="1289"/>
      <c r="P7" s="1289"/>
      <c r="Q7" s="1290">
        <f>'Contents, list of sources'!M484</f>
        <v>43031</v>
      </c>
      <c r="R7" s="286"/>
      <c r="S7" s="286" t="str">
        <f>'Contents, list of sources'!O485</f>
        <v>https://www.planning.nsw.gov.au/-/media/Files/DPE/Other/nsw-state-and-local-government-area-household-and-implied-dwelling-projections-2016-2017-09.xlsx?la=en</v>
      </c>
      <c r="T7" s="1289"/>
      <c r="U7" s="1289"/>
      <c r="V7" s="1289"/>
      <c r="W7" s="1289"/>
      <c r="X7" s="1291">
        <f>'Contents, list of sources'!T485</f>
        <v>43571</v>
      </c>
      <c r="Y7" s="286"/>
    </row>
    <row r="8" spans="1:25" ht="18.600000000000001" customHeight="1" x14ac:dyDescent="0.2">
      <c r="K8" s="286" t="str">
        <f>'Contents, list of sources'!G485</f>
        <v>NSW Planning &amp; Environment</v>
      </c>
      <c r="L8" s="1289"/>
      <c r="M8" s="286" t="str">
        <f>'Contents, list of sources'!I484</f>
        <v>2016 Census QuickStats - NSW</v>
      </c>
      <c r="N8" s="1289"/>
      <c r="O8" s="1289"/>
      <c r="P8" s="1289"/>
      <c r="Q8" s="1290">
        <f>'Contents, list of sources'!M484</f>
        <v>43031</v>
      </c>
      <c r="R8" s="286"/>
      <c r="S8" s="286" t="str">
        <f>'Contents, list of sources'!O484</f>
        <v>https://quickstats.censusdata.abs.gov.au/census_services/getproduct/census/2016/quickstat/1?opendocument</v>
      </c>
      <c r="T8" s="1289"/>
      <c r="U8" s="1289"/>
      <c r="V8" s="1289"/>
      <c r="W8" s="1289"/>
      <c r="X8" s="1291">
        <f>'Contents, list of sources'!T484</f>
        <v>43571</v>
      </c>
      <c r="Y8" s="286"/>
    </row>
    <row r="9" spans="1:25" s="28" customFormat="1" ht="18.600000000000001" customHeight="1" x14ac:dyDescent="0.2">
      <c r="A9" s="372"/>
      <c r="B9" s="32"/>
      <c r="D9" s="32"/>
      <c r="K9" s="286" t="str">
        <f>'Contents, list of sources'!G486</f>
        <v>NSW Government</v>
      </c>
      <c r="L9" s="1289"/>
      <c r="M9" s="286" t="str">
        <f>'Contents, list of sources'!I486</f>
        <v>Infrastructure Statement 201-19 - Budget Paper No. 2</v>
      </c>
      <c r="N9" s="1289"/>
      <c r="O9" s="1289"/>
      <c r="P9" s="1289"/>
      <c r="Q9" s="1290">
        <f>'Contents, list of sources'!M486</f>
        <v>43252</v>
      </c>
      <c r="R9" s="286"/>
      <c r="S9" s="286" t="str">
        <f>'Contents, list of sources'!O486</f>
        <v>https://www.budget.nsw.gov.au/sites/default/files/budget-2018-06/Budget_Paper_2-Infrastructure%20Statement-Budget_201819.pdf</v>
      </c>
      <c r="T9" s="1289"/>
      <c r="U9" s="1289"/>
      <c r="V9" s="1289"/>
      <c r="W9" s="1289"/>
      <c r="X9" s="1291">
        <f>'Contents, list of sources'!T486</f>
        <v>43571</v>
      </c>
      <c r="Y9" s="286"/>
    </row>
    <row r="10" spans="1:25" s="28" customFormat="1" ht="18.600000000000001" customHeight="1" x14ac:dyDescent="0.2">
      <c r="A10" s="372"/>
      <c r="K10" s="286" t="str">
        <f>'Contents, list of sources'!G487</f>
        <v>NSW Government</v>
      </c>
      <c r="L10" s="1289"/>
      <c r="M10" s="286" t="str">
        <f>'Contents, list of sources'!I487</f>
        <v>NSW Budget 2018-19 - My Budget - Where the money goes</v>
      </c>
      <c r="N10" s="1289"/>
      <c r="O10" s="1289"/>
      <c r="P10" s="1289"/>
      <c r="Q10" s="1290">
        <f>'Contents, list of sources'!M487</f>
        <v>43252</v>
      </c>
      <c r="R10" s="286"/>
      <c r="S10" s="286" t="str">
        <f>'Contents, list of sources'!O487</f>
        <v>https://www.budget.nsw.gov.au/my-budget</v>
      </c>
      <c r="T10" s="1289"/>
      <c r="U10" s="1289"/>
      <c r="V10" s="1289"/>
      <c r="W10" s="1289"/>
      <c r="X10" s="1291">
        <f>'Contents, list of sources'!T487</f>
        <v>43571</v>
      </c>
      <c r="Y10" s="1289"/>
    </row>
    <row r="11" spans="1:25" s="272" customFormat="1" ht="18.600000000000001" customHeight="1" x14ac:dyDescent="0.3">
      <c r="B11" s="382" t="s">
        <v>408</v>
      </c>
      <c r="K11" s="286" t="str">
        <f>'Contents, list of sources'!G488</f>
        <v>NSW Government</v>
      </c>
      <c r="L11" s="1289"/>
      <c r="M11" s="286" t="str">
        <f>'Contents, list of sources'!I488</f>
        <v>2018-19 Budget - Budget Paper 1 - Chapter 6 - Expenditure</v>
      </c>
      <c r="N11" s="1289"/>
      <c r="O11" s="1289"/>
      <c r="P11" s="1289"/>
      <c r="Q11" s="1290">
        <f>'Contents, list of sources'!M488</f>
        <v>43252</v>
      </c>
      <c r="R11" s="286"/>
      <c r="S11" s="286" t="str">
        <f>'Contents, list of sources'!O488</f>
        <v>https://www.budget.nsw.gov.au/sites/default/files/budget-2018-06/6._Expenditure-BP1-Budget_201819.pdf</v>
      </c>
      <c r="T11" s="1289"/>
      <c r="U11" s="1289"/>
      <c r="V11" s="1289"/>
      <c r="W11" s="1289"/>
      <c r="X11" s="1291">
        <f>'Contents, list of sources'!T488</f>
        <v>43571</v>
      </c>
      <c r="Y11" s="286"/>
    </row>
    <row r="12" spans="1:25" s="79" customFormat="1" ht="18.600000000000001" customHeight="1" x14ac:dyDescent="0.2">
      <c r="A12" s="374"/>
      <c r="E12" s="78"/>
      <c r="F12" s="78"/>
      <c r="G12" s="78"/>
      <c r="H12" s="78"/>
      <c r="I12" s="78"/>
      <c r="J12" s="78"/>
      <c r="K12" s="78"/>
      <c r="L12" s="78"/>
      <c r="M12" s="78"/>
      <c r="N12" s="78"/>
      <c r="O12" s="78"/>
      <c r="P12" s="78"/>
      <c r="Q12" s="78"/>
      <c r="R12" s="78"/>
      <c r="S12" s="78"/>
    </row>
    <row r="13" spans="1:25" s="28" customFormat="1" x14ac:dyDescent="0.2">
      <c r="A13" s="372"/>
      <c r="B13" s="32"/>
      <c r="D13" s="32"/>
    </row>
    <row r="14" spans="1:25" x14ac:dyDescent="0.2">
      <c r="B14" s="9"/>
      <c r="C14" s="9"/>
      <c r="D14" s="9"/>
    </row>
    <row r="15" spans="1:25" x14ac:dyDescent="0.2">
      <c r="E15" s="73"/>
      <c r="F15" s="73"/>
      <c r="G15" s="73"/>
      <c r="H15" s="73"/>
      <c r="I15" s="73"/>
      <c r="J15" s="73"/>
      <c r="K15" s="73"/>
      <c r="L15" s="73"/>
      <c r="M15" s="73"/>
      <c r="N15" s="73"/>
      <c r="O15" s="73"/>
      <c r="P15" s="73"/>
      <c r="Q15" s="73"/>
      <c r="R15" s="73"/>
      <c r="S15" s="73"/>
    </row>
    <row r="18" spans="6:11" x14ac:dyDescent="0.2">
      <c r="F18" s="28" t="s">
        <v>582</v>
      </c>
      <c r="G18" s="28"/>
      <c r="H18" s="28"/>
      <c r="I18" s="28"/>
      <c r="J18" s="28"/>
      <c r="K18" s="28"/>
    </row>
    <row r="32" spans="6:11" x14ac:dyDescent="0.2">
      <c r="H32" s="9"/>
    </row>
    <row r="33" spans="2:21" s="9" customFormat="1" ht="14.25" x14ac:dyDescent="0.2">
      <c r="B33" s="20" t="s">
        <v>109</v>
      </c>
      <c r="I33" s="20" t="s">
        <v>106</v>
      </c>
    </row>
    <row r="34" spans="2:21" s="9" customFormat="1" ht="36" x14ac:dyDescent="0.2">
      <c r="B34" s="377"/>
      <c r="C34" s="6" t="s">
        <v>597</v>
      </c>
      <c r="D34" s="6" t="s">
        <v>598</v>
      </c>
      <c r="E34" s="6" t="s">
        <v>601</v>
      </c>
      <c r="F34" s="349" t="s">
        <v>602</v>
      </c>
      <c r="G34" s="473" t="s">
        <v>103</v>
      </c>
      <c r="H34" s="32"/>
      <c r="I34" s="581" t="s">
        <v>103</v>
      </c>
      <c r="J34" s="30" t="s">
        <v>599</v>
      </c>
      <c r="K34" s="591" t="s">
        <v>600</v>
      </c>
      <c r="L34" s="65"/>
      <c r="M34" s="6" t="s">
        <v>107</v>
      </c>
      <c r="N34" s="51" t="s">
        <v>74</v>
      </c>
    </row>
    <row r="35" spans="2:21" s="9" customFormat="1" x14ac:dyDescent="0.2">
      <c r="B35" s="22" t="s">
        <v>85</v>
      </c>
      <c r="C35" s="560">
        <f>C126</f>
        <v>6048.2049999999999</v>
      </c>
      <c r="D35" s="560">
        <f>C98</f>
        <v>6972.1999999999989</v>
      </c>
      <c r="E35" s="560">
        <f>SUM(C35:D35)</f>
        <v>13020.404999999999</v>
      </c>
      <c r="F35" s="560">
        <f t="shared" ref="F35:F46" si="0">E35/$C$59</f>
        <v>4854.7598306082818</v>
      </c>
      <c r="G35" s="453">
        <f>RANK(F35, $F$35:$F$46)</f>
        <v>3</v>
      </c>
      <c r="H35" s="32"/>
      <c r="I35" s="324">
        <v>1</v>
      </c>
      <c r="J35" s="32" t="str">
        <f t="shared" ref="J35:J46" si="1">INDEX($B$35:$B$46,MATCH($I35,$G$35:$G$46,0))</f>
        <v>Health</v>
      </c>
      <c r="K35" s="560">
        <f>INDEX($F$35:$F$46,MATCH($I35,$G$35:$G$46,0))</f>
        <v>9304.6669111160281</v>
      </c>
      <c r="L35" s="32"/>
      <c r="M35" s="32" t="str">
        <f>J35</f>
        <v>Health</v>
      </c>
      <c r="N35" s="276">
        <f t="shared" ref="N35:N40" si="2">ROUND(INDEX($K$35:$K$46,MATCH(M35,$J$35:$J$46,0)),-2)</f>
        <v>9300</v>
      </c>
      <c r="O35" s="32"/>
      <c r="P35" s="32"/>
      <c r="Q35" s="32"/>
      <c r="R35" s="32"/>
      <c r="S35" s="32"/>
      <c r="T35" s="32"/>
      <c r="U35" s="32"/>
    </row>
    <row r="36" spans="2:21" s="9" customFormat="1" x14ac:dyDescent="0.2">
      <c r="B36" s="22" t="s">
        <v>66</v>
      </c>
      <c r="C36" s="560">
        <f>C127</f>
        <v>8675.7950000000001</v>
      </c>
      <c r="D36" s="560">
        <f>C77-D35</f>
        <v>3764.8000000000011</v>
      </c>
      <c r="E36" s="560">
        <f t="shared" ref="E36:E46" si="3">SUM(C36:D36)</f>
        <v>12440.595000000001</v>
      </c>
      <c r="F36" s="560">
        <f t="shared" si="0"/>
        <v>4638.5731376916656</v>
      </c>
      <c r="G36" s="453">
        <f t="shared" ref="G36:G46" si="4">RANK(F36, $F$35:$F$46)</f>
        <v>4</v>
      </c>
      <c r="H36" s="32"/>
      <c r="I36" s="324">
        <v>2</v>
      </c>
      <c r="J36" s="32" t="str">
        <f t="shared" si="1"/>
        <v>Education</v>
      </c>
      <c r="K36" s="560">
        <f t="shared" ref="K36:K46" si="5">INDEX($F$35:$F$46,MATCH($I36,$G$35:$G$46,0))</f>
        <v>7435.5306568413471</v>
      </c>
      <c r="L36" s="32"/>
      <c r="M36" s="32" t="str">
        <f>J36</f>
        <v>Education</v>
      </c>
      <c r="N36" s="276">
        <f t="shared" si="2"/>
        <v>7400</v>
      </c>
      <c r="O36" s="32"/>
      <c r="P36" s="32"/>
      <c r="Q36" s="32"/>
      <c r="R36" s="32"/>
      <c r="S36" s="32"/>
      <c r="T36" s="32"/>
      <c r="U36" s="32"/>
    </row>
    <row r="37" spans="2:21" s="9" customFormat="1" x14ac:dyDescent="0.2">
      <c r="B37" s="22" t="s">
        <v>54</v>
      </c>
      <c r="C37" s="560">
        <f>C128</f>
        <v>2163</v>
      </c>
      <c r="D37" s="560">
        <f>C73</f>
        <v>22792</v>
      </c>
      <c r="E37" s="560">
        <f t="shared" si="3"/>
        <v>24955</v>
      </c>
      <c r="F37" s="560">
        <f t="shared" si="0"/>
        <v>9304.6669111160281</v>
      </c>
      <c r="G37" s="453">
        <f t="shared" si="4"/>
        <v>1</v>
      </c>
      <c r="H37" s="32"/>
      <c r="I37" s="324">
        <v>3</v>
      </c>
      <c r="J37" s="32" t="str">
        <f t="shared" si="1"/>
        <v>Public Transport</v>
      </c>
      <c r="K37" s="560">
        <f t="shared" si="5"/>
        <v>4854.7598306082818</v>
      </c>
      <c r="L37" s="32"/>
      <c r="M37" s="32" t="str">
        <f>J37</f>
        <v>Public Transport</v>
      </c>
      <c r="N37" s="276">
        <f t="shared" si="2"/>
        <v>4900</v>
      </c>
      <c r="O37" s="32"/>
      <c r="P37" s="32"/>
      <c r="Q37" s="32"/>
      <c r="R37" s="32"/>
      <c r="S37" s="32"/>
      <c r="T37" s="32"/>
      <c r="U37" s="32"/>
    </row>
    <row r="38" spans="2:21" s="9" customFormat="1" x14ac:dyDescent="0.2">
      <c r="B38" s="22" t="s">
        <v>55</v>
      </c>
      <c r="C38" s="560">
        <f t="shared" ref="C38:C42" si="6">C129</f>
        <v>1793</v>
      </c>
      <c r="D38" s="560">
        <f>C75</f>
        <v>18149</v>
      </c>
      <c r="E38" s="560">
        <f t="shared" si="3"/>
        <v>19942</v>
      </c>
      <c r="F38" s="560">
        <f t="shared" si="0"/>
        <v>7435.5306568413471</v>
      </c>
      <c r="G38" s="453">
        <f t="shared" si="4"/>
        <v>2</v>
      </c>
      <c r="H38" s="32"/>
      <c r="I38" s="324">
        <v>4</v>
      </c>
      <c r="J38" s="32" t="str">
        <f t="shared" si="1"/>
        <v>Roads</v>
      </c>
      <c r="K38" s="560">
        <f t="shared" si="5"/>
        <v>4638.5731376916656</v>
      </c>
      <c r="L38" s="32"/>
      <c r="M38" s="32" t="str">
        <f>J38</f>
        <v>Roads</v>
      </c>
      <c r="N38" s="276">
        <f t="shared" si="2"/>
        <v>4600</v>
      </c>
      <c r="O38" s="32"/>
      <c r="P38" s="32"/>
      <c r="Q38" s="32"/>
      <c r="R38" s="32"/>
      <c r="S38" s="32"/>
      <c r="T38" s="32"/>
      <c r="U38" s="32"/>
    </row>
    <row r="39" spans="2:21" s="9" customFormat="1" x14ac:dyDescent="0.2">
      <c r="B39" s="22" t="s">
        <v>56</v>
      </c>
      <c r="C39" s="560">
        <f t="shared" si="6"/>
        <v>1381</v>
      </c>
      <c r="D39" s="560">
        <f>C69</f>
        <v>8010</v>
      </c>
      <c r="E39" s="560">
        <f t="shared" si="3"/>
        <v>9391</v>
      </c>
      <c r="F39" s="560">
        <f t="shared" si="0"/>
        <v>3501.5077925181572</v>
      </c>
      <c r="G39" s="453">
        <f t="shared" si="4"/>
        <v>6</v>
      </c>
      <c r="H39" s="32"/>
      <c r="I39" s="324">
        <v>5</v>
      </c>
      <c r="J39" s="32" t="str">
        <f t="shared" si="1"/>
        <v>Other</v>
      </c>
      <c r="K39" s="560">
        <f t="shared" si="5"/>
        <v>3767.7282763705653</v>
      </c>
      <c r="L39" s="32"/>
      <c r="M39" s="32" t="str">
        <f>J40</f>
        <v>Justice</v>
      </c>
      <c r="N39" s="276">
        <f t="shared" si="2"/>
        <v>3500</v>
      </c>
      <c r="O39" s="32"/>
      <c r="P39" s="32"/>
      <c r="Q39" s="32"/>
      <c r="R39" s="32"/>
      <c r="S39" s="32"/>
      <c r="T39" s="32"/>
      <c r="U39" s="32"/>
    </row>
    <row r="40" spans="2:21" s="9" customFormat="1" x14ac:dyDescent="0.2">
      <c r="B40" s="22" t="s">
        <v>57</v>
      </c>
      <c r="C40" s="560">
        <f t="shared" si="6"/>
        <v>598</v>
      </c>
      <c r="D40" s="560">
        <f>C72</f>
        <v>1180</v>
      </c>
      <c r="E40" s="560">
        <f t="shared" si="3"/>
        <v>1778</v>
      </c>
      <c r="F40" s="560">
        <f t="shared" si="0"/>
        <v>662.94120488736917</v>
      </c>
      <c r="G40" s="453">
        <f t="shared" si="4"/>
        <v>9</v>
      </c>
      <c r="H40" s="32"/>
      <c r="I40" s="324">
        <v>6</v>
      </c>
      <c r="J40" s="32" t="str">
        <f t="shared" si="1"/>
        <v>Justice</v>
      </c>
      <c r="K40" s="560">
        <f t="shared" si="5"/>
        <v>3501.5077925181572</v>
      </c>
      <c r="L40" s="32"/>
      <c r="M40" s="32" t="str">
        <f>J41</f>
        <v>Social protection</v>
      </c>
      <c r="N40" s="276">
        <f t="shared" si="2"/>
        <v>2800</v>
      </c>
      <c r="O40" s="32"/>
      <c r="P40" s="32"/>
      <c r="Q40" s="32"/>
      <c r="R40" s="32"/>
      <c r="S40" s="32"/>
      <c r="T40" s="32"/>
      <c r="U40" s="32"/>
    </row>
    <row r="41" spans="2:21" s="9" customFormat="1" x14ac:dyDescent="0.2">
      <c r="B41" s="22" t="s">
        <v>58</v>
      </c>
      <c r="C41" s="560">
        <f t="shared" si="6"/>
        <v>521</v>
      </c>
      <c r="D41" s="560"/>
      <c r="E41" s="560">
        <f t="shared" si="3"/>
        <v>521</v>
      </c>
      <c r="F41" s="560">
        <f t="shared" si="0"/>
        <v>194.25892449174316</v>
      </c>
      <c r="G41" s="453">
        <f t="shared" si="4"/>
        <v>12</v>
      </c>
      <c r="H41" s="32"/>
      <c r="I41" s="324">
        <v>7</v>
      </c>
      <c r="J41" s="32" t="str">
        <f t="shared" si="1"/>
        <v>Social protection</v>
      </c>
      <c r="K41" s="560">
        <f t="shared" si="5"/>
        <v>2776.672189424206</v>
      </c>
      <c r="L41" s="32"/>
      <c r="M41" s="32" t="str">
        <f>J39</f>
        <v>Other</v>
      </c>
      <c r="N41" s="277">
        <f>ROUND(K48-SUM(N35:N40),-2)</f>
        <v>6300</v>
      </c>
      <c r="O41" s="32"/>
      <c r="P41" s="32"/>
      <c r="Q41" s="32"/>
      <c r="R41" s="32"/>
      <c r="S41" s="32"/>
      <c r="T41" s="32"/>
      <c r="U41" s="32"/>
    </row>
    <row r="42" spans="2:21" s="9" customFormat="1" x14ac:dyDescent="0.2">
      <c r="B42" s="22" t="s">
        <v>59</v>
      </c>
      <c r="C42" s="560">
        <f t="shared" si="6"/>
        <v>1352</v>
      </c>
      <c r="D42" s="560"/>
      <c r="E42" s="560">
        <f t="shared" si="3"/>
        <v>1352</v>
      </c>
      <c r="F42" s="560">
        <f t="shared" si="0"/>
        <v>504.10377334517608</v>
      </c>
      <c r="G42" s="453">
        <f t="shared" si="4"/>
        <v>10</v>
      </c>
      <c r="H42" s="32"/>
      <c r="I42" s="324">
        <v>8</v>
      </c>
      <c r="J42" s="32" t="str">
        <f t="shared" si="1"/>
        <v>Recreation, culture and religion</v>
      </c>
      <c r="K42" s="560">
        <f t="shared" si="5"/>
        <v>702.09127604213506</v>
      </c>
      <c r="L42" s="32"/>
      <c r="M42" s="32"/>
      <c r="N42" s="33"/>
      <c r="O42" s="32"/>
      <c r="P42" s="32"/>
      <c r="Q42" s="32"/>
      <c r="R42" s="32"/>
      <c r="S42" s="32"/>
      <c r="T42" s="32"/>
      <c r="U42" s="32"/>
    </row>
    <row r="43" spans="2:21" s="9" customFormat="1" x14ac:dyDescent="0.2">
      <c r="B43" s="22" t="s">
        <v>87</v>
      </c>
      <c r="C43" s="560">
        <f>C134</f>
        <v>568</v>
      </c>
      <c r="D43" s="560">
        <f>C74</f>
        <v>1315</v>
      </c>
      <c r="E43" s="560">
        <f t="shared" si="3"/>
        <v>1883</v>
      </c>
      <c r="F43" s="560">
        <f t="shared" si="0"/>
        <v>702.09127604213506</v>
      </c>
      <c r="G43" s="453">
        <f t="shared" si="4"/>
        <v>8</v>
      </c>
      <c r="H43" s="32"/>
      <c r="I43" s="324">
        <v>9</v>
      </c>
      <c r="J43" s="32" t="str">
        <f t="shared" si="1"/>
        <v>Housing</v>
      </c>
      <c r="K43" s="560">
        <f t="shared" si="5"/>
        <v>662.94120488736917</v>
      </c>
      <c r="L43" s="32"/>
      <c r="M43" s="561" t="s">
        <v>76</v>
      </c>
      <c r="N43" s="562">
        <f>ROUND(SUM(K39,K42:K46),-2)-N41</f>
        <v>0</v>
      </c>
      <c r="O43" s="32"/>
      <c r="P43" s="32"/>
      <c r="Q43" s="32"/>
      <c r="R43" s="32"/>
      <c r="S43" s="32"/>
      <c r="T43" s="32"/>
      <c r="U43" s="32"/>
    </row>
    <row r="44" spans="2:21" s="9" customFormat="1" x14ac:dyDescent="0.2">
      <c r="B44" s="22" t="s">
        <v>2</v>
      </c>
      <c r="C44" s="560">
        <f>C135</f>
        <v>1370</v>
      </c>
      <c r="D44" s="560">
        <f>SUM(C68,C70)</f>
        <v>8735</v>
      </c>
      <c r="E44" s="560">
        <f t="shared" si="3"/>
        <v>10105</v>
      </c>
      <c r="F44" s="560">
        <f t="shared" si="0"/>
        <v>3767.7282763705653</v>
      </c>
      <c r="G44" s="453">
        <f t="shared" si="4"/>
        <v>5</v>
      </c>
      <c r="H44" s="32"/>
      <c r="I44" s="324">
        <v>10</v>
      </c>
      <c r="J44" s="32" t="str">
        <f t="shared" si="1"/>
        <v>Water</v>
      </c>
      <c r="K44" s="560">
        <f t="shared" si="5"/>
        <v>504.10377334517608</v>
      </c>
      <c r="L44" s="32"/>
      <c r="M44" s="32"/>
      <c r="N44" s="33"/>
      <c r="O44" s="32"/>
      <c r="P44" s="32"/>
      <c r="Q44" s="32"/>
      <c r="R44" s="32"/>
      <c r="S44" s="32"/>
      <c r="T44" s="32"/>
      <c r="U44" s="32"/>
    </row>
    <row r="45" spans="2:21" s="9" customFormat="1" x14ac:dyDescent="0.2">
      <c r="B45" s="22" t="s">
        <v>86</v>
      </c>
      <c r="C45" s="560"/>
      <c r="D45" s="560">
        <f>C76</f>
        <v>7447</v>
      </c>
      <c r="E45" s="560">
        <f t="shared" si="3"/>
        <v>7447</v>
      </c>
      <c r="F45" s="560">
        <f t="shared" si="0"/>
        <v>2776.672189424206</v>
      </c>
      <c r="G45" s="453">
        <f t="shared" si="4"/>
        <v>7</v>
      </c>
      <c r="H45" s="32"/>
      <c r="I45" s="324">
        <v>11</v>
      </c>
      <c r="J45" s="32" t="str">
        <f t="shared" si="1"/>
        <v>Environmental protection</v>
      </c>
      <c r="K45" s="560">
        <f t="shared" si="5"/>
        <v>481.35944629335972</v>
      </c>
      <c r="L45" s="32"/>
      <c r="M45" s="32"/>
      <c r="N45" s="33"/>
      <c r="O45" s="32"/>
      <c r="P45" s="32"/>
      <c r="Q45" s="32"/>
      <c r="R45" s="32"/>
      <c r="S45" s="32"/>
      <c r="T45" s="32"/>
      <c r="U45" s="32"/>
    </row>
    <row r="46" spans="2:21" s="9" customFormat="1" x14ac:dyDescent="0.2">
      <c r="B46" s="22" t="s">
        <v>100</v>
      </c>
      <c r="C46" s="560"/>
      <c r="D46" s="560">
        <f>C71</f>
        <v>1291</v>
      </c>
      <c r="E46" s="560">
        <f t="shared" si="3"/>
        <v>1291</v>
      </c>
      <c r="F46" s="560">
        <f t="shared" si="0"/>
        <v>481.35944629335972</v>
      </c>
      <c r="G46" s="453">
        <f t="shared" si="4"/>
        <v>11</v>
      </c>
      <c r="H46" s="32"/>
      <c r="I46" s="324">
        <v>12</v>
      </c>
      <c r="J46" s="32" t="str">
        <f t="shared" si="1"/>
        <v>Electricity*</v>
      </c>
      <c r="K46" s="560">
        <f t="shared" si="5"/>
        <v>194.25892449174316</v>
      </c>
      <c r="L46" s="32"/>
      <c r="M46" s="32"/>
      <c r="N46" s="33"/>
      <c r="O46" s="32"/>
      <c r="P46" s="32"/>
      <c r="Q46" s="32"/>
      <c r="R46" s="32"/>
      <c r="S46" s="32"/>
      <c r="T46" s="32"/>
      <c r="U46" s="32"/>
    </row>
    <row r="47" spans="2:21" s="9" customFormat="1" x14ac:dyDescent="0.2">
      <c r="B47" s="22"/>
      <c r="C47" s="560"/>
      <c r="D47" s="560"/>
      <c r="E47" s="560"/>
      <c r="F47" s="560"/>
      <c r="G47" s="453"/>
      <c r="H47" s="32"/>
      <c r="I47" s="324"/>
      <c r="J47" s="32"/>
      <c r="K47" s="560"/>
      <c r="L47" s="32"/>
      <c r="M47" s="32"/>
      <c r="N47" s="33"/>
      <c r="O47" s="32"/>
      <c r="P47" s="32"/>
      <c r="Q47" s="32"/>
      <c r="R47" s="32"/>
      <c r="S47" s="32"/>
      <c r="T47" s="32"/>
      <c r="U47" s="32"/>
    </row>
    <row r="48" spans="2:21" s="9" customFormat="1" x14ac:dyDescent="0.2">
      <c r="B48" s="22" t="s">
        <v>5</v>
      </c>
      <c r="C48" s="560">
        <f>SUM(C35:C47)</f>
        <v>24470</v>
      </c>
      <c r="D48" s="560">
        <f>SUM(D35:D46)</f>
        <v>79656</v>
      </c>
      <c r="E48" s="560">
        <f>SUM(E35:E46)</f>
        <v>104126</v>
      </c>
      <c r="F48" s="560">
        <f>SUM(F35:F46)</f>
        <v>38824.193419630043</v>
      </c>
      <c r="G48" s="453"/>
      <c r="H48" s="32"/>
      <c r="I48" s="324"/>
      <c r="J48" s="32" t="s">
        <v>5</v>
      </c>
      <c r="K48" s="560">
        <f>SUM(K35:K46)</f>
        <v>38824.193419630028</v>
      </c>
      <c r="L48" s="32"/>
      <c r="M48" s="32" t="s">
        <v>5</v>
      </c>
      <c r="N48" s="453">
        <f>SUM(N35:N41)</f>
        <v>38800</v>
      </c>
      <c r="O48" s="32"/>
      <c r="P48" s="32"/>
      <c r="Q48" s="32"/>
      <c r="R48" s="32"/>
      <c r="S48" s="32"/>
      <c r="T48" s="32"/>
      <c r="U48" s="32"/>
    </row>
    <row r="49" spans="2:21" s="9" customFormat="1" x14ac:dyDescent="0.2">
      <c r="B49" s="588" t="s">
        <v>73</v>
      </c>
      <c r="C49" s="589">
        <f>C48-C136</f>
        <v>-1</v>
      </c>
      <c r="D49" s="590">
        <f>D48-C79</f>
        <v>0</v>
      </c>
      <c r="E49" s="590">
        <f>E48/C59-F48</f>
        <v>0</v>
      </c>
      <c r="F49" s="79"/>
      <c r="G49" s="510"/>
      <c r="H49" s="32"/>
      <c r="I49" s="34"/>
      <c r="J49" s="79"/>
      <c r="K49" s="79"/>
      <c r="L49" s="79"/>
      <c r="M49" s="79"/>
      <c r="N49" s="510"/>
      <c r="O49" s="32"/>
      <c r="P49" s="32"/>
      <c r="Q49" s="32"/>
      <c r="R49" s="32"/>
      <c r="S49" s="32"/>
      <c r="T49" s="32"/>
      <c r="U49" s="32"/>
    </row>
    <row r="50" spans="2:21" x14ac:dyDescent="0.2">
      <c r="C50" s="28"/>
      <c r="D50" s="28"/>
      <c r="E50" s="28"/>
      <c r="F50" s="28"/>
      <c r="G50" s="28"/>
      <c r="H50" s="28"/>
      <c r="I50" s="28"/>
      <c r="J50" s="28"/>
      <c r="K50" s="28"/>
      <c r="L50" s="28"/>
      <c r="M50" s="28"/>
      <c r="N50" s="28"/>
      <c r="O50" s="28"/>
      <c r="P50" s="28"/>
      <c r="Q50" s="28"/>
      <c r="R50" s="28"/>
      <c r="S50" s="28"/>
      <c r="T50" s="28"/>
      <c r="U50" s="28"/>
    </row>
    <row r="51" spans="2:21" x14ac:dyDescent="0.2">
      <c r="C51" s="28"/>
      <c r="D51" s="28"/>
      <c r="E51" s="28"/>
      <c r="F51" s="28"/>
      <c r="G51" s="28"/>
      <c r="H51" s="28"/>
      <c r="I51" s="28"/>
      <c r="J51" s="28"/>
      <c r="K51" s="28"/>
      <c r="L51" s="28"/>
      <c r="M51" s="28"/>
      <c r="N51" s="28"/>
      <c r="O51" s="28"/>
      <c r="P51" s="28"/>
      <c r="Q51" s="28"/>
      <c r="R51" s="28"/>
      <c r="S51" s="28"/>
      <c r="T51" s="28"/>
      <c r="U51" s="28"/>
    </row>
    <row r="52" spans="2:21" ht="14.25" x14ac:dyDescent="0.2">
      <c r="B52" s="20" t="s">
        <v>108</v>
      </c>
      <c r="C52" s="32"/>
      <c r="D52" s="28"/>
      <c r="E52" s="28"/>
      <c r="F52" s="28"/>
      <c r="G52" s="28"/>
      <c r="H52" s="28"/>
      <c r="I52" s="28"/>
      <c r="J52" s="28"/>
      <c r="K52" s="28"/>
      <c r="L52" s="28"/>
      <c r="M52" s="28"/>
      <c r="N52" s="28"/>
      <c r="O52" s="28"/>
      <c r="P52" s="28"/>
      <c r="Q52" s="28"/>
      <c r="R52" s="28"/>
      <c r="S52" s="28"/>
      <c r="T52" s="28"/>
      <c r="U52" s="28"/>
    </row>
    <row r="53" spans="2:21" ht="24" x14ac:dyDescent="0.2">
      <c r="B53" s="581" t="s">
        <v>45</v>
      </c>
      <c r="C53" s="592">
        <v>2604320</v>
      </c>
      <c r="E53" s="74" t="s">
        <v>261</v>
      </c>
      <c r="F53" s="475"/>
      <c r="G53" s="475"/>
      <c r="H53" s="475"/>
      <c r="I53" s="475"/>
      <c r="J53" s="475"/>
      <c r="K53" s="475"/>
      <c r="L53" s="475"/>
    </row>
    <row r="54" spans="2:21" x14ac:dyDescent="0.2">
      <c r="B54" s="287" t="s">
        <v>47</v>
      </c>
      <c r="C54" s="563">
        <f>('LGA Dwellings'!D150/'LGA Dwellings'!C150)^(1/5)</f>
        <v>1.0148017292635512</v>
      </c>
      <c r="D54" s="28"/>
      <c r="E54" s="475" t="s">
        <v>263</v>
      </c>
      <c r="F54" s="475"/>
      <c r="G54" s="475"/>
      <c r="H54" s="475"/>
      <c r="I54" s="475"/>
      <c r="J54" s="475"/>
      <c r="K54" s="475"/>
      <c r="L54" s="475"/>
    </row>
    <row r="55" spans="2:21" x14ac:dyDescent="0.2">
      <c r="B55" s="287" t="s">
        <v>48</v>
      </c>
      <c r="C55" s="483">
        <v>2</v>
      </c>
      <c r="E55" s="457"/>
      <c r="F55" s="9"/>
      <c r="G55" s="9"/>
      <c r="H55" s="9"/>
      <c r="I55" s="9"/>
      <c r="J55" s="9"/>
      <c r="K55" s="9"/>
      <c r="L55" s="9"/>
    </row>
    <row r="56" spans="2:21" x14ac:dyDescent="0.2">
      <c r="B56" s="287" t="s">
        <v>46</v>
      </c>
      <c r="C56" s="511">
        <f>C54^C55</f>
        <v>1.0298225497162938</v>
      </c>
      <c r="D56" s="28"/>
      <c r="E56" s="449"/>
      <c r="F56" s="32"/>
      <c r="G56" s="32"/>
      <c r="H56" s="32"/>
      <c r="I56" s="32"/>
      <c r="J56" s="32"/>
      <c r="K56" s="32"/>
      <c r="L56" s="32"/>
      <c r="M56" s="28"/>
      <c r="N56" s="28"/>
      <c r="O56" s="28"/>
      <c r="P56" s="28"/>
      <c r="Q56" s="28"/>
      <c r="R56" s="28"/>
      <c r="S56" s="28"/>
      <c r="T56" s="28"/>
      <c r="U56" s="28"/>
    </row>
    <row r="57" spans="2:21" x14ac:dyDescent="0.2">
      <c r="B57" s="287" t="s">
        <v>49</v>
      </c>
      <c r="C57" s="278">
        <f>C53*C56</f>
        <v>2681987.4626771384</v>
      </c>
      <c r="D57" s="28"/>
      <c r="E57" s="32"/>
      <c r="F57" s="32"/>
      <c r="G57" s="32"/>
      <c r="H57" s="32"/>
      <c r="I57" s="32"/>
      <c r="J57" s="32"/>
      <c r="K57" s="32"/>
      <c r="L57" s="32"/>
      <c r="M57" s="28"/>
      <c r="N57" s="28"/>
      <c r="O57" s="28"/>
      <c r="P57" s="28"/>
      <c r="Q57" s="28"/>
      <c r="R57" s="28"/>
      <c r="S57" s="28"/>
      <c r="T57" s="28"/>
      <c r="U57" s="28"/>
    </row>
    <row r="58" spans="2:21" x14ac:dyDescent="0.2">
      <c r="B58" s="287" t="s">
        <v>105</v>
      </c>
      <c r="C58" s="483">
        <v>1000000</v>
      </c>
      <c r="E58" s="9"/>
      <c r="F58" s="9"/>
      <c r="G58" s="9"/>
      <c r="H58" s="9"/>
      <c r="I58" s="9"/>
      <c r="J58" s="9"/>
      <c r="K58" s="9"/>
      <c r="L58" s="9"/>
    </row>
    <row r="59" spans="2:21" ht="24" x14ac:dyDescent="0.2">
      <c r="B59" s="288" t="s">
        <v>104</v>
      </c>
      <c r="C59" s="564">
        <f>C57/C58</f>
        <v>2.6819874626771383</v>
      </c>
      <c r="D59" s="32"/>
      <c r="E59" s="28"/>
      <c r="F59" s="28"/>
      <c r="G59" s="28"/>
      <c r="H59" s="28"/>
      <c r="I59" s="28"/>
      <c r="J59" s="28"/>
      <c r="K59" s="28"/>
      <c r="L59" s="28"/>
      <c r="M59" s="28"/>
      <c r="N59" s="28"/>
      <c r="O59" s="28"/>
      <c r="P59" s="28"/>
      <c r="Q59" s="28"/>
      <c r="R59" s="28"/>
      <c r="S59" s="28"/>
      <c r="T59" s="28"/>
      <c r="U59" s="28"/>
    </row>
    <row r="60" spans="2:21" x14ac:dyDescent="0.2">
      <c r="C60" s="28"/>
      <c r="D60" s="28"/>
      <c r="E60" s="28"/>
      <c r="F60" s="28"/>
      <c r="G60" s="28"/>
      <c r="H60" s="28"/>
      <c r="I60" s="28"/>
      <c r="J60" s="28"/>
      <c r="K60" s="28"/>
      <c r="L60" s="28"/>
      <c r="M60" s="28"/>
      <c r="N60" s="28"/>
      <c r="O60" s="28"/>
      <c r="P60" s="28"/>
      <c r="Q60" s="28"/>
      <c r="R60" s="28"/>
      <c r="S60" s="28"/>
      <c r="T60" s="28"/>
      <c r="U60" s="28"/>
    </row>
    <row r="61" spans="2:21" x14ac:dyDescent="0.2">
      <c r="C61" s="28"/>
      <c r="D61" s="28"/>
      <c r="E61" s="28"/>
      <c r="F61" s="28"/>
      <c r="G61" s="28"/>
      <c r="H61" s="28"/>
      <c r="I61" s="28"/>
      <c r="J61" s="28"/>
      <c r="K61" s="28"/>
      <c r="L61" s="28"/>
      <c r="M61" s="28"/>
      <c r="N61" s="28"/>
      <c r="O61" s="28"/>
      <c r="P61" s="28"/>
      <c r="Q61" s="28"/>
      <c r="R61" s="28"/>
      <c r="S61" s="28"/>
      <c r="T61" s="28"/>
      <c r="U61" s="28"/>
    </row>
    <row r="62" spans="2:21" x14ac:dyDescent="0.2">
      <c r="C62" s="28"/>
      <c r="D62" s="28"/>
      <c r="E62" s="28"/>
      <c r="F62" s="28"/>
      <c r="G62" s="28"/>
      <c r="H62" s="28"/>
      <c r="I62" s="28"/>
      <c r="J62" s="28"/>
      <c r="K62" s="28"/>
      <c r="L62" s="28"/>
      <c r="M62" s="28"/>
      <c r="N62" s="28"/>
      <c r="O62" s="28"/>
      <c r="P62" s="28"/>
      <c r="Q62" s="28"/>
      <c r="R62" s="28"/>
      <c r="S62" s="28"/>
      <c r="T62" s="28"/>
      <c r="U62" s="28"/>
    </row>
    <row r="63" spans="2:21" x14ac:dyDescent="0.2">
      <c r="C63" s="28"/>
      <c r="D63" s="28"/>
      <c r="E63" s="28"/>
      <c r="F63" s="28"/>
      <c r="G63" s="28"/>
      <c r="H63" s="28"/>
      <c r="I63" s="28"/>
      <c r="J63" s="28"/>
      <c r="K63" s="28"/>
      <c r="L63" s="28"/>
      <c r="M63" s="28"/>
      <c r="N63" s="28"/>
      <c r="O63" s="28"/>
      <c r="P63" s="28"/>
      <c r="Q63" s="28"/>
      <c r="R63" s="28"/>
      <c r="S63" s="28"/>
      <c r="T63" s="28"/>
      <c r="U63" s="28"/>
    </row>
    <row r="64" spans="2:21" x14ac:dyDescent="0.2">
      <c r="C64" s="28"/>
      <c r="D64" s="28"/>
      <c r="E64" s="28"/>
      <c r="F64" s="28"/>
      <c r="G64" s="28"/>
      <c r="H64" s="28"/>
      <c r="I64" s="28"/>
      <c r="J64" s="28"/>
      <c r="K64" s="28"/>
      <c r="L64" s="28"/>
      <c r="M64" s="28"/>
      <c r="N64" s="28"/>
      <c r="O64" s="28"/>
      <c r="P64" s="28"/>
      <c r="Q64" s="28"/>
      <c r="R64" s="28"/>
      <c r="S64" s="28"/>
      <c r="T64" s="28"/>
      <c r="U64" s="28"/>
    </row>
    <row r="65" spans="1:21" ht="14.25" x14ac:dyDescent="0.2">
      <c r="A65" s="9"/>
      <c r="B65" s="20" t="s">
        <v>589</v>
      </c>
      <c r="C65" s="9"/>
      <c r="F65" s="74" t="s">
        <v>95</v>
      </c>
      <c r="G65" s="74"/>
      <c r="H65" s="74"/>
      <c r="I65" s="74"/>
      <c r="J65" s="74"/>
      <c r="K65" s="74"/>
      <c r="L65" s="74"/>
      <c r="M65" s="74" t="s">
        <v>98</v>
      </c>
      <c r="N65" s="74"/>
      <c r="O65" s="74"/>
      <c r="P65" s="74"/>
      <c r="Q65" s="74"/>
      <c r="R65" s="74"/>
      <c r="S65" s="74"/>
      <c r="T65" s="74"/>
      <c r="U65" s="74"/>
    </row>
    <row r="66" spans="1:21" ht="14.25" x14ac:dyDescent="0.2">
      <c r="B66" s="21"/>
      <c r="C66" s="51" t="s">
        <v>51</v>
      </c>
      <c r="F66" s="74" t="s">
        <v>96</v>
      </c>
      <c r="G66" s="74"/>
      <c r="H66" s="74"/>
      <c r="I66" s="74"/>
      <c r="J66" s="74"/>
      <c r="K66" s="74"/>
      <c r="L66" s="74"/>
      <c r="M66" s="74"/>
      <c r="N66" s="74"/>
      <c r="O66" s="74"/>
      <c r="P66" s="74"/>
      <c r="Q66" s="74"/>
      <c r="R66" s="74"/>
      <c r="S66" s="74"/>
      <c r="T66" s="74"/>
      <c r="U66" s="74"/>
    </row>
    <row r="67" spans="1:21" x14ac:dyDescent="0.2">
      <c r="B67" s="22"/>
      <c r="C67" s="47" t="s">
        <v>74</v>
      </c>
    </row>
    <row r="68" spans="1:21" x14ac:dyDescent="0.2">
      <c r="B68" s="324" t="s">
        <v>77</v>
      </c>
      <c r="C68" s="483">
        <v>6408</v>
      </c>
      <c r="D68" s="352" t="s">
        <v>101</v>
      </c>
      <c r="E68" s="28"/>
    </row>
    <row r="69" spans="1:21" x14ac:dyDescent="0.2">
      <c r="B69" s="324" t="s">
        <v>78</v>
      </c>
      <c r="C69" s="483">
        <v>8010</v>
      </c>
      <c r="E69" s="28"/>
    </row>
    <row r="70" spans="1:21" x14ac:dyDescent="0.2">
      <c r="B70" s="324" t="s">
        <v>79</v>
      </c>
      <c r="C70" s="483">
        <v>2327</v>
      </c>
      <c r="D70" s="352" t="s">
        <v>101</v>
      </c>
      <c r="E70" s="28"/>
    </row>
    <row r="71" spans="1:21" x14ac:dyDescent="0.2">
      <c r="B71" s="324" t="s">
        <v>80</v>
      </c>
      <c r="C71" s="483">
        <v>1291</v>
      </c>
      <c r="E71" s="28"/>
    </row>
    <row r="72" spans="1:21" x14ac:dyDescent="0.2">
      <c r="B72" s="324" t="s">
        <v>996</v>
      </c>
      <c r="C72" s="483">
        <v>1180</v>
      </c>
      <c r="E72" s="28"/>
    </row>
    <row r="73" spans="1:21" x14ac:dyDescent="0.2">
      <c r="B73" s="324" t="s">
        <v>81</v>
      </c>
      <c r="C73" s="483">
        <v>22792</v>
      </c>
      <c r="E73" s="28"/>
    </row>
    <row r="74" spans="1:21" x14ac:dyDescent="0.2">
      <c r="B74" s="324" t="s">
        <v>82</v>
      </c>
      <c r="C74" s="483">
        <v>1315</v>
      </c>
      <c r="E74" s="28"/>
    </row>
    <row r="75" spans="1:21" x14ac:dyDescent="0.2">
      <c r="B75" s="324" t="s">
        <v>997</v>
      </c>
      <c r="C75" s="483">
        <v>18149</v>
      </c>
      <c r="E75" s="28"/>
    </row>
    <row r="76" spans="1:21" x14ac:dyDescent="0.2">
      <c r="B76" s="324" t="s">
        <v>83</v>
      </c>
      <c r="C76" s="483">
        <v>7447</v>
      </c>
      <c r="E76" s="28"/>
    </row>
    <row r="77" spans="1:21" x14ac:dyDescent="0.2">
      <c r="B77" s="324" t="s">
        <v>84</v>
      </c>
      <c r="C77" s="483">
        <v>10737</v>
      </c>
      <c r="E77" s="28"/>
      <c r="F77" s="28"/>
      <c r="G77" s="28"/>
      <c r="H77" s="28"/>
      <c r="I77" s="28"/>
    </row>
    <row r="78" spans="1:21" x14ac:dyDescent="0.2">
      <c r="B78" s="324" t="s">
        <v>94</v>
      </c>
      <c r="C78" s="483">
        <v>100</v>
      </c>
      <c r="D78" s="352" t="s">
        <v>102</v>
      </c>
      <c r="E78" s="28"/>
      <c r="F78" s="28"/>
      <c r="G78" s="28"/>
      <c r="H78" s="28"/>
      <c r="I78" s="28"/>
    </row>
    <row r="79" spans="1:21" x14ac:dyDescent="0.2">
      <c r="B79" s="34" t="s">
        <v>5</v>
      </c>
      <c r="C79" s="564">
        <f>SUM(C68:C77)</f>
        <v>79656</v>
      </c>
      <c r="D79" s="28"/>
      <c r="E79" s="28"/>
      <c r="F79" s="28"/>
      <c r="G79" s="28"/>
      <c r="H79" s="28"/>
      <c r="I79" s="28"/>
      <c r="J79" s="28"/>
      <c r="K79" s="28"/>
      <c r="L79" s="28"/>
      <c r="M79" s="28"/>
      <c r="N79" s="28"/>
      <c r="O79" s="28"/>
      <c r="P79" s="28"/>
      <c r="Q79" s="28"/>
      <c r="R79" s="28"/>
      <c r="S79" s="28"/>
      <c r="T79" s="28"/>
      <c r="U79" s="28"/>
    </row>
    <row r="80" spans="1:21" x14ac:dyDescent="0.2">
      <c r="C80" s="28"/>
      <c r="D80" s="28"/>
      <c r="E80" s="28"/>
      <c r="F80" s="28"/>
      <c r="G80" s="28"/>
      <c r="H80" s="28"/>
      <c r="I80" s="28"/>
      <c r="J80" s="28"/>
      <c r="K80" s="28"/>
      <c r="L80" s="28"/>
      <c r="M80" s="28"/>
      <c r="N80" s="28"/>
      <c r="O80" s="28"/>
      <c r="P80" s="28"/>
      <c r="Q80" s="28"/>
      <c r="R80" s="28"/>
      <c r="S80" s="28"/>
      <c r="T80" s="28"/>
      <c r="U80" s="28"/>
    </row>
    <row r="81" spans="2:21" x14ac:dyDescent="0.2">
      <c r="C81" s="28"/>
      <c r="D81" s="28"/>
      <c r="E81" s="28"/>
      <c r="F81" s="28"/>
      <c r="G81" s="28"/>
      <c r="H81" s="28"/>
      <c r="I81" s="28"/>
      <c r="J81" s="28"/>
      <c r="K81" s="28"/>
      <c r="L81" s="28"/>
      <c r="M81" s="28"/>
      <c r="N81" s="28"/>
      <c r="O81" s="28"/>
      <c r="P81" s="28"/>
      <c r="Q81" s="28"/>
      <c r="R81" s="28"/>
      <c r="S81" s="28"/>
      <c r="T81" s="28"/>
      <c r="U81" s="28"/>
    </row>
    <row r="82" spans="2:21" x14ac:dyDescent="0.2">
      <c r="C82" s="28"/>
      <c r="D82" s="28"/>
      <c r="E82" s="28"/>
      <c r="F82" s="28"/>
      <c r="G82" s="28"/>
      <c r="H82" s="28"/>
      <c r="I82" s="28"/>
      <c r="J82" s="28"/>
      <c r="K82" s="28"/>
      <c r="L82" s="28"/>
      <c r="M82" s="28"/>
      <c r="N82" s="28"/>
      <c r="O82" s="28"/>
      <c r="P82" s="28"/>
      <c r="Q82" s="28"/>
      <c r="R82" s="28"/>
      <c r="S82" s="28"/>
      <c r="T82" s="28"/>
      <c r="U82" s="28"/>
    </row>
    <row r="83" spans="2:21" x14ac:dyDescent="0.2">
      <c r="C83" s="28"/>
      <c r="D83" s="28"/>
      <c r="E83" s="28"/>
      <c r="F83" s="28"/>
      <c r="G83" s="28"/>
      <c r="H83" s="28"/>
      <c r="I83" s="28"/>
      <c r="J83" s="28"/>
      <c r="K83" s="28"/>
      <c r="L83" s="28"/>
      <c r="M83" s="28"/>
      <c r="N83" s="28"/>
      <c r="O83" s="28"/>
      <c r="P83" s="28"/>
      <c r="Q83" s="28"/>
      <c r="R83" s="28"/>
      <c r="S83" s="28"/>
      <c r="T83" s="28"/>
      <c r="U83" s="28"/>
    </row>
    <row r="84" spans="2:21" x14ac:dyDescent="0.2">
      <c r="F84" s="74" t="s">
        <v>116</v>
      </c>
      <c r="G84" s="74"/>
      <c r="H84" s="74"/>
      <c r="I84" s="74"/>
    </row>
    <row r="85" spans="2:21" x14ac:dyDescent="0.2">
      <c r="F85" s="352" t="s">
        <v>998</v>
      </c>
    </row>
    <row r="86" spans="2:21" ht="14.25" x14ac:dyDescent="0.2">
      <c r="B86" s="20" t="s">
        <v>590</v>
      </c>
      <c r="C86" s="9"/>
    </row>
    <row r="87" spans="2:21" x14ac:dyDescent="0.2">
      <c r="B87" s="377"/>
      <c r="C87" s="51" t="s">
        <v>51</v>
      </c>
    </row>
    <row r="88" spans="2:21" x14ac:dyDescent="0.2">
      <c r="B88" s="22"/>
      <c r="C88" s="47" t="s">
        <v>74</v>
      </c>
    </row>
    <row r="89" spans="2:21" x14ac:dyDescent="0.2">
      <c r="B89" s="324" t="s">
        <v>5</v>
      </c>
      <c r="C89" s="26">
        <f>C77</f>
        <v>10737</v>
      </c>
    </row>
    <row r="90" spans="2:21" x14ac:dyDescent="0.2">
      <c r="B90" s="324" t="s">
        <v>97</v>
      </c>
      <c r="C90" s="483">
        <v>4348.2</v>
      </c>
      <c r="D90" s="28"/>
      <c r="E90" s="28"/>
      <c r="F90" s="28"/>
      <c r="G90" s="28"/>
      <c r="H90" s="28"/>
      <c r="I90" s="28"/>
      <c r="J90" s="28"/>
      <c r="K90" s="28"/>
      <c r="L90" s="28"/>
      <c r="M90" s="28"/>
      <c r="N90" s="28"/>
      <c r="O90" s="28"/>
      <c r="P90" s="28"/>
      <c r="Q90" s="28"/>
      <c r="R90" s="28"/>
      <c r="S90" s="28"/>
      <c r="T90" s="28"/>
      <c r="U90" s="28"/>
    </row>
    <row r="91" spans="2:21" x14ac:dyDescent="0.2">
      <c r="B91" s="565" t="s">
        <v>93</v>
      </c>
      <c r="C91" s="483">
        <v>648.20000000000005</v>
      </c>
      <c r="D91" s="28"/>
      <c r="E91" s="28"/>
    </row>
    <row r="92" spans="2:21" x14ac:dyDescent="0.2">
      <c r="B92" s="324" t="s">
        <v>92</v>
      </c>
      <c r="C92" s="483">
        <v>338.7</v>
      </c>
      <c r="E92" s="74" t="s">
        <v>98</v>
      </c>
      <c r="F92" s="74"/>
      <c r="G92" s="74"/>
      <c r="H92" s="74"/>
      <c r="I92" s="74"/>
      <c r="J92" s="74"/>
    </row>
    <row r="93" spans="2:21" x14ac:dyDescent="0.2">
      <c r="B93" s="324" t="s">
        <v>91</v>
      </c>
      <c r="C93" s="483">
        <v>2225.9</v>
      </c>
      <c r="D93" s="28"/>
      <c r="E93" s="28"/>
    </row>
    <row r="94" spans="2:21" x14ac:dyDescent="0.2">
      <c r="B94" s="324" t="s">
        <v>90</v>
      </c>
      <c r="C94" s="483">
        <v>59.4</v>
      </c>
      <c r="D94" s="28"/>
      <c r="E94" s="28"/>
    </row>
    <row r="95" spans="2:21" x14ac:dyDescent="0.2">
      <c r="B95" s="324" t="s">
        <v>89</v>
      </c>
      <c r="C95" s="483">
        <v>2815.1</v>
      </c>
      <c r="D95" s="28"/>
      <c r="E95" s="28"/>
    </row>
    <row r="96" spans="2:21" x14ac:dyDescent="0.2">
      <c r="B96" s="324" t="s">
        <v>88</v>
      </c>
      <c r="C96" s="483">
        <v>900</v>
      </c>
      <c r="D96" s="28"/>
      <c r="E96" s="28"/>
    </row>
    <row r="97" spans="2:21" x14ac:dyDescent="0.2">
      <c r="B97" s="324"/>
      <c r="C97" s="593">
        <f>SUM(C92:C96,C90)</f>
        <v>10687.3</v>
      </c>
      <c r="D97" s="28"/>
      <c r="E97" s="28"/>
    </row>
    <row r="98" spans="2:21" x14ac:dyDescent="0.2">
      <c r="B98" s="34" t="s">
        <v>99</v>
      </c>
      <c r="C98" s="594">
        <f>SUM(C90,C92:C94)</f>
        <v>6972.1999999999989</v>
      </c>
      <c r="D98" s="28"/>
      <c r="E98" s="28"/>
      <c r="F98" s="28"/>
      <c r="G98" s="28"/>
      <c r="H98" s="28"/>
      <c r="I98" s="28"/>
      <c r="J98" s="28"/>
      <c r="K98" s="28"/>
      <c r="L98" s="28"/>
      <c r="M98" s="28"/>
      <c r="N98" s="28"/>
      <c r="O98" s="28"/>
      <c r="P98" s="28"/>
      <c r="Q98" s="28"/>
      <c r="R98" s="28"/>
      <c r="S98" s="28"/>
      <c r="T98" s="28"/>
      <c r="U98" s="28"/>
    </row>
    <row r="99" spans="2:21" x14ac:dyDescent="0.2">
      <c r="D99" s="28"/>
      <c r="E99" s="28"/>
      <c r="F99" s="28"/>
      <c r="G99" s="28"/>
      <c r="H99" s="28"/>
      <c r="I99" s="28"/>
      <c r="J99" s="28"/>
      <c r="K99" s="28"/>
      <c r="L99" s="28"/>
      <c r="M99" s="28"/>
      <c r="N99" s="28"/>
      <c r="O99" s="28"/>
      <c r="P99" s="28"/>
      <c r="Q99" s="28"/>
      <c r="R99" s="28"/>
      <c r="S99" s="28"/>
      <c r="T99" s="28"/>
      <c r="U99" s="28"/>
    </row>
    <row r="100" spans="2:21" x14ac:dyDescent="0.2">
      <c r="C100" s="28"/>
      <c r="D100" s="28"/>
      <c r="E100" s="28"/>
      <c r="F100" s="28"/>
      <c r="G100" s="28"/>
      <c r="H100" s="28"/>
      <c r="I100" s="28"/>
      <c r="J100" s="28"/>
      <c r="K100" s="28"/>
      <c r="L100" s="28"/>
      <c r="M100" s="28"/>
      <c r="N100" s="28"/>
      <c r="O100" s="28"/>
      <c r="P100" s="28"/>
      <c r="Q100" s="28"/>
      <c r="R100" s="28"/>
      <c r="S100" s="28"/>
      <c r="T100" s="28"/>
      <c r="U100" s="28"/>
    </row>
    <row r="101" spans="2:21" x14ac:dyDescent="0.2">
      <c r="C101" s="28"/>
      <c r="D101" s="28"/>
      <c r="E101" s="28"/>
      <c r="F101" s="28"/>
      <c r="G101" s="28"/>
      <c r="H101" s="28"/>
      <c r="I101" s="28"/>
      <c r="J101" s="28"/>
      <c r="K101" s="28"/>
      <c r="L101" s="28"/>
      <c r="M101" s="28"/>
      <c r="N101" s="28"/>
      <c r="O101" s="28"/>
      <c r="P101" s="28"/>
      <c r="Q101" s="28"/>
      <c r="R101" s="28"/>
      <c r="S101" s="28"/>
      <c r="T101" s="28"/>
      <c r="U101" s="28"/>
    </row>
    <row r="102" spans="2:21" x14ac:dyDescent="0.2">
      <c r="D102" s="28"/>
      <c r="E102" s="28"/>
      <c r="F102" s="28"/>
      <c r="G102" s="28"/>
      <c r="H102" s="28"/>
      <c r="I102" s="28"/>
      <c r="J102" s="28"/>
      <c r="K102" s="28"/>
      <c r="L102" s="28"/>
      <c r="M102" s="28"/>
      <c r="N102" s="28"/>
      <c r="O102" s="28"/>
      <c r="P102" s="28"/>
      <c r="Q102" s="28"/>
      <c r="R102" s="28"/>
      <c r="S102" s="28"/>
      <c r="T102" s="28"/>
      <c r="U102" s="28"/>
    </row>
    <row r="103" spans="2:21" x14ac:dyDescent="0.2">
      <c r="D103" s="28"/>
      <c r="E103" s="28"/>
      <c r="F103" s="28"/>
      <c r="G103" s="28"/>
      <c r="H103" s="28"/>
      <c r="I103" s="28"/>
      <c r="J103" s="28"/>
      <c r="K103" s="28"/>
      <c r="L103" s="28"/>
      <c r="M103" s="28"/>
      <c r="N103" s="28"/>
      <c r="O103" s="28"/>
      <c r="P103" s="28"/>
      <c r="Q103" s="28"/>
      <c r="R103" s="28"/>
      <c r="S103" s="28"/>
      <c r="T103" s="28"/>
      <c r="U103" s="28"/>
    </row>
    <row r="104" spans="2:21" x14ac:dyDescent="0.2">
      <c r="D104" s="28"/>
      <c r="E104" s="28"/>
      <c r="F104" s="28"/>
      <c r="G104" s="28"/>
      <c r="H104" s="28"/>
      <c r="I104" s="28"/>
      <c r="J104" s="28"/>
      <c r="K104" s="28"/>
      <c r="L104" s="28"/>
      <c r="M104" s="28"/>
      <c r="N104" s="28"/>
      <c r="O104" s="28"/>
      <c r="P104" s="28"/>
      <c r="Q104" s="28"/>
      <c r="R104" s="28"/>
      <c r="S104" s="28"/>
      <c r="T104" s="28"/>
      <c r="U104" s="28"/>
    </row>
    <row r="105" spans="2:21" x14ac:dyDescent="0.2">
      <c r="D105" s="28"/>
      <c r="E105" s="28"/>
      <c r="F105" s="28"/>
      <c r="G105" s="28"/>
      <c r="H105" s="28"/>
      <c r="I105" s="28"/>
      <c r="J105" s="28"/>
      <c r="K105" s="28"/>
      <c r="L105" s="28"/>
      <c r="M105" s="28"/>
      <c r="N105" s="28"/>
      <c r="O105" s="28"/>
      <c r="P105" s="28"/>
      <c r="Q105" s="28"/>
      <c r="R105" s="28"/>
      <c r="S105" s="28"/>
      <c r="T105" s="28"/>
      <c r="U105" s="28"/>
    </row>
    <row r="106" spans="2:21" x14ac:dyDescent="0.2">
      <c r="D106" s="28"/>
      <c r="E106" s="28"/>
      <c r="F106" s="28"/>
      <c r="G106" s="28"/>
      <c r="H106" s="28"/>
      <c r="I106" s="28"/>
      <c r="J106" s="28"/>
      <c r="K106" s="28"/>
      <c r="L106" s="28"/>
      <c r="M106" s="28"/>
      <c r="N106" s="28"/>
      <c r="O106" s="28"/>
      <c r="P106" s="28"/>
      <c r="Q106" s="28"/>
      <c r="R106" s="28"/>
      <c r="S106" s="28"/>
      <c r="T106" s="28"/>
      <c r="U106" s="28"/>
    </row>
    <row r="107" spans="2:21" x14ac:dyDescent="0.2">
      <c r="D107" s="28"/>
      <c r="E107" s="28"/>
      <c r="F107" s="28"/>
      <c r="G107" s="28"/>
      <c r="H107" s="28"/>
      <c r="I107" s="28"/>
      <c r="J107" s="28"/>
      <c r="K107" s="28"/>
      <c r="L107" s="28"/>
      <c r="M107" s="28"/>
      <c r="N107" s="28"/>
      <c r="O107" s="28"/>
      <c r="P107" s="28"/>
      <c r="Q107" s="28"/>
      <c r="R107" s="28"/>
      <c r="S107" s="28"/>
      <c r="T107" s="28"/>
      <c r="U107" s="28"/>
    </row>
    <row r="108" spans="2:21" x14ac:dyDescent="0.2">
      <c r="D108" s="28"/>
      <c r="E108" s="28"/>
      <c r="F108" s="28"/>
      <c r="G108" s="28"/>
      <c r="H108" s="28"/>
      <c r="I108" s="28"/>
      <c r="J108" s="28"/>
      <c r="K108" s="28"/>
      <c r="L108" s="28"/>
      <c r="M108" s="28"/>
      <c r="N108" s="28"/>
      <c r="O108" s="28"/>
      <c r="P108" s="28"/>
      <c r="Q108" s="28"/>
      <c r="R108" s="28"/>
      <c r="S108" s="28"/>
      <c r="T108" s="28"/>
      <c r="U108" s="28"/>
    </row>
    <row r="109" spans="2:21" x14ac:dyDescent="0.2">
      <c r="D109" s="28"/>
      <c r="E109" s="28"/>
      <c r="F109" s="28"/>
      <c r="G109" s="28"/>
      <c r="H109" s="28"/>
      <c r="I109" s="28"/>
      <c r="J109" s="28"/>
      <c r="K109" s="28"/>
      <c r="L109" s="28"/>
      <c r="M109" s="28"/>
      <c r="N109" s="28"/>
      <c r="O109" s="28"/>
      <c r="P109" s="28"/>
      <c r="Q109" s="28"/>
      <c r="R109" s="28"/>
      <c r="S109" s="28"/>
      <c r="T109" s="28"/>
      <c r="U109" s="28"/>
    </row>
    <row r="110" spans="2:21" x14ac:dyDescent="0.2">
      <c r="D110" s="28"/>
      <c r="E110" s="28"/>
      <c r="F110" s="28"/>
      <c r="G110" s="28"/>
      <c r="H110" s="28"/>
      <c r="I110" s="28"/>
      <c r="J110" s="28"/>
      <c r="K110" s="28"/>
      <c r="L110" s="28"/>
      <c r="M110" s="28"/>
      <c r="N110" s="28"/>
      <c r="O110" s="28"/>
      <c r="P110" s="28"/>
      <c r="Q110" s="28"/>
      <c r="R110" s="28"/>
      <c r="S110" s="28"/>
      <c r="T110" s="28"/>
      <c r="U110" s="28"/>
    </row>
    <row r="111" spans="2:21" x14ac:dyDescent="0.2">
      <c r="D111" s="28"/>
      <c r="E111" s="28"/>
      <c r="F111" s="28"/>
      <c r="G111" s="28"/>
      <c r="H111" s="28"/>
      <c r="I111" s="28"/>
      <c r="J111" s="28"/>
      <c r="K111" s="28"/>
      <c r="L111" s="28"/>
      <c r="M111" s="28"/>
      <c r="N111" s="28"/>
      <c r="O111" s="28"/>
      <c r="P111" s="28"/>
      <c r="Q111" s="28"/>
      <c r="R111" s="28"/>
      <c r="S111" s="28"/>
      <c r="T111" s="28"/>
      <c r="U111" s="28"/>
    </row>
    <row r="112" spans="2:21" x14ac:dyDescent="0.2">
      <c r="D112" s="28"/>
      <c r="E112" s="28"/>
      <c r="F112" s="28"/>
      <c r="G112" s="28"/>
      <c r="H112" s="28"/>
      <c r="I112" s="28"/>
      <c r="J112" s="28"/>
      <c r="K112" s="28"/>
      <c r="L112" s="28"/>
      <c r="M112" s="28"/>
      <c r="N112" s="28"/>
      <c r="O112" s="28"/>
      <c r="P112" s="28"/>
      <c r="Q112" s="28"/>
      <c r="R112" s="28"/>
      <c r="S112" s="28"/>
      <c r="T112" s="28"/>
      <c r="U112" s="28"/>
    </row>
    <row r="113" spans="2:21" x14ac:dyDescent="0.2">
      <c r="D113" s="28"/>
      <c r="E113" s="28"/>
      <c r="F113" s="28"/>
      <c r="G113" s="28"/>
      <c r="H113" s="28"/>
      <c r="I113" s="28"/>
      <c r="J113" s="28"/>
      <c r="K113" s="28"/>
      <c r="L113" s="28"/>
      <c r="M113" s="28"/>
      <c r="N113" s="28"/>
      <c r="O113" s="28"/>
      <c r="P113" s="28"/>
      <c r="Q113" s="28"/>
      <c r="R113" s="28"/>
      <c r="S113" s="28"/>
      <c r="T113" s="28"/>
      <c r="U113" s="28"/>
    </row>
    <row r="114" spans="2:21" x14ac:dyDescent="0.2">
      <c r="C114" s="28"/>
      <c r="D114" s="28"/>
      <c r="E114" s="28"/>
      <c r="F114" s="28"/>
      <c r="G114" s="28"/>
      <c r="H114" s="28"/>
      <c r="I114" s="28"/>
      <c r="J114" s="28"/>
      <c r="K114" s="28"/>
      <c r="L114" s="28"/>
      <c r="M114" s="28"/>
      <c r="N114" s="28"/>
      <c r="O114" s="28"/>
      <c r="P114" s="28"/>
      <c r="Q114" s="28"/>
      <c r="R114" s="28"/>
      <c r="S114" s="28"/>
      <c r="T114" s="28"/>
      <c r="U114" s="28"/>
    </row>
    <row r="115" spans="2:21" x14ac:dyDescent="0.2">
      <c r="C115" s="28"/>
      <c r="D115" s="28"/>
      <c r="E115" s="28"/>
      <c r="F115" s="28"/>
      <c r="G115" s="28"/>
      <c r="H115" s="28"/>
      <c r="I115" s="28"/>
      <c r="J115" s="28"/>
      <c r="K115" s="28"/>
      <c r="L115" s="28"/>
      <c r="M115" s="28"/>
      <c r="N115" s="28"/>
      <c r="O115" s="28"/>
      <c r="P115" s="28"/>
      <c r="Q115" s="28"/>
      <c r="R115" s="28"/>
      <c r="S115" s="28"/>
      <c r="T115" s="28"/>
      <c r="U115" s="28"/>
    </row>
    <row r="116" spans="2:21" x14ac:dyDescent="0.2">
      <c r="C116" s="28"/>
      <c r="D116" s="28"/>
      <c r="E116" s="28"/>
      <c r="F116" s="28"/>
      <c r="G116" s="28"/>
      <c r="H116" s="28"/>
      <c r="I116" s="28"/>
      <c r="J116" s="28"/>
      <c r="K116" s="28"/>
      <c r="L116" s="28"/>
      <c r="M116" s="28"/>
      <c r="N116" s="28"/>
      <c r="O116" s="28"/>
      <c r="P116" s="28"/>
      <c r="Q116" s="28"/>
      <c r="R116" s="28"/>
      <c r="S116" s="28"/>
      <c r="T116" s="28"/>
      <c r="U116" s="28"/>
    </row>
    <row r="117" spans="2:21" x14ac:dyDescent="0.2">
      <c r="C117" s="28"/>
      <c r="D117" s="28"/>
      <c r="E117" s="28"/>
      <c r="F117" s="28"/>
      <c r="G117" s="28"/>
      <c r="H117" s="28"/>
      <c r="I117" s="28"/>
      <c r="J117" s="28"/>
      <c r="K117" s="28"/>
      <c r="L117" s="28"/>
      <c r="M117" s="28"/>
      <c r="N117" s="28"/>
      <c r="O117" s="28"/>
      <c r="P117" s="28"/>
      <c r="Q117" s="28"/>
      <c r="R117" s="28"/>
      <c r="S117" s="28"/>
      <c r="T117" s="28"/>
      <c r="U117" s="28"/>
    </row>
    <row r="118" spans="2:21" x14ac:dyDescent="0.2">
      <c r="C118" s="28"/>
      <c r="D118" s="28"/>
      <c r="E118" s="28"/>
      <c r="F118" s="28"/>
      <c r="G118" s="28"/>
      <c r="H118" s="28"/>
      <c r="I118" s="28"/>
      <c r="J118" s="28"/>
      <c r="K118" s="28"/>
      <c r="L118" s="28"/>
      <c r="M118" s="28"/>
      <c r="N118" s="28"/>
      <c r="O118" s="28"/>
      <c r="P118" s="28"/>
      <c r="Q118" s="28"/>
      <c r="R118" s="28"/>
      <c r="S118" s="28"/>
      <c r="T118" s="28"/>
      <c r="U118" s="28"/>
    </row>
    <row r="119" spans="2:21" x14ac:dyDescent="0.2">
      <c r="C119" s="28"/>
      <c r="D119" s="28"/>
      <c r="E119" s="28"/>
      <c r="F119" s="28"/>
      <c r="G119" s="28"/>
      <c r="H119" s="28"/>
      <c r="I119" s="28"/>
      <c r="J119" s="28"/>
      <c r="K119" s="28"/>
      <c r="L119" s="28"/>
      <c r="M119" s="28"/>
      <c r="N119" s="28"/>
      <c r="O119" s="28"/>
      <c r="P119" s="28"/>
      <c r="Q119" s="28"/>
      <c r="R119" s="28"/>
      <c r="S119" s="28"/>
      <c r="T119" s="28"/>
      <c r="U119" s="28"/>
    </row>
    <row r="120" spans="2:21" x14ac:dyDescent="0.2">
      <c r="C120" s="28"/>
      <c r="D120" s="28"/>
      <c r="E120" s="28"/>
      <c r="F120" s="28"/>
      <c r="G120" s="28"/>
      <c r="H120" s="28"/>
      <c r="I120" s="28"/>
      <c r="J120" s="28"/>
      <c r="K120" s="28"/>
      <c r="L120" s="28"/>
      <c r="M120" s="28"/>
      <c r="N120" s="28"/>
      <c r="O120" s="28"/>
      <c r="P120" s="28"/>
      <c r="Q120" s="28"/>
      <c r="R120" s="28"/>
      <c r="S120" s="28"/>
      <c r="T120" s="28"/>
      <c r="U120" s="28"/>
    </row>
    <row r="121" spans="2:21" ht="14.25" x14ac:dyDescent="0.2">
      <c r="B121" s="20" t="s">
        <v>591</v>
      </c>
      <c r="C121" s="32"/>
      <c r="D121" s="28"/>
      <c r="E121" s="28"/>
      <c r="F121" s="28"/>
      <c r="G121" s="28"/>
      <c r="H121" s="28"/>
      <c r="I121" s="28"/>
      <c r="J121" s="28"/>
      <c r="K121" s="28"/>
      <c r="L121" s="28"/>
      <c r="M121" s="28"/>
      <c r="N121" s="28"/>
      <c r="O121" s="28"/>
      <c r="P121" s="28"/>
      <c r="Q121" s="28"/>
      <c r="R121" s="28"/>
      <c r="S121" s="28"/>
      <c r="T121" s="28"/>
      <c r="U121" s="28"/>
    </row>
    <row r="122" spans="2:21" x14ac:dyDescent="0.2">
      <c r="B122" s="377" t="s">
        <v>50</v>
      </c>
      <c r="C122" s="488" t="s">
        <v>51</v>
      </c>
      <c r="D122" s="28"/>
      <c r="E122" s="28"/>
      <c r="F122" s="28"/>
      <c r="G122" s="28"/>
      <c r="H122" s="28"/>
      <c r="I122" s="28"/>
      <c r="J122" s="28"/>
      <c r="K122" s="28"/>
      <c r="L122" s="28"/>
      <c r="M122" s="28"/>
      <c r="N122" s="28"/>
      <c r="O122" s="28"/>
      <c r="P122" s="28"/>
      <c r="Q122" s="28"/>
      <c r="R122" s="28"/>
      <c r="S122" s="28"/>
      <c r="T122" s="28"/>
      <c r="U122" s="28"/>
    </row>
    <row r="123" spans="2:21" x14ac:dyDescent="0.2">
      <c r="B123" s="22"/>
      <c r="C123" s="33" t="s">
        <v>52</v>
      </c>
      <c r="D123" s="19"/>
      <c r="E123" s="28"/>
      <c r="F123" s="28"/>
      <c r="G123" s="28"/>
      <c r="H123" s="28"/>
      <c r="I123" s="28"/>
      <c r="J123" s="28"/>
      <c r="K123" s="28"/>
      <c r="L123" s="28"/>
      <c r="M123" s="28"/>
      <c r="N123" s="28"/>
      <c r="O123" s="28"/>
      <c r="P123" s="28"/>
      <c r="Q123" s="28"/>
      <c r="R123" s="28"/>
      <c r="S123" s="28"/>
      <c r="T123" s="28"/>
      <c r="U123" s="28"/>
    </row>
    <row r="124" spans="2:21" x14ac:dyDescent="0.2">
      <c r="B124" s="22"/>
      <c r="C124" s="33" t="s">
        <v>74</v>
      </c>
      <c r="D124" s="19"/>
      <c r="E124" s="28"/>
      <c r="F124" s="28"/>
      <c r="G124" s="28"/>
      <c r="H124" s="28"/>
      <c r="I124" s="28"/>
      <c r="J124" s="28"/>
      <c r="K124" s="28"/>
      <c r="L124" s="28"/>
      <c r="M124" s="28"/>
      <c r="N124" s="28"/>
      <c r="O124" s="28"/>
      <c r="P124" s="28"/>
      <c r="Q124" s="28"/>
      <c r="R124" s="28"/>
      <c r="S124" s="28"/>
      <c r="T124" s="28"/>
      <c r="U124" s="28"/>
    </row>
    <row r="125" spans="2:21" x14ac:dyDescent="0.2">
      <c r="B125" s="22" t="s">
        <v>53</v>
      </c>
      <c r="C125" s="483">
        <v>14724</v>
      </c>
    </row>
    <row r="126" spans="2:21" x14ac:dyDescent="0.2">
      <c r="B126" s="566" t="s">
        <v>65</v>
      </c>
      <c r="C126" s="567">
        <f>C148</f>
        <v>6048.2049999999999</v>
      </c>
      <c r="D126" s="28"/>
      <c r="E126" s="28"/>
      <c r="F126" s="28"/>
      <c r="G126" s="28"/>
      <c r="H126" s="28"/>
      <c r="I126" s="28"/>
      <c r="J126" s="28"/>
      <c r="K126" s="28"/>
      <c r="L126" s="28"/>
      <c r="M126" s="28"/>
      <c r="N126" s="28"/>
      <c r="O126" s="28"/>
      <c r="P126" s="28"/>
      <c r="Q126" s="28"/>
      <c r="R126" s="28"/>
      <c r="S126" s="28"/>
      <c r="T126" s="28"/>
      <c r="U126" s="28"/>
    </row>
    <row r="127" spans="2:21" x14ac:dyDescent="0.2">
      <c r="B127" s="566" t="s">
        <v>66</v>
      </c>
      <c r="C127" s="567">
        <f>C125-C126</f>
        <v>8675.7950000000001</v>
      </c>
      <c r="D127" s="19"/>
      <c r="E127" s="279"/>
      <c r="F127" s="28"/>
      <c r="G127" s="28"/>
      <c r="H127" s="28"/>
      <c r="I127" s="28"/>
      <c r="J127" s="28"/>
      <c r="K127" s="28"/>
      <c r="L127" s="28"/>
      <c r="M127" s="28"/>
      <c r="N127" s="28"/>
      <c r="O127" s="28"/>
      <c r="P127" s="28"/>
      <c r="Q127" s="28"/>
      <c r="R127" s="28"/>
      <c r="S127" s="28"/>
      <c r="T127" s="28"/>
      <c r="U127" s="28"/>
    </row>
    <row r="128" spans="2:21" x14ac:dyDescent="0.2">
      <c r="B128" s="22" t="s">
        <v>54</v>
      </c>
      <c r="C128" s="483">
        <v>2163</v>
      </c>
    </row>
    <row r="129" spans="2:13" x14ac:dyDescent="0.2">
      <c r="B129" s="22" t="s">
        <v>55</v>
      </c>
      <c r="C129" s="483">
        <v>1793</v>
      </c>
      <c r="F129" s="74"/>
      <c r="G129" s="74"/>
      <c r="H129" s="74"/>
      <c r="I129" s="74"/>
      <c r="J129" s="74"/>
      <c r="K129" s="74"/>
      <c r="L129" s="74"/>
      <c r="M129" s="74"/>
    </row>
    <row r="130" spans="2:13" x14ac:dyDescent="0.2">
      <c r="B130" s="22" t="s">
        <v>56</v>
      </c>
      <c r="C130" s="483">
        <v>1381</v>
      </c>
      <c r="F130" s="74" t="s">
        <v>62</v>
      </c>
      <c r="G130" s="74"/>
      <c r="H130" s="74"/>
      <c r="I130" s="74"/>
      <c r="J130" s="74"/>
      <c r="K130" s="74"/>
      <c r="L130" s="74"/>
      <c r="M130" s="74"/>
    </row>
    <row r="131" spans="2:13" x14ac:dyDescent="0.2">
      <c r="B131" s="22" t="s">
        <v>57</v>
      </c>
      <c r="C131" s="483">
        <v>598</v>
      </c>
      <c r="F131" s="74" t="s">
        <v>43</v>
      </c>
      <c r="G131" s="74"/>
      <c r="H131" s="74"/>
      <c r="I131" s="74"/>
      <c r="J131" s="74"/>
      <c r="K131" s="74"/>
      <c r="L131" s="74"/>
      <c r="M131" s="74"/>
    </row>
    <row r="132" spans="2:13" x14ac:dyDescent="0.2">
      <c r="B132" s="22" t="s">
        <v>58</v>
      </c>
      <c r="C132" s="483">
        <v>521</v>
      </c>
      <c r="F132" s="74" t="s">
        <v>63</v>
      </c>
      <c r="G132" s="74"/>
      <c r="H132" s="74"/>
      <c r="I132" s="74"/>
      <c r="J132" s="74"/>
      <c r="K132" s="74"/>
      <c r="L132" s="74"/>
      <c r="M132" s="74"/>
    </row>
    <row r="133" spans="2:13" x14ac:dyDescent="0.2">
      <c r="B133" s="22" t="s">
        <v>59</v>
      </c>
      <c r="C133" s="483">
        <v>1352</v>
      </c>
      <c r="F133" s="74"/>
      <c r="G133" s="74"/>
      <c r="H133" s="74"/>
      <c r="I133" s="74"/>
      <c r="J133" s="74"/>
      <c r="K133" s="74"/>
      <c r="L133" s="74"/>
      <c r="M133" s="74"/>
    </row>
    <row r="134" spans="2:13" x14ac:dyDescent="0.2">
      <c r="B134" s="22" t="s">
        <v>60</v>
      </c>
      <c r="C134" s="483">
        <v>568</v>
      </c>
    </row>
    <row r="135" spans="2:13" x14ac:dyDescent="0.2">
      <c r="B135" s="22" t="s">
        <v>2</v>
      </c>
      <c r="C135" s="483">
        <v>1370</v>
      </c>
    </row>
    <row r="136" spans="2:13" x14ac:dyDescent="0.2">
      <c r="B136" s="23" t="s">
        <v>5</v>
      </c>
      <c r="C136" s="484">
        <v>24471</v>
      </c>
    </row>
    <row r="137" spans="2:13" x14ac:dyDescent="0.2">
      <c r="B137" s="18"/>
      <c r="C137" s="19"/>
      <c r="D137" s="18"/>
    </row>
    <row r="139" spans="2:13" x14ac:dyDescent="0.2">
      <c r="B139" s="352" t="s">
        <v>61</v>
      </c>
    </row>
    <row r="142" spans="2:13" ht="14.25" x14ac:dyDescent="0.2">
      <c r="B142" s="20" t="s">
        <v>592</v>
      </c>
      <c r="C142" s="9"/>
    </row>
    <row r="143" spans="2:13" ht="14.25" x14ac:dyDescent="0.2">
      <c r="B143" s="595"/>
      <c r="C143" s="488" t="s">
        <v>51</v>
      </c>
    </row>
    <row r="144" spans="2:13" ht="14.25" x14ac:dyDescent="0.2">
      <c r="B144" s="25"/>
      <c r="C144" s="33" t="s">
        <v>74</v>
      </c>
    </row>
    <row r="145" spans="1:21" x14ac:dyDescent="0.2">
      <c r="B145" s="22" t="s">
        <v>67</v>
      </c>
      <c r="C145" s="567">
        <f>K168</f>
        <v>2642.3209999999999</v>
      </c>
      <c r="D145" s="28"/>
      <c r="E145" s="28"/>
      <c r="F145" s="28"/>
      <c r="G145" s="28"/>
      <c r="H145" s="28"/>
      <c r="I145" s="28"/>
      <c r="J145" s="28"/>
      <c r="K145" s="28"/>
      <c r="L145" s="28"/>
      <c r="M145" s="28"/>
      <c r="N145" s="28"/>
      <c r="O145" s="28"/>
      <c r="P145" s="28"/>
      <c r="Q145" s="28"/>
      <c r="R145" s="28"/>
      <c r="S145" s="28"/>
      <c r="T145" s="28"/>
      <c r="U145" s="28"/>
    </row>
    <row r="146" spans="1:21" x14ac:dyDescent="0.2">
      <c r="B146" s="22" t="s">
        <v>34</v>
      </c>
      <c r="C146" s="567">
        <f>K216/1000</f>
        <v>1174.3320000000001</v>
      </c>
      <c r="D146" s="28"/>
      <c r="E146" s="28"/>
      <c r="F146" s="28"/>
      <c r="G146" s="28"/>
      <c r="H146" s="28"/>
      <c r="I146" s="28"/>
      <c r="J146" s="28"/>
      <c r="K146" s="28"/>
      <c r="L146" s="28"/>
      <c r="M146" s="28"/>
      <c r="N146" s="28"/>
      <c r="O146" s="28"/>
      <c r="P146" s="28"/>
      <c r="Q146" s="28"/>
      <c r="R146" s="28"/>
      <c r="S146" s="28"/>
      <c r="T146" s="28"/>
      <c r="U146" s="28"/>
    </row>
    <row r="147" spans="1:21" x14ac:dyDescent="0.2">
      <c r="B147" s="22" t="s">
        <v>68</v>
      </c>
      <c r="C147" s="567">
        <f>K284/1000</f>
        <v>3731.5520000000001</v>
      </c>
      <c r="D147" s="28"/>
      <c r="E147" s="28"/>
      <c r="F147" s="28"/>
      <c r="G147" s="28"/>
      <c r="H147" s="28"/>
      <c r="I147" s="28"/>
      <c r="J147" s="28"/>
      <c r="K147" s="28"/>
      <c r="L147" s="28"/>
      <c r="M147" s="28"/>
      <c r="N147" s="28"/>
      <c r="O147" s="28"/>
      <c r="P147" s="28"/>
      <c r="Q147" s="28"/>
      <c r="R147" s="28"/>
      <c r="S147" s="28"/>
      <c r="T147" s="28"/>
      <c r="U147" s="28"/>
    </row>
    <row r="148" spans="1:21" x14ac:dyDescent="0.2">
      <c r="B148" s="22" t="s">
        <v>5</v>
      </c>
      <c r="C148" s="567">
        <f>SUM(C145:C147)-C149</f>
        <v>6048.2049999999999</v>
      </c>
    </row>
    <row r="149" spans="1:21" ht="14.25" x14ac:dyDescent="0.2">
      <c r="B149" s="283" t="s">
        <v>583</v>
      </c>
      <c r="C149" s="568">
        <v>1500</v>
      </c>
    </row>
    <row r="151" spans="1:21" ht="14.25" x14ac:dyDescent="0.2">
      <c r="B151" s="20" t="s">
        <v>64</v>
      </c>
    </row>
    <row r="153" spans="1:21" ht="14.25" x14ac:dyDescent="0.2">
      <c r="A153" s="17"/>
      <c r="B153" s="17"/>
      <c r="C153" s="17"/>
      <c r="D153" s="17"/>
      <c r="E153" s="17"/>
      <c r="F153" s="17"/>
      <c r="G153" s="17"/>
      <c r="H153" s="17"/>
      <c r="I153" s="17"/>
      <c r="J153" s="17"/>
      <c r="M153" s="17"/>
      <c r="N153" s="16"/>
      <c r="O153" s="17"/>
      <c r="P153" s="17"/>
    </row>
    <row r="154" spans="1:21" ht="14.25" x14ac:dyDescent="0.2">
      <c r="A154" s="17"/>
      <c r="B154" s="17"/>
      <c r="C154" s="17"/>
      <c r="D154" s="17"/>
      <c r="E154" s="17"/>
      <c r="F154" s="17"/>
      <c r="G154" s="17"/>
      <c r="H154" s="17"/>
      <c r="I154" s="17"/>
      <c r="J154" s="17"/>
      <c r="K154" s="17"/>
      <c r="L154" s="17"/>
      <c r="M154" s="17"/>
      <c r="N154" s="16"/>
      <c r="O154" s="17"/>
      <c r="P154" s="17"/>
    </row>
    <row r="155" spans="1:21" ht="14.25" x14ac:dyDescent="0.2">
      <c r="A155" s="17"/>
      <c r="B155" s="17"/>
      <c r="C155" s="17"/>
      <c r="D155" s="17"/>
      <c r="E155" s="17"/>
      <c r="F155" s="17"/>
      <c r="G155" s="17"/>
      <c r="H155" s="17"/>
      <c r="I155" s="17"/>
      <c r="J155" s="17"/>
      <c r="K155" s="17"/>
      <c r="L155" s="17"/>
      <c r="M155" s="17"/>
      <c r="N155" s="16"/>
      <c r="O155" s="17"/>
      <c r="P155" s="17"/>
    </row>
    <row r="156" spans="1:21" ht="14.25" x14ac:dyDescent="0.2">
      <c r="A156" s="17"/>
      <c r="B156" s="17"/>
      <c r="C156" s="17"/>
      <c r="D156" s="17"/>
      <c r="E156" s="17"/>
      <c r="F156" s="17"/>
      <c r="G156" s="17"/>
      <c r="H156" s="17"/>
      <c r="I156" s="17"/>
      <c r="J156" s="17"/>
      <c r="M156" s="17"/>
      <c r="N156" s="16"/>
      <c r="O156" s="17"/>
      <c r="P156" s="17"/>
    </row>
    <row r="157" spans="1:21" ht="14.25" x14ac:dyDescent="0.2">
      <c r="A157" s="17"/>
      <c r="B157" s="17"/>
      <c r="C157" s="17"/>
      <c r="D157" s="17"/>
      <c r="E157" s="17"/>
      <c r="F157" s="17"/>
      <c r="G157" s="17"/>
      <c r="H157" s="17"/>
      <c r="I157" s="17"/>
      <c r="J157" s="17"/>
      <c r="M157" s="17"/>
      <c r="N157" s="16"/>
      <c r="O157" s="17"/>
      <c r="P157" s="17"/>
    </row>
    <row r="158" spans="1:21" ht="14.25" x14ac:dyDescent="0.2">
      <c r="A158" s="17"/>
      <c r="B158" s="17"/>
      <c r="C158" s="17"/>
      <c r="D158" s="17"/>
      <c r="E158" s="17"/>
      <c r="F158" s="17"/>
      <c r="G158" s="17"/>
      <c r="H158" s="17"/>
      <c r="I158" s="17"/>
      <c r="J158" s="17"/>
      <c r="M158" s="17"/>
      <c r="N158" s="16"/>
      <c r="O158" s="17"/>
      <c r="P158" s="17"/>
    </row>
    <row r="159" spans="1:21" ht="14.25" x14ac:dyDescent="0.2">
      <c r="A159" s="17"/>
      <c r="B159" s="17"/>
      <c r="C159" s="17"/>
      <c r="D159" s="17"/>
      <c r="E159" s="17"/>
      <c r="F159" s="17"/>
      <c r="G159" s="17"/>
      <c r="H159" s="17"/>
      <c r="I159" s="17"/>
      <c r="J159" s="17"/>
      <c r="K159" s="10" t="s">
        <v>67</v>
      </c>
      <c r="M159" s="17"/>
      <c r="N159" s="289" t="s">
        <v>72</v>
      </c>
    </row>
    <row r="160" spans="1:21" ht="14.25" x14ac:dyDescent="0.2">
      <c r="B160" s="17"/>
      <c r="C160" s="17"/>
      <c r="D160" s="17"/>
      <c r="E160" s="17"/>
      <c r="F160" s="17"/>
      <c r="G160" s="17"/>
      <c r="H160" s="17"/>
      <c r="I160" s="17"/>
      <c r="J160" s="17"/>
      <c r="K160" s="290" t="s">
        <v>51</v>
      </c>
      <c r="M160" s="17"/>
      <c r="N160" s="290" t="s">
        <v>51</v>
      </c>
    </row>
    <row r="161" spans="1:21" ht="14.25" x14ac:dyDescent="0.2">
      <c r="B161" s="17"/>
      <c r="C161" s="17"/>
      <c r="D161" s="17"/>
      <c r="E161" s="17"/>
      <c r="F161" s="17"/>
      <c r="G161" s="17"/>
      <c r="H161" s="17"/>
      <c r="I161" s="17"/>
      <c r="J161" s="17"/>
      <c r="K161" s="16" t="s">
        <v>74</v>
      </c>
      <c r="M161" s="17"/>
      <c r="N161" s="16" t="s">
        <v>74</v>
      </c>
    </row>
    <row r="162" spans="1:21" ht="14.25" x14ac:dyDescent="0.2">
      <c r="B162" s="17"/>
      <c r="C162" s="17"/>
      <c r="D162" s="17"/>
      <c r="E162" s="17"/>
      <c r="F162" s="17"/>
      <c r="G162" s="17"/>
      <c r="H162" s="17"/>
      <c r="I162" s="17"/>
      <c r="J162" s="17"/>
      <c r="K162" s="569">
        <f>K252/1000</f>
        <v>2611.721</v>
      </c>
      <c r="L162" s="28"/>
      <c r="M162" s="280"/>
      <c r="N162" s="280"/>
      <c r="O162" s="28"/>
      <c r="P162" s="28"/>
      <c r="Q162" s="28"/>
      <c r="R162" s="28"/>
      <c r="S162" s="28"/>
      <c r="T162" s="28"/>
      <c r="U162" s="28"/>
    </row>
    <row r="163" spans="1:21" ht="14.25" x14ac:dyDescent="0.2">
      <c r="B163" s="17"/>
      <c r="C163" s="17"/>
      <c r="D163" s="17"/>
      <c r="E163" s="17"/>
      <c r="F163" s="17"/>
      <c r="G163" s="17"/>
      <c r="H163" s="17"/>
      <c r="I163" s="17"/>
      <c r="J163" s="17"/>
      <c r="K163" s="570">
        <v>16.600000000000001</v>
      </c>
      <c r="M163" s="17"/>
      <c r="N163" s="17"/>
    </row>
    <row r="164" spans="1:21" ht="22.15" customHeight="1" x14ac:dyDescent="0.2">
      <c r="B164" s="17"/>
      <c r="C164" s="17"/>
      <c r="D164" s="17"/>
      <c r="E164" s="17"/>
      <c r="F164" s="17"/>
      <c r="G164" s="17"/>
      <c r="H164" s="17"/>
      <c r="I164" s="17"/>
      <c r="J164" s="17"/>
      <c r="K164" s="16"/>
      <c r="M164" s="9" t="s">
        <v>69</v>
      </c>
      <c r="N164" s="570">
        <v>1700.7</v>
      </c>
    </row>
    <row r="165" spans="1:21" ht="14.25" x14ac:dyDescent="0.2">
      <c r="A165" s="17"/>
      <c r="B165" s="17"/>
      <c r="C165" s="17"/>
      <c r="D165" s="17"/>
      <c r="E165" s="17"/>
      <c r="F165" s="17"/>
      <c r="G165" s="17"/>
      <c r="H165" s="17"/>
      <c r="I165" s="17"/>
      <c r="J165" s="17"/>
      <c r="K165" s="570">
        <v>6</v>
      </c>
      <c r="M165" s="9" t="s">
        <v>70</v>
      </c>
      <c r="N165" s="569">
        <f>4886790/1000</f>
        <v>4886.79</v>
      </c>
      <c r="O165" s="74" t="s">
        <v>75</v>
      </c>
    </row>
    <row r="166" spans="1:21" ht="14.25" x14ac:dyDescent="0.2">
      <c r="A166" s="17"/>
      <c r="B166" s="17"/>
      <c r="C166" s="17"/>
      <c r="D166" s="17"/>
      <c r="E166" s="17"/>
      <c r="F166" s="17"/>
      <c r="G166" s="17"/>
      <c r="H166" s="17"/>
      <c r="I166" s="17"/>
      <c r="J166" s="17"/>
      <c r="K166" s="570">
        <v>2.2000000000000002</v>
      </c>
      <c r="M166" s="9" t="s">
        <v>71</v>
      </c>
      <c r="N166" s="569">
        <f>SUM(N164:N165)</f>
        <v>6587.49</v>
      </c>
      <c r="O166" s="28"/>
      <c r="P166" s="28"/>
      <c r="Q166" s="28"/>
      <c r="R166" s="28"/>
      <c r="S166" s="28"/>
      <c r="T166" s="28"/>
      <c r="U166" s="28"/>
    </row>
    <row r="167" spans="1:21" ht="14.25" x14ac:dyDescent="0.2">
      <c r="A167" s="17"/>
      <c r="B167" s="17"/>
      <c r="C167" s="17"/>
      <c r="D167" s="17"/>
      <c r="E167" s="17"/>
      <c r="F167" s="17"/>
      <c r="G167" s="17"/>
      <c r="H167" s="17"/>
      <c r="I167" s="17"/>
      <c r="J167" s="17"/>
      <c r="K167" s="570">
        <v>5.8</v>
      </c>
      <c r="L167" s="17"/>
      <c r="M167" s="17"/>
      <c r="N167" s="28"/>
      <c r="O167" s="28"/>
      <c r="P167" s="28"/>
      <c r="Q167" s="28"/>
      <c r="R167" s="28"/>
      <c r="S167" s="28"/>
      <c r="T167" s="28"/>
      <c r="U167" s="28"/>
    </row>
    <row r="168" spans="1:21" ht="14.25" x14ac:dyDescent="0.2">
      <c r="A168" s="17"/>
      <c r="B168" s="17"/>
      <c r="C168" s="17"/>
      <c r="D168" s="17"/>
      <c r="E168" s="17"/>
      <c r="F168" s="17"/>
      <c r="G168" s="17"/>
      <c r="H168" s="17"/>
      <c r="I168" s="17"/>
      <c r="J168" s="17"/>
      <c r="K168" s="571">
        <f>SUM(K162:K167)</f>
        <v>2642.3209999999999</v>
      </c>
      <c r="N168" s="28"/>
      <c r="O168" s="28"/>
      <c r="P168" s="28"/>
      <c r="Q168" s="28"/>
      <c r="R168" s="28"/>
      <c r="S168" s="28"/>
      <c r="T168" s="28"/>
      <c r="U168" s="28"/>
    </row>
    <row r="169" spans="1:21" ht="14.25" x14ac:dyDescent="0.2">
      <c r="A169" s="17"/>
      <c r="B169" s="17"/>
      <c r="C169" s="17"/>
      <c r="D169" s="17"/>
      <c r="E169" s="17"/>
      <c r="F169" s="17"/>
      <c r="G169" s="17"/>
      <c r="H169" s="17"/>
      <c r="I169" s="17"/>
      <c r="J169" s="17"/>
      <c r="L169" s="28"/>
      <c r="M169" s="28"/>
      <c r="N169" s="28"/>
      <c r="O169" s="28"/>
      <c r="P169" s="28"/>
      <c r="Q169" s="28"/>
      <c r="R169" s="28"/>
      <c r="S169" s="28"/>
      <c r="T169" s="28"/>
      <c r="U169" s="28"/>
    </row>
    <row r="170" spans="1:21" ht="14.25" x14ac:dyDescent="0.2">
      <c r="A170" s="17"/>
      <c r="B170" s="17"/>
      <c r="C170" s="17"/>
      <c r="D170" s="17"/>
      <c r="E170" s="17"/>
      <c r="F170" s="17"/>
      <c r="G170" s="17"/>
      <c r="H170" s="17"/>
      <c r="I170" s="17"/>
      <c r="J170" s="17"/>
      <c r="K170" s="28"/>
      <c r="L170" s="28"/>
      <c r="M170" s="28"/>
      <c r="N170" s="291"/>
      <c r="O170" s="280"/>
      <c r="P170" s="280"/>
      <c r="Q170" s="28"/>
      <c r="R170" s="28"/>
      <c r="S170" s="28"/>
      <c r="T170" s="28"/>
      <c r="U170" s="28"/>
    </row>
    <row r="171" spans="1:21" ht="14.25" x14ac:dyDescent="0.2">
      <c r="A171" s="17"/>
      <c r="B171" s="17"/>
      <c r="C171" s="17"/>
      <c r="D171" s="17"/>
      <c r="E171" s="17"/>
      <c r="F171" s="17"/>
      <c r="G171" s="17"/>
      <c r="H171" s="17"/>
      <c r="I171" s="17"/>
      <c r="J171" s="17"/>
      <c r="K171" s="28"/>
      <c r="L171" s="28"/>
      <c r="M171" s="28"/>
      <c r="N171" s="28"/>
      <c r="O171" s="28"/>
      <c r="P171" s="28"/>
      <c r="Q171" s="28"/>
      <c r="R171" s="28"/>
      <c r="S171" s="28"/>
      <c r="T171" s="28"/>
      <c r="U171" s="28"/>
    </row>
    <row r="172" spans="1:21" ht="14.25" x14ac:dyDescent="0.2">
      <c r="A172" s="17"/>
      <c r="B172" s="17"/>
      <c r="C172" s="17"/>
      <c r="D172" s="17"/>
      <c r="E172" s="17"/>
      <c r="F172" s="17"/>
      <c r="G172" s="17"/>
      <c r="H172" s="17"/>
      <c r="I172" s="17"/>
      <c r="J172" s="17"/>
      <c r="K172" s="28"/>
      <c r="L172" s="28"/>
      <c r="M172" s="28"/>
      <c r="N172" s="28"/>
      <c r="O172" s="28"/>
      <c r="P172" s="28"/>
      <c r="Q172" s="28"/>
      <c r="R172" s="28"/>
      <c r="S172" s="28"/>
      <c r="T172" s="28"/>
      <c r="U172" s="28"/>
    </row>
    <row r="173" spans="1:21" ht="14.25" x14ac:dyDescent="0.2">
      <c r="A173" s="17"/>
      <c r="B173" s="17"/>
      <c r="C173" s="17"/>
      <c r="D173" s="17"/>
      <c r="E173" s="17"/>
      <c r="F173" s="17"/>
      <c r="G173" s="17"/>
      <c r="H173" s="17"/>
      <c r="I173" s="17"/>
      <c r="J173" s="17"/>
      <c r="K173" s="572"/>
      <c r="L173" s="28"/>
      <c r="M173" s="28"/>
      <c r="N173" s="28"/>
      <c r="O173" s="28"/>
      <c r="P173" s="28"/>
      <c r="Q173" s="28"/>
      <c r="R173" s="28"/>
      <c r="S173" s="28"/>
      <c r="T173" s="28"/>
      <c r="U173" s="28"/>
    </row>
    <row r="174" spans="1:21" ht="14.25" x14ac:dyDescent="0.2">
      <c r="A174" s="17"/>
      <c r="B174" s="17"/>
      <c r="C174" s="17"/>
      <c r="D174" s="17"/>
      <c r="E174" s="17"/>
      <c r="F174" s="17"/>
      <c r="G174" s="17"/>
      <c r="H174" s="17"/>
      <c r="I174" s="17"/>
      <c r="J174" s="17"/>
      <c r="K174" s="28"/>
      <c r="L174" s="28"/>
      <c r="M174" s="28"/>
      <c r="N174" s="28"/>
      <c r="O174" s="28"/>
      <c r="P174" s="28"/>
      <c r="Q174" s="28"/>
      <c r="R174" s="28"/>
      <c r="S174" s="28"/>
      <c r="T174" s="28"/>
      <c r="U174" s="28"/>
    </row>
    <row r="175" spans="1:21" ht="14.25" x14ac:dyDescent="0.2">
      <c r="A175" s="17"/>
      <c r="B175" s="17"/>
      <c r="C175" s="17"/>
      <c r="D175" s="17"/>
      <c r="E175" s="17"/>
      <c r="F175" s="17"/>
      <c r="G175" s="17"/>
      <c r="H175" s="17"/>
      <c r="I175" s="17"/>
      <c r="J175" s="17"/>
      <c r="K175" s="10" t="s">
        <v>67</v>
      </c>
      <c r="L175" s="28"/>
      <c r="M175" s="28"/>
      <c r="N175" s="28"/>
      <c r="O175" s="28"/>
      <c r="P175" s="28"/>
      <c r="Q175" s="28"/>
      <c r="R175" s="28"/>
      <c r="S175" s="28"/>
      <c r="T175" s="28"/>
      <c r="U175" s="28"/>
    </row>
    <row r="176" spans="1:21" ht="14.25" x14ac:dyDescent="0.2">
      <c r="A176" s="17"/>
      <c r="B176" s="17"/>
      <c r="C176" s="17"/>
      <c r="D176" s="17"/>
      <c r="E176" s="17"/>
      <c r="F176" s="17"/>
      <c r="G176" s="17"/>
      <c r="H176" s="17"/>
      <c r="I176" s="17"/>
      <c r="J176" s="17"/>
      <c r="K176" s="290" t="s">
        <v>51</v>
      </c>
      <c r="L176" s="28"/>
      <c r="M176" s="28"/>
      <c r="N176" s="28"/>
      <c r="O176" s="28"/>
      <c r="P176" s="28"/>
      <c r="Q176" s="28"/>
      <c r="R176" s="28"/>
      <c r="S176" s="28"/>
      <c r="T176" s="28"/>
      <c r="U176" s="28"/>
    </row>
    <row r="177" spans="1:21" ht="14.25" x14ac:dyDescent="0.2">
      <c r="A177" s="17"/>
      <c r="B177" s="17"/>
      <c r="C177" s="17"/>
      <c r="D177" s="17"/>
      <c r="E177" s="17"/>
      <c r="F177" s="17"/>
      <c r="G177" s="17"/>
      <c r="H177" s="17"/>
      <c r="I177" s="17"/>
      <c r="J177" s="17"/>
      <c r="K177" s="291" t="s">
        <v>593</v>
      </c>
      <c r="L177" s="280"/>
      <c r="M177" s="280"/>
      <c r="N177" s="28"/>
      <c r="O177" s="28"/>
      <c r="P177" s="28"/>
      <c r="Q177" s="28"/>
      <c r="R177" s="28"/>
      <c r="S177" s="28"/>
      <c r="T177" s="28"/>
      <c r="U177" s="28"/>
    </row>
    <row r="178" spans="1:21" ht="13.5" customHeight="1" x14ac:dyDescent="0.2">
      <c r="A178" s="17"/>
      <c r="B178" s="17"/>
      <c r="C178" s="17"/>
      <c r="D178" s="17"/>
      <c r="E178" s="17"/>
      <c r="F178" s="17"/>
      <c r="G178" s="17"/>
      <c r="H178" s="17"/>
      <c r="I178" s="17"/>
      <c r="J178" s="17"/>
      <c r="K178" s="28"/>
      <c r="L178" s="280"/>
      <c r="M178" s="280"/>
      <c r="N178" s="28"/>
      <c r="O178" s="28"/>
      <c r="P178" s="28"/>
      <c r="Q178" s="28"/>
      <c r="R178" s="28"/>
      <c r="S178" s="28"/>
      <c r="T178" s="28"/>
      <c r="U178" s="28"/>
    </row>
    <row r="179" spans="1:21" ht="23.65" customHeight="1" x14ac:dyDescent="0.2">
      <c r="A179" s="17"/>
      <c r="B179" s="17"/>
      <c r="C179" s="17"/>
      <c r="D179" s="17"/>
      <c r="E179" s="17"/>
      <c r="F179" s="17"/>
      <c r="G179" s="17"/>
      <c r="H179" s="17"/>
      <c r="I179" s="17"/>
      <c r="J179" s="17"/>
      <c r="K179" s="573">
        <v>76438</v>
      </c>
      <c r="L179" s="17"/>
      <c r="M179" s="17"/>
      <c r="N179" s="28"/>
      <c r="O179" s="28"/>
      <c r="P179" s="28"/>
      <c r="Q179" s="28"/>
      <c r="R179" s="28"/>
      <c r="S179" s="28"/>
      <c r="T179" s="28"/>
      <c r="U179" s="28"/>
    </row>
    <row r="180" spans="1:21" ht="13.5" customHeight="1" x14ac:dyDescent="0.2">
      <c r="A180" s="17"/>
      <c r="B180" s="17"/>
      <c r="C180" s="17"/>
      <c r="D180" s="17"/>
      <c r="E180" s="17"/>
      <c r="F180" s="17"/>
      <c r="G180" s="17"/>
      <c r="H180" s="17"/>
      <c r="I180" s="17"/>
      <c r="J180" s="17"/>
      <c r="K180" s="573">
        <v>6000</v>
      </c>
      <c r="L180" s="17"/>
      <c r="M180" s="17"/>
      <c r="N180" s="28"/>
      <c r="O180" s="28"/>
      <c r="P180" s="28"/>
      <c r="Q180" s="28"/>
      <c r="R180" s="28"/>
      <c r="S180" s="28"/>
      <c r="T180" s="28"/>
      <c r="U180" s="28"/>
    </row>
    <row r="181" spans="1:21" ht="13.5" customHeight="1" x14ac:dyDescent="0.2">
      <c r="A181" s="17"/>
      <c r="B181" s="17"/>
      <c r="C181" s="17"/>
      <c r="D181" s="17"/>
      <c r="E181" s="17"/>
      <c r="F181" s="17"/>
      <c r="G181" s="17"/>
      <c r="H181" s="17"/>
      <c r="I181" s="17"/>
      <c r="J181" s="17"/>
      <c r="K181" s="573"/>
      <c r="L181" s="17"/>
      <c r="M181" s="17"/>
      <c r="N181" s="28"/>
      <c r="O181" s="28"/>
      <c r="P181" s="28"/>
      <c r="Q181" s="28"/>
      <c r="R181" s="28"/>
      <c r="S181" s="28"/>
      <c r="T181" s="28"/>
      <c r="U181" s="28"/>
    </row>
    <row r="182" spans="1:21" ht="13.5" customHeight="1" x14ac:dyDescent="0.2">
      <c r="A182" s="17"/>
      <c r="B182" s="17"/>
      <c r="C182" s="17"/>
      <c r="D182" s="17"/>
      <c r="E182" s="17"/>
      <c r="F182" s="17"/>
      <c r="G182" s="17"/>
      <c r="H182" s="17"/>
      <c r="I182" s="17"/>
      <c r="J182" s="17"/>
      <c r="K182" s="573">
        <v>9164</v>
      </c>
      <c r="L182" s="17"/>
      <c r="M182" s="17"/>
      <c r="N182" s="28"/>
      <c r="O182" s="28"/>
      <c r="P182" s="28"/>
      <c r="Q182" s="28"/>
      <c r="R182" s="28"/>
      <c r="S182" s="28"/>
      <c r="T182" s="28"/>
      <c r="U182" s="28"/>
    </row>
    <row r="183" spans="1:21" ht="13.5" customHeight="1" x14ac:dyDescent="0.2">
      <c r="A183" s="17"/>
      <c r="B183" s="17"/>
      <c r="C183" s="17"/>
      <c r="D183" s="17"/>
      <c r="E183" s="17"/>
      <c r="F183" s="17"/>
      <c r="G183" s="17"/>
      <c r="H183" s="17"/>
      <c r="I183" s="17"/>
      <c r="J183" s="17"/>
      <c r="K183" s="573"/>
      <c r="L183" s="17"/>
      <c r="M183" s="17"/>
      <c r="N183" s="28"/>
      <c r="O183" s="28"/>
      <c r="P183" s="28"/>
      <c r="Q183" s="28"/>
      <c r="R183" s="28"/>
      <c r="S183" s="28"/>
      <c r="T183" s="28"/>
      <c r="U183" s="28"/>
    </row>
    <row r="184" spans="1:21" ht="13.5" customHeight="1" x14ac:dyDescent="0.2">
      <c r="A184" s="17"/>
      <c r="B184" s="17"/>
      <c r="C184" s="17"/>
      <c r="D184" s="17"/>
      <c r="E184" s="17"/>
      <c r="F184" s="17"/>
      <c r="G184" s="17"/>
      <c r="H184" s="17"/>
      <c r="I184" s="17"/>
      <c r="J184" s="17"/>
      <c r="K184" s="573">
        <v>179365</v>
      </c>
      <c r="L184" s="17"/>
      <c r="M184" s="17"/>
      <c r="N184" s="28"/>
      <c r="O184" s="28"/>
      <c r="P184" s="28"/>
      <c r="Q184" s="28"/>
      <c r="R184" s="28"/>
      <c r="S184" s="28"/>
      <c r="T184" s="28"/>
      <c r="U184" s="28"/>
    </row>
    <row r="185" spans="1:21" ht="13.5" customHeight="1" x14ac:dyDescent="0.2">
      <c r="A185" s="17"/>
      <c r="B185" s="17"/>
      <c r="C185" s="17"/>
      <c r="D185" s="17"/>
      <c r="E185" s="17"/>
      <c r="F185" s="17"/>
      <c r="G185" s="17"/>
      <c r="H185" s="17"/>
      <c r="I185" s="17"/>
      <c r="J185" s="17"/>
      <c r="K185" s="573"/>
      <c r="L185" s="17"/>
      <c r="M185" s="17"/>
      <c r="N185" s="28"/>
      <c r="O185" s="28"/>
      <c r="P185" s="28"/>
      <c r="Q185" s="28"/>
      <c r="R185" s="28"/>
      <c r="S185" s="28"/>
      <c r="T185" s="28"/>
      <c r="U185" s="28"/>
    </row>
    <row r="186" spans="1:21" ht="13.5" customHeight="1" x14ac:dyDescent="0.2">
      <c r="A186" s="17"/>
      <c r="B186" s="17"/>
      <c r="C186" s="17"/>
      <c r="D186" s="17"/>
      <c r="E186" s="17"/>
      <c r="F186" s="17"/>
      <c r="G186" s="17"/>
      <c r="H186" s="17"/>
      <c r="I186" s="17"/>
      <c r="J186" s="17"/>
      <c r="K186" s="573">
        <v>20000</v>
      </c>
      <c r="L186" s="17"/>
      <c r="M186" s="17"/>
      <c r="N186" s="28"/>
      <c r="O186" s="28"/>
      <c r="P186" s="28"/>
      <c r="Q186" s="28"/>
      <c r="R186" s="28"/>
      <c r="S186" s="28"/>
      <c r="T186" s="28"/>
      <c r="U186" s="28"/>
    </row>
    <row r="187" spans="1:21" ht="13.5" customHeight="1" x14ac:dyDescent="0.2">
      <c r="A187" s="17"/>
      <c r="B187" s="17"/>
      <c r="C187" s="17"/>
      <c r="D187" s="17"/>
      <c r="E187" s="17"/>
      <c r="F187" s="17"/>
      <c r="G187" s="17"/>
      <c r="H187" s="17"/>
      <c r="I187" s="17"/>
      <c r="J187" s="17"/>
      <c r="K187" s="573"/>
      <c r="L187" s="17"/>
      <c r="M187" s="17"/>
      <c r="N187" s="28"/>
      <c r="O187" s="28"/>
      <c r="P187" s="28"/>
      <c r="Q187" s="28"/>
      <c r="R187" s="28"/>
      <c r="S187" s="28"/>
      <c r="T187" s="28"/>
      <c r="U187" s="28"/>
    </row>
    <row r="188" spans="1:21" ht="13.5" customHeight="1" x14ac:dyDescent="0.2">
      <c r="A188" s="17"/>
      <c r="B188" s="17"/>
      <c r="C188" s="17"/>
      <c r="D188" s="17"/>
      <c r="E188" s="17"/>
      <c r="F188" s="17"/>
      <c r="G188" s="17"/>
      <c r="H188" s="17"/>
      <c r="I188" s="17"/>
      <c r="J188" s="17"/>
      <c r="K188" s="573"/>
      <c r="L188" s="17"/>
      <c r="M188" s="17"/>
      <c r="N188" s="28"/>
      <c r="O188" s="28"/>
      <c r="P188" s="28"/>
      <c r="Q188" s="28"/>
      <c r="R188" s="28"/>
      <c r="S188" s="28"/>
      <c r="T188" s="28"/>
      <c r="U188" s="28"/>
    </row>
    <row r="189" spans="1:21" ht="13.5" customHeight="1" x14ac:dyDescent="0.2">
      <c r="A189" s="17"/>
      <c r="B189" s="17"/>
      <c r="C189" s="17"/>
      <c r="D189" s="17"/>
      <c r="E189" s="17"/>
      <c r="F189" s="17"/>
      <c r="G189" s="17"/>
      <c r="H189" s="17"/>
      <c r="I189" s="17"/>
      <c r="J189" s="17"/>
      <c r="K189" s="573">
        <v>50000</v>
      </c>
      <c r="L189" s="17"/>
      <c r="M189" s="17"/>
      <c r="N189" s="28"/>
      <c r="O189" s="28"/>
      <c r="P189" s="28"/>
      <c r="Q189" s="28"/>
      <c r="R189" s="28"/>
      <c r="S189" s="28"/>
      <c r="T189" s="28"/>
      <c r="U189" s="28"/>
    </row>
    <row r="190" spans="1:21" ht="19.5" customHeight="1" x14ac:dyDescent="0.2">
      <c r="A190" s="17"/>
      <c r="B190" s="17"/>
      <c r="C190" s="17"/>
      <c r="D190" s="17"/>
      <c r="E190" s="17"/>
      <c r="F190" s="17"/>
      <c r="G190" s="17"/>
      <c r="H190" s="17"/>
      <c r="I190" s="17"/>
      <c r="J190" s="17"/>
      <c r="K190" s="574">
        <f>SUM(K179:K189)</f>
        <v>340967</v>
      </c>
      <c r="L190" s="17"/>
      <c r="M190" s="17"/>
      <c r="N190" s="28"/>
      <c r="O190" s="28"/>
      <c r="P190" s="28"/>
      <c r="Q190" s="28"/>
      <c r="R190" s="28"/>
      <c r="S190" s="28"/>
      <c r="T190" s="28"/>
      <c r="U190" s="28"/>
    </row>
    <row r="191" spans="1:21" ht="13.5" customHeight="1" x14ac:dyDescent="0.2">
      <c r="A191" s="17"/>
      <c r="B191" s="17"/>
      <c r="C191" s="17"/>
      <c r="D191" s="17"/>
      <c r="E191" s="17"/>
      <c r="F191" s="17"/>
      <c r="G191" s="17"/>
      <c r="H191" s="17"/>
      <c r="I191" s="17"/>
      <c r="J191" s="17"/>
      <c r="L191" s="280"/>
      <c r="M191" s="280"/>
      <c r="N191" s="28"/>
      <c r="O191" s="28"/>
      <c r="P191" s="28"/>
      <c r="Q191" s="28"/>
      <c r="R191" s="28"/>
      <c r="S191" s="28"/>
      <c r="T191" s="28"/>
      <c r="U191" s="28"/>
    </row>
    <row r="192" spans="1:21" ht="13.5" customHeight="1" x14ac:dyDescent="0.2">
      <c r="A192" s="17"/>
      <c r="B192" s="17"/>
      <c r="C192" s="17"/>
      <c r="D192" s="17"/>
      <c r="E192" s="17"/>
      <c r="F192" s="17"/>
      <c r="G192" s="17"/>
      <c r="H192" s="17"/>
      <c r="I192" s="17"/>
      <c r="J192" s="17"/>
      <c r="K192" s="573">
        <v>136748</v>
      </c>
      <c r="L192" s="280"/>
      <c r="M192" s="280"/>
      <c r="N192" s="28"/>
      <c r="O192" s="28"/>
      <c r="P192" s="28"/>
      <c r="Q192" s="28"/>
      <c r="R192" s="28"/>
      <c r="S192" s="28"/>
      <c r="T192" s="28"/>
      <c r="U192" s="28"/>
    </row>
    <row r="193" spans="1:21" ht="16.149999999999999" customHeight="1" x14ac:dyDescent="0.2">
      <c r="A193" s="17"/>
      <c r="B193" s="17"/>
      <c r="C193" s="17"/>
      <c r="D193" s="17"/>
      <c r="E193" s="17"/>
      <c r="F193" s="17"/>
      <c r="G193" s="17"/>
      <c r="H193" s="17"/>
      <c r="I193" s="17"/>
      <c r="J193" s="17"/>
      <c r="K193" s="573">
        <v>1000</v>
      </c>
      <c r="L193" s="280"/>
      <c r="M193" s="280"/>
      <c r="N193" s="28"/>
      <c r="O193" s="28"/>
      <c r="P193" s="28"/>
      <c r="Q193" s="28"/>
      <c r="R193" s="28"/>
      <c r="S193" s="28"/>
      <c r="T193" s="28"/>
      <c r="U193" s="28"/>
    </row>
    <row r="194" spans="1:21" ht="16.149999999999999" customHeight="1" x14ac:dyDescent="0.2">
      <c r="A194" s="17"/>
      <c r="B194" s="17"/>
      <c r="C194" s="17"/>
      <c r="D194" s="17"/>
      <c r="E194" s="17"/>
      <c r="F194" s="17"/>
      <c r="G194" s="17"/>
      <c r="H194" s="17"/>
      <c r="I194" s="17"/>
      <c r="J194" s="17"/>
      <c r="K194" s="573">
        <v>105945</v>
      </c>
      <c r="L194" s="17"/>
      <c r="M194" s="17"/>
      <c r="N194" s="28"/>
      <c r="O194" s="28"/>
      <c r="P194" s="28"/>
      <c r="Q194" s="28"/>
      <c r="R194" s="28"/>
      <c r="S194" s="28"/>
      <c r="T194" s="28"/>
      <c r="U194" s="28"/>
    </row>
    <row r="195" spans="1:21" ht="16.149999999999999" customHeight="1" x14ac:dyDescent="0.2">
      <c r="A195" s="17"/>
      <c r="B195" s="17"/>
      <c r="C195" s="17"/>
      <c r="D195" s="17"/>
      <c r="E195" s="17"/>
      <c r="F195" s="17"/>
      <c r="G195" s="17"/>
      <c r="H195" s="17"/>
      <c r="I195" s="17"/>
      <c r="J195" s="17"/>
      <c r="K195" s="573"/>
      <c r="L195" s="17"/>
      <c r="M195" s="17"/>
      <c r="N195" s="28"/>
      <c r="O195" s="28"/>
      <c r="P195" s="28"/>
      <c r="Q195" s="28"/>
      <c r="R195" s="28"/>
      <c r="S195" s="28"/>
      <c r="T195" s="28"/>
      <c r="U195" s="28"/>
    </row>
    <row r="196" spans="1:21" ht="16.149999999999999" customHeight="1" x14ac:dyDescent="0.2">
      <c r="A196" s="17"/>
      <c r="B196" s="17"/>
      <c r="C196" s="17"/>
      <c r="D196" s="17"/>
      <c r="E196" s="17"/>
      <c r="F196" s="17"/>
      <c r="G196" s="17"/>
      <c r="H196" s="17"/>
      <c r="I196" s="17"/>
      <c r="J196" s="17"/>
      <c r="K196" s="573"/>
      <c r="L196" s="17"/>
      <c r="M196" s="17"/>
      <c r="N196" s="28"/>
      <c r="O196" s="28"/>
      <c r="P196" s="28"/>
      <c r="Q196" s="28"/>
      <c r="R196" s="28"/>
      <c r="S196" s="28"/>
      <c r="T196" s="28"/>
      <c r="U196" s="28"/>
    </row>
    <row r="197" spans="1:21" ht="16.149999999999999" customHeight="1" x14ac:dyDescent="0.2">
      <c r="A197" s="17"/>
      <c r="B197" s="17"/>
      <c r="C197" s="17"/>
      <c r="D197" s="17"/>
      <c r="E197" s="17"/>
      <c r="F197" s="17"/>
      <c r="G197" s="17"/>
      <c r="H197" s="17"/>
      <c r="I197" s="17"/>
      <c r="J197" s="17"/>
      <c r="K197" s="573">
        <v>9398</v>
      </c>
      <c r="L197" s="17"/>
      <c r="M197" s="17"/>
      <c r="N197" s="28"/>
      <c r="O197" s="28"/>
      <c r="P197" s="28"/>
      <c r="Q197" s="28"/>
      <c r="R197" s="28"/>
      <c r="S197" s="28"/>
      <c r="T197" s="28"/>
      <c r="U197" s="28"/>
    </row>
    <row r="198" spans="1:21" ht="16.149999999999999" customHeight="1" x14ac:dyDescent="0.2">
      <c r="A198" s="17"/>
      <c r="B198" s="17"/>
      <c r="C198" s="17"/>
      <c r="D198" s="17"/>
      <c r="E198" s="17"/>
      <c r="F198" s="17"/>
      <c r="G198" s="17"/>
      <c r="H198" s="17"/>
      <c r="I198" s="17"/>
      <c r="J198" s="17"/>
      <c r="K198" s="573"/>
      <c r="L198" s="17"/>
      <c r="M198" s="17"/>
      <c r="N198" s="28"/>
      <c r="O198" s="28"/>
      <c r="P198" s="28"/>
      <c r="Q198" s="28"/>
      <c r="R198" s="28"/>
      <c r="S198" s="28"/>
      <c r="T198" s="28"/>
      <c r="U198" s="28"/>
    </row>
    <row r="199" spans="1:21" ht="16.149999999999999" customHeight="1" x14ac:dyDescent="0.2">
      <c r="A199" s="17"/>
      <c r="B199" s="17"/>
      <c r="C199" s="17"/>
      <c r="D199" s="17"/>
      <c r="E199" s="17"/>
      <c r="F199" s="17"/>
      <c r="G199" s="17"/>
      <c r="H199" s="17"/>
      <c r="I199" s="17"/>
      <c r="J199" s="17"/>
      <c r="K199" s="573">
        <v>4099</v>
      </c>
      <c r="L199" s="17"/>
      <c r="M199" s="17"/>
      <c r="N199" s="28"/>
      <c r="O199" s="28"/>
      <c r="P199" s="28"/>
      <c r="Q199" s="28"/>
      <c r="R199" s="28"/>
      <c r="S199" s="28"/>
      <c r="T199" s="28"/>
      <c r="U199" s="28"/>
    </row>
    <row r="200" spans="1:21" ht="16.149999999999999" customHeight="1" x14ac:dyDescent="0.2">
      <c r="A200" s="17"/>
      <c r="B200" s="17"/>
      <c r="C200" s="17"/>
      <c r="D200" s="17"/>
      <c r="E200" s="17"/>
      <c r="F200" s="17"/>
      <c r="G200" s="17"/>
      <c r="H200" s="17"/>
      <c r="I200" s="17"/>
      <c r="J200" s="17"/>
      <c r="K200" s="573">
        <v>36760</v>
      </c>
      <c r="L200" s="17"/>
      <c r="M200" s="17"/>
      <c r="N200" s="28"/>
      <c r="O200" s="28"/>
      <c r="P200" s="28"/>
      <c r="Q200" s="28"/>
      <c r="R200" s="28"/>
      <c r="S200" s="28"/>
      <c r="T200" s="28"/>
      <c r="U200" s="28"/>
    </row>
    <row r="201" spans="1:21" ht="16.149999999999999" customHeight="1" x14ac:dyDescent="0.2">
      <c r="A201" s="17"/>
      <c r="B201" s="17"/>
      <c r="C201" s="17"/>
      <c r="D201" s="17"/>
      <c r="E201" s="17"/>
      <c r="F201" s="17"/>
      <c r="G201" s="17"/>
      <c r="H201" s="17"/>
      <c r="I201" s="17"/>
      <c r="J201" s="17"/>
      <c r="K201" s="573"/>
      <c r="L201" s="17"/>
      <c r="M201" s="17"/>
      <c r="N201" s="28"/>
      <c r="O201" s="28"/>
      <c r="P201" s="28"/>
      <c r="Q201" s="28"/>
      <c r="R201" s="28"/>
      <c r="S201" s="28"/>
      <c r="T201" s="28"/>
      <c r="U201" s="28"/>
    </row>
    <row r="202" spans="1:21" ht="16.149999999999999" customHeight="1" x14ac:dyDescent="0.2">
      <c r="A202" s="17"/>
      <c r="B202" s="17"/>
      <c r="C202" s="17"/>
      <c r="D202" s="17"/>
      <c r="E202" s="17"/>
      <c r="F202" s="17"/>
      <c r="G202" s="17"/>
      <c r="H202" s="17"/>
      <c r="I202" s="17"/>
      <c r="J202" s="17"/>
      <c r="K202" s="573">
        <v>13969</v>
      </c>
      <c r="L202" s="17"/>
      <c r="M202" s="17"/>
      <c r="N202" s="28"/>
      <c r="O202" s="28"/>
      <c r="P202" s="28"/>
      <c r="Q202" s="28"/>
      <c r="R202" s="28"/>
      <c r="S202" s="28"/>
      <c r="T202" s="28"/>
      <c r="U202" s="28"/>
    </row>
    <row r="203" spans="1:21" ht="13.5" customHeight="1" x14ac:dyDescent="0.2">
      <c r="A203" s="17"/>
      <c r="B203" s="17"/>
      <c r="C203" s="17"/>
      <c r="D203" s="17"/>
      <c r="E203" s="17"/>
      <c r="F203" s="17"/>
      <c r="G203" s="17"/>
      <c r="H203" s="17"/>
      <c r="I203" s="17"/>
      <c r="J203" s="17"/>
      <c r="K203" s="573"/>
      <c r="L203" s="17"/>
      <c r="M203" s="17"/>
      <c r="N203" s="28"/>
      <c r="O203" s="28"/>
      <c r="P203" s="28"/>
      <c r="Q203" s="28"/>
      <c r="R203" s="28"/>
      <c r="S203" s="28"/>
      <c r="T203" s="28"/>
      <c r="U203" s="28"/>
    </row>
    <row r="204" spans="1:21" ht="16.149999999999999" customHeight="1" x14ac:dyDescent="0.2">
      <c r="A204" s="17"/>
      <c r="B204" s="17"/>
      <c r="C204" s="17"/>
      <c r="D204" s="17"/>
      <c r="E204" s="17"/>
      <c r="F204" s="17"/>
      <c r="G204" s="17"/>
      <c r="H204" s="17"/>
      <c r="I204" s="17"/>
      <c r="J204" s="17"/>
      <c r="K204" s="573">
        <v>5120</v>
      </c>
      <c r="L204" s="17"/>
      <c r="M204" s="17"/>
      <c r="N204" s="28"/>
      <c r="O204" s="28"/>
      <c r="P204" s="28"/>
      <c r="Q204" s="28"/>
      <c r="R204" s="28"/>
      <c r="S204" s="28"/>
      <c r="T204" s="28"/>
      <c r="U204" s="28"/>
    </row>
    <row r="205" spans="1:21" ht="6" customHeight="1" x14ac:dyDescent="0.2">
      <c r="A205" s="17"/>
      <c r="B205" s="17"/>
      <c r="C205" s="17"/>
      <c r="D205" s="17"/>
      <c r="E205" s="17"/>
      <c r="F205" s="17"/>
      <c r="G205" s="17"/>
      <c r="H205" s="17"/>
      <c r="I205" s="17"/>
      <c r="J205" s="17"/>
      <c r="K205" s="573"/>
      <c r="L205" s="17"/>
      <c r="M205" s="17"/>
      <c r="N205" s="28"/>
      <c r="O205" s="28"/>
      <c r="P205" s="28"/>
      <c r="Q205" s="28"/>
      <c r="R205" s="28"/>
      <c r="S205" s="28"/>
      <c r="T205" s="28"/>
      <c r="U205" s="28"/>
    </row>
    <row r="206" spans="1:21" ht="16.149999999999999" customHeight="1" x14ac:dyDescent="0.2">
      <c r="A206" s="17"/>
      <c r="B206" s="17"/>
      <c r="C206" s="17"/>
      <c r="D206" s="17"/>
      <c r="E206" s="17"/>
      <c r="F206" s="17"/>
      <c r="G206" s="17"/>
      <c r="H206" s="17"/>
      <c r="I206" s="17"/>
      <c r="J206" s="17"/>
      <c r="K206" s="573">
        <v>110222</v>
      </c>
      <c r="L206" s="17"/>
      <c r="M206" s="17"/>
      <c r="N206" s="28"/>
      <c r="O206" s="28"/>
      <c r="P206" s="28"/>
      <c r="Q206" s="28"/>
      <c r="R206" s="28"/>
      <c r="S206" s="28"/>
      <c r="T206" s="28"/>
      <c r="U206" s="28"/>
    </row>
    <row r="207" spans="1:21" ht="16.149999999999999" customHeight="1" x14ac:dyDescent="0.2">
      <c r="A207" s="17"/>
      <c r="B207" s="17"/>
      <c r="C207" s="17"/>
      <c r="D207" s="17"/>
      <c r="E207" s="17"/>
      <c r="F207" s="17"/>
      <c r="G207" s="17"/>
      <c r="H207" s="17"/>
      <c r="I207" s="17"/>
      <c r="J207" s="17"/>
      <c r="K207" s="573">
        <v>257969</v>
      </c>
      <c r="L207" s="17"/>
      <c r="M207" s="17"/>
      <c r="N207" s="28"/>
      <c r="O207" s="28"/>
      <c r="P207" s="28"/>
      <c r="Q207" s="28"/>
      <c r="R207" s="28"/>
      <c r="S207" s="28"/>
      <c r="T207" s="28"/>
      <c r="U207" s="28"/>
    </row>
    <row r="208" spans="1:21" ht="16.149999999999999" customHeight="1" x14ac:dyDescent="0.2">
      <c r="A208" s="17"/>
      <c r="B208" s="17"/>
      <c r="C208" s="17"/>
      <c r="D208" s="17"/>
      <c r="E208" s="17"/>
      <c r="F208" s="17"/>
      <c r="G208" s="17"/>
      <c r="H208" s="17"/>
      <c r="I208" s="17"/>
      <c r="J208" s="17"/>
      <c r="K208" s="573"/>
      <c r="L208" s="17"/>
      <c r="M208" s="17"/>
      <c r="N208" s="28"/>
      <c r="O208" s="28"/>
      <c r="P208" s="28"/>
      <c r="Q208" s="28"/>
      <c r="R208" s="28"/>
      <c r="S208" s="28"/>
      <c r="T208" s="28"/>
      <c r="U208" s="28"/>
    </row>
    <row r="209" spans="1:21" ht="16.149999999999999" customHeight="1" x14ac:dyDescent="0.2">
      <c r="A209" s="17"/>
      <c r="B209" s="17"/>
      <c r="C209" s="17"/>
      <c r="D209" s="17"/>
      <c r="E209" s="17"/>
      <c r="F209" s="17"/>
      <c r="G209" s="17"/>
      <c r="H209" s="17"/>
      <c r="I209" s="17"/>
      <c r="J209" s="17"/>
      <c r="K209" s="573">
        <v>18549</v>
      </c>
      <c r="L209" s="17"/>
      <c r="M209" s="17"/>
      <c r="N209" s="28"/>
      <c r="O209" s="28"/>
      <c r="P209" s="28"/>
      <c r="Q209" s="28"/>
      <c r="R209" s="28"/>
      <c r="S209" s="28"/>
      <c r="T209" s="28"/>
      <c r="U209" s="28"/>
    </row>
    <row r="210" spans="1:21" ht="16.149999999999999" customHeight="1" x14ac:dyDescent="0.2">
      <c r="A210" s="17"/>
      <c r="B210" s="17"/>
      <c r="C210" s="17"/>
      <c r="D210" s="17"/>
      <c r="E210" s="17"/>
      <c r="F210" s="17"/>
      <c r="G210" s="17"/>
      <c r="H210" s="17"/>
      <c r="I210" s="17"/>
      <c r="J210" s="17"/>
      <c r="L210" s="17"/>
      <c r="M210" s="17"/>
      <c r="N210" s="28"/>
      <c r="O210" s="28"/>
      <c r="P210" s="28"/>
      <c r="Q210" s="28"/>
      <c r="R210" s="28"/>
      <c r="S210" s="28"/>
      <c r="T210" s="28"/>
      <c r="U210" s="28"/>
    </row>
    <row r="211" spans="1:21" ht="16.149999999999999" customHeight="1" x14ac:dyDescent="0.2">
      <c r="A211" s="17"/>
      <c r="B211" s="17"/>
      <c r="C211" s="17"/>
      <c r="D211" s="17"/>
      <c r="E211" s="17"/>
      <c r="F211" s="17"/>
      <c r="G211" s="17"/>
      <c r="H211" s="17"/>
      <c r="I211" s="17"/>
      <c r="J211" s="17"/>
      <c r="L211" s="17"/>
      <c r="M211" s="17"/>
      <c r="N211" s="28"/>
      <c r="O211" s="28"/>
      <c r="P211" s="28"/>
      <c r="Q211" s="28"/>
      <c r="R211" s="28"/>
      <c r="S211" s="28"/>
      <c r="T211" s="28"/>
      <c r="U211" s="28"/>
    </row>
    <row r="212" spans="1:21" ht="16.149999999999999" customHeight="1" x14ac:dyDescent="0.2">
      <c r="A212" s="17"/>
      <c r="B212" s="17"/>
      <c r="C212" s="17"/>
      <c r="D212" s="17"/>
      <c r="E212" s="17"/>
      <c r="F212" s="17"/>
      <c r="G212" s="17"/>
      <c r="H212" s="17"/>
      <c r="I212" s="17"/>
      <c r="J212" s="17"/>
      <c r="K212" s="574">
        <f>SUM(K192:K209)</f>
        <v>699779</v>
      </c>
      <c r="L212" s="17"/>
      <c r="M212" s="17"/>
      <c r="N212" s="28"/>
      <c r="O212" s="28"/>
      <c r="P212" s="28"/>
      <c r="Q212" s="28"/>
      <c r="R212" s="28"/>
      <c r="S212" s="28"/>
      <c r="T212" s="28"/>
      <c r="U212" s="28"/>
    </row>
    <row r="213" spans="1:21" ht="16.149999999999999" customHeight="1" x14ac:dyDescent="0.2">
      <c r="A213" s="17"/>
      <c r="B213" s="17"/>
      <c r="C213" s="17"/>
      <c r="D213" s="17"/>
      <c r="E213" s="17"/>
      <c r="F213" s="17"/>
      <c r="G213" s="17"/>
      <c r="H213" s="17"/>
      <c r="I213" s="17"/>
      <c r="J213" s="17"/>
      <c r="K213" s="292">
        <f>SUM(K212,K190)</f>
        <v>1040746</v>
      </c>
      <c r="L213" s="280"/>
      <c r="M213" s="280"/>
      <c r="N213" s="28"/>
      <c r="O213" s="28"/>
      <c r="P213" s="28"/>
      <c r="Q213" s="28"/>
      <c r="R213" s="28"/>
      <c r="S213" s="28"/>
      <c r="T213" s="28"/>
      <c r="U213" s="28"/>
    </row>
    <row r="214" spans="1:21" ht="14.25" x14ac:dyDescent="0.2">
      <c r="A214" s="17"/>
      <c r="B214" s="17"/>
      <c r="C214" s="17"/>
      <c r="D214" s="17"/>
      <c r="E214" s="17"/>
      <c r="F214" s="17"/>
      <c r="G214" s="17"/>
      <c r="H214" s="17"/>
      <c r="I214" s="17"/>
      <c r="J214" s="17"/>
      <c r="K214" s="573">
        <v>133586</v>
      </c>
      <c r="L214" s="280"/>
      <c r="M214" s="280"/>
      <c r="N214" s="28"/>
      <c r="O214" s="28"/>
      <c r="P214" s="28"/>
      <c r="Q214" s="28"/>
      <c r="R214" s="28"/>
      <c r="S214" s="28"/>
      <c r="T214" s="28"/>
      <c r="U214" s="28"/>
    </row>
    <row r="215" spans="1:21" ht="14.25" x14ac:dyDescent="0.2">
      <c r="A215" s="17"/>
      <c r="B215" s="17"/>
      <c r="C215" s="17"/>
      <c r="D215" s="17"/>
      <c r="E215" s="17"/>
      <c r="F215" s="17"/>
      <c r="G215" s="17"/>
      <c r="H215" s="17"/>
      <c r="I215" s="17"/>
      <c r="J215" s="17"/>
      <c r="L215" s="280"/>
      <c r="M215" s="280"/>
      <c r="N215" s="28"/>
      <c r="O215" s="28"/>
      <c r="P215" s="28"/>
      <c r="Q215" s="28"/>
      <c r="R215" s="28"/>
      <c r="S215" s="28"/>
      <c r="T215" s="28"/>
      <c r="U215" s="28"/>
    </row>
    <row r="216" spans="1:21" ht="14.25" x14ac:dyDescent="0.2">
      <c r="A216" s="17"/>
      <c r="B216" s="17"/>
      <c r="C216" s="17"/>
      <c r="D216" s="17"/>
      <c r="E216" s="17"/>
      <c r="F216" s="17"/>
      <c r="G216" s="17"/>
      <c r="H216" s="17"/>
      <c r="I216" s="17"/>
      <c r="J216" s="17"/>
      <c r="K216" s="575">
        <f>SUM(K213:K214)</f>
        <v>1174332</v>
      </c>
      <c r="L216" s="17"/>
      <c r="M216" s="17"/>
      <c r="N216" s="28"/>
      <c r="O216" s="28"/>
      <c r="P216" s="28"/>
      <c r="Q216" s="28"/>
      <c r="R216" s="28"/>
      <c r="S216" s="28"/>
      <c r="T216" s="28"/>
      <c r="U216" s="28"/>
    </row>
    <row r="217" spans="1:21" ht="14.25" x14ac:dyDescent="0.2">
      <c r="A217" s="17"/>
      <c r="B217" s="17"/>
      <c r="C217" s="17"/>
      <c r="D217" s="17"/>
      <c r="E217" s="17"/>
      <c r="F217" s="17"/>
      <c r="G217" s="17"/>
      <c r="H217" s="17"/>
      <c r="I217" s="17"/>
      <c r="J217" s="17"/>
      <c r="L217" s="273"/>
      <c r="M217" s="17"/>
      <c r="N217" s="28"/>
      <c r="O217" s="28"/>
      <c r="P217" s="28"/>
      <c r="Q217" s="28"/>
      <c r="R217" s="28"/>
      <c r="S217" s="28"/>
      <c r="T217" s="28"/>
      <c r="U217" s="28"/>
    </row>
    <row r="218" spans="1:21" ht="14.25" x14ac:dyDescent="0.2">
      <c r="A218" s="17"/>
      <c r="B218" s="17"/>
      <c r="C218" s="17"/>
      <c r="D218" s="17"/>
      <c r="E218" s="17"/>
      <c r="F218" s="17"/>
      <c r="G218" s="17"/>
      <c r="H218" s="17"/>
      <c r="I218" s="17"/>
      <c r="J218" s="17"/>
      <c r="K218" s="16"/>
      <c r="L218" s="17"/>
      <c r="M218" s="17"/>
      <c r="N218" s="28"/>
      <c r="O218" s="28"/>
      <c r="P218" s="28"/>
      <c r="Q218" s="28"/>
      <c r="R218" s="28"/>
      <c r="S218" s="28"/>
      <c r="T218" s="28"/>
      <c r="U218" s="28"/>
    </row>
    <row r="219" spans="1:21" ht="14.25" x14ac:dyDescent="0.2">
      <c r="A219" s="17"/>
      <c r="B219" s="17"/>
      <c r="C219" s="17"/>
      <c r="D219" s="17"/>
      <c r="E219" s="17"/>
      <c r="F219" s="17"/>
      <c r="G219" s="17"/>
      <c r="H219" s="17"/>
      <c r="I219" s="17"/>
      <c r="J219" s="17"/>
      <c r="K219" s="16"/>
      <c r="L219" s="17"/>
      <c r="M219" s="17"/>
      <c r="N219" s="28"/>
      <c r="O219" s="28"/>
      <c r="P219" s="28"/>
      <c r="Q219" s="28"/>
      <c r="R219" s="28"/>
      <c r="S219" s="28"/>
      <c r="T219" s="28"/>
      <c r="U219" s="28"/>
    </row>
    <row r="220" spans="1:21" ht="14.25" x14ac:dyDescent="0.2">
      <c r="A220" s="17"/>
      <c r="B220" s="17"/>
      <c r="C220" s="17"/>
      <c r="D220" s="17"/>
      <c r="E220" s="17"/>
      <c r="F220" s="17"/>
      <c r="G220" s="17"/>
      <c r="H220" s="17"/>
      <c r="I220" s="17"/>
      <c r="J220" s="17"/>
      <c r="K220" s="16"/>
      <c r="L220" s="17"/>
      <c r="M220" s="17"/>
      <c r="N220" s="28"/>
      <c r="O220" s="28"/>
      <c r="P220" s="28"/>
      <c r="Q220" s="28"/>
      <c r="R220" s="28"/>
      <c r="S220" s="28"/>
      <c r="T220" s="28"/>
      <c r="U220" s="28"/>
    </row>
    <row r="221" spans="1:21" ht="14.25" x14ac:dyDescent="0.2">
      <c r="A221" s="17"/>
      <c r="B221" s="17"/>
      <c r="C221" s="17"/>
      <c r="D221" s="17"/>
      <c r="E221" s="17"/>
      <c r="F221" s="17"/>
      <c r="G221" s="17"/>
      <c r="H221" s="17"/>
      <c r="I221" s="17"/>
      <c r="J221" s="17"/>
      <c r="K221" s="16"/>
      <c r="L221" s="17"/>
      <c r="M221" s="17"/>
      <c r="N221" s="28"/>
      <c r="O221" s="28"/>
      <c r="P221" s="28"/>
      <c r="Q221" s="28"/>
      <c r="R221" s="28"/>
      <c r="S221" s="28"/>
      <c r="T221" s="28"/>
      <c r="U221" s="28"/>
    </row>
    <row r="222" spans="1:21" ht="14.25" x14ac:dyDescent="0.2">
      <c r="A222" s="17"/>
      <c r="B222" s="17"/>
      <c r="C222" s="17"/>
      <c r="D222" s="17"/>
      <c r="E222" s="17"/>
      <c r="F222" s="17"/>
      <c r="G222" s="17"/>
      <c r="H222" s="17"/>
      <c r="I222" s="17"/>
      <c r="J222" s="17"/>
      <c r="K222" s="16"/>
      <c r="L222" s="17"/>
      <c r="M222" s="17"/>
      <c r="N222" s="28"/>
      <c r="O222" s="28"/>
      <c r="P222" s="28"/>
      <c r="Q222" s="28"/>
      <c r="R222" s="28"/>
      <c r="S222" s="28"/>
      <c r="T222" s="28"/>
      <c r="U222" s="28"/>
    </row>
    <row r="223" spans="1:21" ht="14.25" x14ac:dyDescent="0.2">
      <c r="A223" s="17"/>
      <c r="B223" s="17"/>
      <c r="C223" s="17"/>
      <c r="D223" s="17"/>
      <c r="E223" s="17"/>
      <c r="F223" s="17"/>
      <c r="G223" s="17"/>
      <c r="H223" s="17"/>
      <c r="I223" s="17"/>
      <c r="J223" s="17"/>
      <c r="K223" s="16"/>
      <c r="L223" s="17"/>
      <c r="M223" s="17"/>
      <c r="N223" s="28"/>
      <c r="O223" s="28"/>
      <c r="P223" s="28"/>
      <c r="Q223" s="28"/>
      <c r="R223" s="28"/>
      <c r="S223" s="28"/>
      <c r="T223" s="28"/>
      <c r="U223" s="28"/>
    </row>
    <row r="224" spans="1:21" ht="14.25" x14ac:dyDescent="0.2">
      <c r="A224" s="17"/>
      <c r="B224" s="17"/>
      <c r="C224" s="17"/>
      <c r="D224" s="17"/>
      <c r="E224" s="17"/>
      <c r="F224" s="17"/>
      <c r="G224" s="17"/>
      <c r="H224" s="17"/>
      <c r="I224" s="17"/>
      <c r="J224" s="17"/>
      <c r="K224" s="16"/>
      <c r="L224" s="17"/>
      <c r="M224" s="17"/>
      <c r="N224" s="28"/>
      <c r="O224" s="28"/>
      <c r="P224" s="28"/>
      <c r="Q224" s="28"/>
      <c r="R224" s="28"/>
      <c r="S224" s="28"/>
      <c r="T224" s="28"/>
      <c r="U224" s="28"/>
    </row>
    <row r="225" spans="1:21" ht="14.25" x14ac:dyDescent="0.2">
      <c r="A225" s="17"/>
      <c r="B225" s="17"/>
      <c r="C225" s="17"/>
      <c r="D225" s="17"/>
      <c r="E225" s="17"/>
      <c r="F225" s="17"/>
      <c r="G225" s="17"/>
      <c r="H225" s="17"/>
      <c r="I225" s="17"/>
      <c r="J225" s="17"/>
      <c r="K225" s="16"/>
      <c r="L225" s="17"/>
      <c r="M225" s="17"/>
      <c r="N225" s="28"/>
      <c r="O225" s="28"/>
      <c r="P225" s="28"/>
      <c r="Q225" s="28"/>
      <c r="R225" s="28"/>
      <c r="S225" s="28"/>
      <c r="T225" s="28"/>
      <c r="U225" s="28"/>
    </row>
    <row r="226" spans="1:21" ht="14.25" x14ac:dyDescent="0.2">
      <c r="A226" s="17"/>
      <c r="B226" s="17"/>
      <c r="C226" s="17"/>
      <c r="D226" s="17"/>
      <c r="E226" s="17"/>
      <c r="F226" s="17"/>
      <c r="G226" s="17"/>
      <c r="H226" s="17"/>
      <c r="I226" s="17"/>
      <c r="J226" s="17"/>
      <c r="K226" s="16"/>
      <c r="L226" s="17"/>
      <c r="M226" s="17"/>
      <c r="N226" s="28"/>
      <c r="O226" s="28"/>
      <c r="P226" s="28"/>
      <c r="Q226" s="28"/>
      <c r="R226" s="28"/>
      <c r="S226" s="28"/>
      <c r="T226" s="28"/>
      <c r="U226" s="28"/>
    </row>
    <row r="227" spans="1:21" ht="14.25" x14ac:dyDescent="0.2">
      <c r="A227" s="17"/>
      <c r="B227" s="17"/>
      <c r="C227" s="17"/>
      <c r="D227" s="17"/>
      <c r="E227" s="17"/>
      <c r="F227" s="17"/>
      <c r="G227" s="17"/>
      <c r="H227" s="17"/>
      <c r="I227" s="17"/>
      <c r="J227" s="17"/>
      <c r="K227" s="16"/>
      <c r="L227" s="17"/>
      <c r="M227" s="17"/>
      <c r="N227" s="28"/>
      <c r="O227" s="28"/>
      <c r="P227" s="28"/>
      <c r="Q227" s="28"/>
      <c r="R227" s="28"/>
      <c r="S227" s="28"/>
      <c r="T227" s="28"/>
      <c r="U227" s="28"/>
    </row>
    <row r="228" spans="1:21" ht="14.25" x14ac:dyDescent="0.2">
      <c r="A228" s="17"/>
      <c r="B228" s="17"/>
      <c r="C228" s="17"/>
      <c r="D228" s="17"/>
      <c r="E228" s="17"/>
      <c r="F228" s="17"/>
      <c r="G228" s="17"/>
      <c r="H228" s="17"/>
      <c r="I228" s="17"/>
      <c r="J228" s="17"/>
      <c r="K228" s="16"/>
      <c r="L228" s="17"/>
      <c r="M228" s="17"/>
      <c r="N228" s="28"/>
      <c r="O228" s="28"/>
      <c r="P228" s="28"/>
      <c r="Q228" s="28"/>
      <c r="R228" s="28"/>
      <c r="S228" s="28"/>
      <c r="T228" s="28"/>
      <c r="U228" s="28"/>
    </row>
    <row r="229" spans="1:21" ht="14.25" x14ac:dyDescent="0.2">
      <c r="A229" s="17"/>
      <c r="B229" s="17"/>
      <c r="C229" s="17"/>
      <c r="D229" s="17"/>
      <c r="E229" s="17"/>
      <c r="F229" s="17"/>
      <c r="G229" s="17"/>
      <c r="H229" s="17"/>
      <c r="I229" s="17"/>
      <c r="J229" s="17"/>
      <c r="K229" s="16"/>
      <c r="L229" s="17"/>
      <c r="M229" s="17"/>
      <c r="N229" s="28"/>
      <c r="O229" s="28"/>
      <c r="P229" s="28"/>
      <c r="Q229" s="28"/>
      <c r="R229" s="28"/>
      <c r="S229" s="28"/>
      <c r="T229" s="28"/>
      <c r="U229" s="28"/>
    </row>
    <row r="230" spans="1:21" ht="14.25" x14ac:dyDescent="0.2">
      <c r="A230" s="17"/>
      <c r="B230" s="17"/>
      <c r="C230" s="17"/>
      <c r="D230" s="17"/>
      <c r="E230" s="17"/>
      <c r="F230" s="17"/>
      <c r="G230" s="17"/>
      <c r="H230" s="17"/>
      <c r="I230" s="17"/>
      <c r="J230" s="17"/>
      <c r="K230" s="16"/>
      <c r="L230" s="17"/>
      <c r="M230" s="17"/>
      <c r="N230" s="28"/>
      <c r="O230" s="28"/>
      <c r="P230" s="28"/>
      <c r="Q230" s="28"/>
      <c r="R230" s="28"/>
      <c r="S230" s="28"/>
      <c r="T230" s="28"/>
      <c r="U230" s="28"/>
    </row>
    <row r="231" spans="1:21" ht="14.25" x14ac:dyDescent="0.2">
      <c r="A231" s="17"/>
      <c r="B231" s="17"/>
      <c r="C231" s="17"/>
      <c r="D231" s="17"/>
      <c r="E231" s="17"/>
      <c r="F231" s="17"/>
      <c r="G231" s="17"/>
      <c r="H231" s="17"/>
      <c r="I231" s="17"/>
      <c r="J231" s="17"/>
      <c r="K231" s="16"/>
      <c r="L231" s="17"/>
      <c r="M231" s="17"/>
      <c r="N231" s="28"/>
      <c r="O231" s="28"/>
      <c r="P231" s="28"/>
      <c r="Q231" s="28"/>
      <c r="R231" s="28"/>
      <c r="S231" s="28"/>
      <c r="T231" s="28"/>
      <c r="U231" s="28"/>
    </row>
    <row r="232" spans="1:21" ht="14.25" x14ac:dyDescent="0.2">
      <c r="A232" s="17"/>
      <c r="B232" s="17"/>
      <c r="C232" s="17"/>
      <c r="D232" s="17"/>
      <c r="E232" s="17"/>
      <c r="F232" s="17"/>
      <c r="G232" s="17"/>
      <c r="H232" s="17"/>
      <c r="I232" s="17"/>
      <c r="J232" s="17"/>
      <c r="K232" s="576"/>
      <c r="L232" s="17"/>
      <c r="M232" s="17"/>
      <c r="N232" s="28"/>
      <c r="O232" s="28"/>
      <c r="P232" s="28"/>
      <c r="Q232" s="28"/>
      <c r="R232" s="28"/>
      <c r="S232" s="28"/>
      <c r="T232" s="28"/>
      <c r="U232" s="28"/>
    </row>
    <row r="233" spans="1:21" ht="14.25" x14ac:dyDescent="0.2">
      <c r="A233" s="17"/>
      <c r="B233" s="17"/>
      <c r="C233" s="17"/>
      <c r="D233" s="17"/>
      <c r="E233" s="17"/>
      <c r="F233" s="17"/>
      <c r="G233" s="17"/>
      <c r="H233" s="17"/>
      <c r="I233" s="17"/>
      <c r="J233" s="17"/>
      <c r="K233" s="10" t="s">
        <v>595</v>
      </c>
      <c r="L233" s="17"/>
      <c r="M233" s="17"/>
      <c r="N233" s="28"/>
      <c r="O233" s="28"/>
      <c r="P233" s="28"/>
      <c r="Q233" s="28"/>
      <c r="R233" s="28"/>
      <c r="S233" s="28"/>
      <c r="T233" s="28"/>
      <c r="U233" s="28"/>
    </row>
    <row r="234" spans="1:21" ht="14.25" x14ac:dyDescent="0.2">
      <c r="A234" s="17"/>
      <c r="B234" s="17"/>
      <c r="C234" s="17"/>
      <c r="D234" s="17"/>
      <c r="E234" s="17"/>
      <c r="F234" s="17"/>
      <c r="G234" s="17"/>
      <c r="H234" s="17"/>
      <c r="I234" s="17"/>
      <c r="J234" s="17"/>
      <c r="K234" s="290" t="s">
        <v>51</v>
      </c>
      <c r="L234" s="17"/>
      <c r="M234" s="17"/>
      <c r="N234" s="28"/>
      <c r="O234" s="28"/>
      <c r="P234" s="28"/>
      <c r="Q234" s="28"/>
      <c r="R234" s="28"/>
      <c r="S234" s="28"/>
      <c r="T234" s="28"/>
      <c r="U234" s="28"/>
    </row>
    <row r="235" spans="1:21" ht="14.25" x14ac:dyDescent="0.2">
      <c r="A235" s="17"/>
      <c r="B235" s="17"/>
      <c r="C235" s="17"/>
      <c r="D235" s="17"/>
      <c r="E235" s="17"/>
      <c r="F235" s="17"/>
      <c r="G235" s="17"/>
      <c r="H235" s="17"/>
      <c r="I235" s="17"/>
      <c r="J235" s="17"/>
      <c r="K235" s="291" t="s">
        <v>593</v>
      </c>
      <c r="L235" s="17"/>
      <c r="M235" s="17"/>
      <c r="N235" s="28"/>
      <c r="O235" s="28"/>
      <c r="P235" s="28"/>
      <c r="Q235" s="28"/>
      <c r="R235" s="28"/>
      <c r="S235" s="28"/>
      <c r="T235" s="28"/>
      <c r="U235" s="28"/>
    </row>
    <row r="236" spans="1:21" ht="14.25" x14ac:dyDescent="0.2">
      <c r="A236" s="17"/>
      <c r="B236" s="17"/>
      <c r="C236" s="17"/>
      <c r="D236" s="17"/>
      <c r="E236" s="17"/>
      <c r="F236" s="17"/>
      <c r="G236" s="17"/>
      <c r="H236" s="17"/>
      <c r="I236" s="17"/>
      <c r="J236" s="17"/>
      <c r="K236" s="16"/>
      <c r="L236" s="17"/>
      <c r="M236" s="17"/>
      <c r="N236" s="28"/>
      <c r="O236" s="28"/>
      <c r="P236" s="28"/>
      <c r="Q236" s="28"/>
      <c r="R236" s="28"/>
      <c r="S236" s="28"/>
      <c r="T236" s="28"/>
      <c r="U236" s="28"/>
    </row>
    <row r="237" spans="1:21" ht="15.4" customHeight="1" x14ac:dyDescent="0.2">
      <c r="A237" s="17"/>
      <c r="B237" s="17"/>
      <c r="C237" s="17"/>
      <c r="D237" s="17"/>
      <c r="E237" s="17"/>
      <c r="F237" s="17"/>
      <c r="G237" s="17"/>
      <c r="H237" s="17"/>
      <c r="I237" s="17"/>
      <c r="J237" s="17"/>
      <c r="K237" s="573">
        <v>186000</v>
      </c>
      <c r="L237" s="17"/>
      <c r="M237" s="17"/>
      <c r="N237" s="28"/>
      <c r="O237" s="28"/>
      <c r="P237" s="28"/>
      <c r="Q237" s="28"/>
      <c r="R237" s="28"/>
      <c r="S237" s="28"/>
      <c r="T237" s="28"/>
      <c r="U237" s="28"/>
    </row>
    <row r="238" spans="1:21" ht="15.4" customHeight="1" x14ac:dyDescent="0.2">
      <c r="A238" s="17"/>
      <c r="B238" s="17"/>
      <c r="C238" s="17"/>
      <c r="D238" s="17"/>
      <c r="E238" s="17"/>
      <c r="F238" s="17"/>
      <c r="G238" s="17"/>
      <c r="H238" s="17"/>
      <c r="I238" s="17"/>
      <c r="J238" s="17"/>
      <c r="K238" s="573">
        <v>132410</v>
      </c>
      <c r="L238" s="17"/>
      <c r="M238" s="17"/>
      <c r="N238" s="28"/>
      <c r="O238" s="28"/>
      <c r="P238" s="28"/>
      <c r="Q238" s="28"/>
      <c r="R238" s="28"/>
      <c r="S238" s="28"/>
      <c r="T238" s="28"/>
      <c r="U238" s="28"/>
    </row>
    <row r="239" spans="1:21" ht="15.4" customHeight="1" x14ac:dyDescent="0.2">
      <c r="A239" s="17"/>
      <c r="B239" s="17"/>
      <c r="C239" s="17"/>
      <c r="D239" s="17"/>
      <c r="E239" s="17"/>
      <c r="F239" s="17"/>
      <c r="G239" s="17"/>
      <c r="H239" s="17"/>
      <c r="I239" s="17"/>
      <c r="J239" s="17"/>
      <c r="K239" s="573">
        <v>648189</v>
      </c>
      <c r="L239" s="17"/>
      <c r="M239" s="17"/>
      <c r="N239" s="28"/>
      <c r="O239" s="28"/>
      <c r="P239" s="28"/>
      <c r="Q239" s="28"/>
      <c r="R239" s="28"/>
      <c r="S239" s="28"/>
      <c r="T239" s="28"/>
      <c r="U239" s="28"/>
    </row>
    <row r="240" spans="1:21" ht="15.4" customHeight="1" x14ac:dyDescent="0.2">
      <c r="A240" s="17"/>
      <c r="B240" s="17"/>
      <c r="C240" s="17"/>
      <c r="D240" s="17"/>
      <c r="E240" s="17"/>
      <c r="F240" s="17"/>
      <c r="G240" s="17"/>
      <c r="H240" s="17"/>
      <c r="I240" s="17"/>
      <c r="J240" s="17"/>
      <c r="K240" s="573">
        <v>495686</v>
      </c>
      <c r="L240" s="17"/>
      <c r="M240" s="17"/>
      <c r="N240" s="28"/>
      <c r="O240" s="28"/>
      <c r="P240" s="28"/>
      <c r="Q240" s="28"/>
      <c r="R240" s="28"/>
      <c r="S240" s="28"/>
      <c r="T240" s="28"/>
      <c r="U240" s="28"/>
    </row>
    <row r="241" spans="1:21" ht="15.4" customHeight="1" x14ac:dyDescent="0.2">
      <c r="A241" s="17"/>
      <c r="B241" s="17"/>
      <c r="C241" s="17"/>
      <c r="D241" s="17"/>
      <c r="E241" s="17"/>
      <c r="F241" s="17"/>
      <c r="G241" s="17"/>
      <c r="H241" s="17"/>
      <c r="I241" s="17"/>
      <c r="J241" s="17"/>
      <c r="K241" s="573">
        <v>21829</v>
      </c>
      <c r="L241" s="17"/>
      <c r="M241" s="17"/>
      <c r="N241" s="28"/>
      <c r="O241" s="28"/>
      <c r="P241" s="28"/>
      <c r="Q241" s="28"/>
      <c r="R241" s="28"/>
      <c r="S241" s="28"/>
      <c r="T241" s="28"/>
      <c r="U241" s="28"/>
    </row>
    <row r="242" spans="1:21" ht="15.4" customHeight="1" x14ac:dyDescent="0.2">
      <c r="A242" s="17"/>
      <c r="B242" s="17"/>
      <c r="C242" s="17"/>
      <c r="D242" s="17"/>
      <c r="E242" s="17"/>
      <c r="F242" s="17"/>
      <c r="G242" s="17"/>
      <c r="H242" s="17"/>
      <c r="I242" s="17"/>
      <c r="J242" s="17"/>
      <c r="K242" s="573">
        <v>31331</v>
      </c>
      <c r="L242" s="17"/>
      <c r="M242" s="17"/>
      <c r="N242" s="28"/>
      <c r="O242" s="28"/>
      <c r="P242" s="28"/>
      <c r="Q242" s="28"/>
      <c r="R242" s="28"/>
      <c r="S242" s="28"/>
      <c r="T242" s="28"/>
      <c r="U242" s="28"/>
    </row>
    <row r="243" spans="1:21" ht="15.4" customHeight="1" x14ac:dyDescent="0.2">
      <c r="A243" s="17"/>
      <c r="B243" s="17"/>
      <c r="C243" s="17"/>
      <c r="D243" s="17"/>
      <c r="E243" s="17"/>
      <c r="F243" s="17"/>
      <c r="G243" s="17"/>
      <c r="H243" s="17"/>
      <c r="I243" s="17"/>
      <c r="J243" s="17"/>
      <c r="K243" s="573">
        <v>96134</v>
      </c>
      <c r="L243" s="17"/>
      <c r="M243" s="17"/>
      <c r="N243" s="28"/>
      <c r="O243" s="28"/>
      <c r="P243" s="28"/>
      <c r="Q243" s="28"/>
      <c r="R243" s="28"/>
      <c r="S243" s="28"/>
      <c r="T243" s="28"/>
      <c r="U243" s="28"/>
    </row>
    <row r="244" spans="1:21" ht="14.25" x14ac:dyDescent="0.2">
      <c r="A244" s="17"/>
      <c r="B244" s="17"/>
      <c r="C244" s="17"/>
      <c r="D244" s="17"/>
      <c r="E244" s="17"/>
      <c r="F244" s="17"/>
      <c r="G244" s="17"/>
      <c r="H244" s="17"/>
      <c r="I244" s="17"/>
      <c r="J244" s="17"/>
      <c r="K244" s="574">
        <f>SUM(K237:K243)</f>
        <v>1611579</v>
      </c>
      <c r="L244" s="280"/>
      <c r="M244" s="280"/>
      <c r="N244" s="28"/>
      <c r="O244" s="28"/>
      <c r="P244" s="28"/>
      <c r="Q244" s="28"/>
      <c r="R244" s="28"/>
      <c r="S244" s="28"/>
      <c r="T244" s="28"/>
      <c r="U244" s="28"/>
    </row>
    <row r="245" spans="1:21" ht="14.25" x14ac:dyDescent="0.2">
      <c r="A245" s="17"/>
      <c r="B245" s="17"/>
      <c r="C245" s="17"/>
      <c r="D245" s="17"/>
      <c r="E245" s="17"/>
      <c r="F245" s="17"/>
      <c r="G245" s="17"/>
      <c r="H245" s="17"/>
      <c r="I245" s="17"/>
      <c r="J245" s="17"/>
      <c r="K245" s="577"/>
      <c r="L245" s="280"/>
      <c r="M245" s="280"/>
      <c r="N245" s="28"/>
      <c r="O245" s="28"/>
      <c r="P245" s="28"/>
      <c r="Q245" s="28"/>
      <c r="R245" s="28"/>
      <c r="S245" s="28"/>
      <c r="T245" s="28"/>
      <c r="U245" s="28"/>
    </row>
    <row r="246" spans="1:21" ht="14.25" x14ac:dyDescent="0.2">
      <c r="A246" s="17"/>
      <c r="B246" s="17"/>
      <c r="C246" s="17"/>
      <c r="D246" s="17"/>
      <c r="E246" s="17"/>
      <c r="F246" s="17"/>
      <c r="G246" s="17"/>
      <c r="H246" s="17"/>
      <c r="I246" s="17"/>
      <c r="J246" s="17"/>
      <c r="K246" s="291"/>
      <c r="L246" s="280"/>
      <c r="M246" s="280"/>
      <c r="N246" s="28"/>
      <c r="O246" s="28"/>
      <c r="P246" s="28"/>
      <c r="Q246" s="28"/>
      <c r="R246" s="28"/>
      <c r="S246" s="28"/>
      <c r="T246" s="28"/>
      <c r="U246" s="28"/>
    </row>
    <row r="247" spans="1:21" ht="14.25" x14ac:dyDescent="0.2">
      <c r="A247" s="17"/>
      <c r="B247" s="17"/>
      <c r="C247" s="17"/>
      <c r="D247" s="17"/>
      <c r="E247" s="17"/>
      <c r="F247" s="17"/>
      <c r="G247" s="17"/>
      <c r="H247" s="17"/>
      <c r="I247" s="17"/>
      <c r="J247" s="17"/>
      <c r="K247" s="573">
        <v>355744</v>
      </c>
      <c r="L247" s="17"/>
      <c r="M247" s="17"/>
      <c r="N247" s="28"/>
      <c r="O247" s="28"/>
      <c r="P247" s="28"/>
      <c r="Q247" s="28"/>
      <c r="R247" s="28"/>
      <c r="S247" s="28"/>
      <c r="T247" s="28"/>
      <c r="U247" s="28"/>
    </row>
    <row r="248" spans="1:21" ht="14.25" x14ac:dyDescent="0.2">
      <c r="A248" s="17"/>
      <c r="B248" s="17"/>
      <c r="C248" s="17"/>
      <c r="D248" s="17"/>
      <c r="E248" s="17"/>
      <c r="F248" s="17"/>
      <c r="G248" s="17"/>
      <c r="H248" s="17"/>
      <c r="I248" s="17"/>
      <c r="J248" s="17"/>
      <c r="K248" s="16"/>
      <c r="L248" s="17"/>
      <c r="M248" s="17"/>
      <c r="N248" s="28"/>
      <c r="O248" s="28"/>
      <c r="P248" s="28"/>
      <c r="Q248" s="28"/>
      <c r="R248" s="28"/>
      <c r="S248" s="28"/>
      <c r="T248" s="28"/>
      <c r="U248" s="28"/>
    </row>
    <row r="249" spans="1:21" ht="14.25" x14ac:dyDescent="0.2">
      <c r="A249" s="17"/>
      <c r="B249" s="17"/>
      <c r="C249" s="17"/>
      <c r="D249" s="17"/>
      <c r="E249" s="17"/>
      <c r="F249" s="17"/>
      <c r="G249" s="17"/>
      <c r="H249" s="17"/>
      <c r="I249" s="17"/>
      <c r="J249" s="17"/>
      <c r="K249" s="574">
        <f>SUM(K244:K247)</f>
        <v>1967323</v>
      </c>
      <c r="L249" s="280"/>
      <c r="M249" s="280"/>
      <c r="N249" s="28"/>
      <c r="O249" s="28"/>
      <c r="P249" s="28"/>
      <c r="Q249" s="28"/>
      <c r="R249" s="28"/>
      <c r="S249" s="28"/>
      <c r="T249" s="28"/>
      <c r="U249" s="28"/>
    </row>
    <row r="250" spans="1:21" ht="14.25" x14ac:dyDescent="0.2">
      <c r="A250" s="17"/>
      <c r="B250" s="17"/>
      <c r="C250" s="17"/>
      <c r="D250" s="17"/>
      <c r="E250" s="17"/>
      <c r="F250" s="17"/>
      <c r="G250" s="17"/>
      <c r="H250" s="17"/>
      <c r="I250" s="17"/>
      <c r="J250" s="17"/>
      <c r="K250" s="573">
        <v>644398</v>
      </c>
      <c r="M250" s="17"/>
      <c r="N250" s="28"/>
      <c r="O250" s="28"/>
      <c r="P250" s="28"/>
      <c r="Q250" s="28"/>
      <c r="R250" s="28"/>
      <c r="S250" s="28"/>
      <c r="T250" s="28"/>
      <c r="U250" s="28"/>
    </row>
    <row r="251" spans="1:21" ht="14.25" x14ac:dyDescent="0.2">
      <c r="A251" s="17"/>
      <c r="B251" s="17"/>
      <c r="C251" s="17"/>
      <c r="D251" s="17"/>
      <c r="E251" s="17"/>
      <c r="F251" s="17"/>
      <c r="G251" s="17"/>
      <c r="H251" s="17"/>
      <c r="I251" s="17"/>
      <c r="J251" s="17"/>
      <c r="K251" s="16"/>
      <c r="L251" s="17"/>
      <c r="M251" s="17"/>
      <c r="N251" s="28"/>
      <c r="O251" s="28"/>
      <c r="P251" s="28"/>
      <c r="Q251" s="28"/>
      <c r="R251" s="28"/>
      <c r="S251" s="28"/>
      <c r="T251" s="28"/>
      <c r="U251" s="28"/>
    </row>
    <row r="252" spans="1:21" ht="14.25" x14ac:dyDescent="0.2">
      <c r="A252" s="17"/>
      <c r="B252" s="17"/>
      <c r="C252" s="17"/>
      <c r="D252" s="17"/>
      <c r="E252" s="17"/>
      <c r="F252" s="17"/>
      <c r="G252" s="17"/>
      <c r="H252" s="17"/>
      <c r="I252" s="17"/>
      <c r="J252" s="17"/>
      <c r="K252" s="575">
        <f>SUM(K249:K250)</f>
        <v>2611721</v>
      </c>
      <c r="L252" s="17"/>
      <c r="M252" s="17"/>
      <c r="N252" s="28"/>
      <c r="O252" s="28"/>
      <c r="P252" s="28"/>
      <c r="Q252" s="28"/>
      <c r="R252" s="28"/>
      <c r="S252" s="28"/>
      <c r="T252" s="28"/>
      <c r="U252" s="28"/>
    </row>
    <row r="253" spans="1:21" ht="14.25" x14ac:dyDescent="0.2">
      <c r="A253" s="17"/>
      <c r="B253" s="17"/>
      <c r="C253" s="17"/>
      <c r="D253" s="17"/>
      <c r="E253" s="17"/>
      <c r="F253" s="17"/>
      <c r="G253" s="17"/>
      <c r="H253" s="17"/>
      <c r="I253" s="17"/>
      <c r="J253" s="17"/>
      <c r="K253" s="16"/>
      <c r="L253" s="17"/>
      <c r="M253" s="17"/>
      <c r="N253" s="28"/>
      <c r="O253" s="28"/>
      <c r="P253" s="28"/>
      <c r="Q253" s="28"/>
      <c r="R253" s="28"/>
      <c r="S253" s="28"/>
      <c r="T253" s="28"/>
      <c r="U253" s="28"/>
    </row>
    <row r="254" spans="1:21" ht="14.25" x14ac:dyDescent="0.2">
      <c r="A254" s="17"/>
      <c r="B254" s="17"/>
      <c r="C254" s="17"/>
      <c r="D254" s="17"/>
      <c r="E254" s="17"/>
      <c r="F254" s="17"/>
      <c r="G254" s="17"/>
      <c r="H254" s="17"/>
      <c r="I254" s="17"/>
      <c r="J254" s="17"/>
      <c r="K254" s="16"/>
      <c r="L254" s="17"/>
      <c r="M254" s="17"/>
      <c r="N254" s="28"/>
      <c r="O254" s="28"/>
      <c r="P254" s="28"/>
      <c r="Q254" s="28"/>
      <c r="R254" s="28"/>
      <c r="S254" s="28"/>
      <c r="T254" s="28"/>
      <c r="U254" s="28"/>
    </row>
    <row r="255" spans="1:21" ht="14.25" x14ac:dyDescent="0.2">
      <c r="A255" s="17"/>
      <c r="B255" s="17"/>
      <c r="C255" s="17"/>
      <c r="D255" s="17"/>
      <c r="E255" s="17"/>
      <c r="F255" s="17"/>
      <c r="G255" s="17"/>
      <c r="H255" s="17"/>
      <c r="I255" s="17"/>
      <c r="J255" s="17"/>
      <c r="K255" s="16"/>
      <c r="L255" s="17"/>
      <c r="M255" s="17"/>
      <c r="N255" s="28"/>
      <c r="O255" s="28"/>
      <c r="P255" s="28"/>
      <c r="Q255" s="28"/>
      <c r="R255" s="28"/>
      <c r="S255" s="28"/>
      <c r="T255" s="28"/>
      <c r="U255" s="28"/>
    </row>
    <row r="256" spans="1:21" ht="14.25" x14ac:dyDescent="0.2">
      <c r="A256" s="17"/>
      <c r="B256" s="17"/>
      <c r="C256" s="17"/>
      <c r="D256" s="17"/>
      <c r="E256" s="17"/>
      <c r="F256" s="17"/>
      <c r="G256" s="17"/>
      <c r="H256" s="17"/>
      <c r="I256" s="17"/>
      <c r="J256" s="17"/>
      <c r="K256" s="16"/>
      <c r="L256" s="17"/>
      <c r="M256" s="17"/>
      <c r="N256" s="28"/>
      <c r="O256" s="28"/>
      <c r="P256" s="28"/>
      <c r="Q256" s="28"/>
      <c r="R256" s="28"/>
      <c r="S256" s="28"/>
      <c r="T256" s="28"/>
      <c r="U256" s="28"/>
    </row>
    <row r="257" spans="1:21" ht="14.25" x14ac:dyDescent="0.2">
      <c r="A257" s="17"/>
      <c r="B257" s="17"/>
      <c r="C257" s="17"/>
      <c r="D257" s="17"/>
      <c r="E257" s="17"/>
      <c r="F257" s="17"/>
      <c r="G257" s="17"/>
      <c r="H257" s="17"/>
      <c r="I257" s="17"/>
      <c r="J257" s="17"/>
      <c r="K257" s="16"/>
      <c r="L257" s="17"/>
      <c r="M257" s="17"/>
      <c r="N257" s="28"/>
      <c r="O257" s="28"/>
      <c r="P257" s="28"/>
      <c r="Q257" s="28"/>
      <c r="R257" s="28"/>
      <c r="S257" s="28"/>
      <c r="T257" s="28"/>
      <c r="U257" s="28"/>
    </row>
    <row r="258" spans="1:21" ht="14.25" x14ac:dyDescent="0.2">
      <c r="A258" s="17"/>
      <c r="B258" s="17"/>
      <c r="C258" s="17"/>
      <c r="D258" s="17"/>
      <c r="E258" s="17"/>
      <c r="F258" s="17"/>
      <c r="G258" s="17"/>
      <c r="H258" s="17"/>
      <c r="I258" s="17"/>
      <c r="J258" s="17"/>
      <c r="K258" s="16"/>
      <c r="L258" s="17"/>
      <c r="M258" s="17"/>
      <c r="N258" s="28"/>
      <c r="O258" s="28"/>
      <c r="P258" s="28"/>
      <c r="Q258" s="28"/>
      <c r="R258" s="28"/>
      <c r="S258" s="28"/>
      <c r="T258" s="28"/>
      <c r="U258" s="28"/>
    </row>
    <row r="259" spans="1:21" ht="14.25" x14ac:dyDescent="0.2">
      <c r="A259" s="17"/>
      <c r="B259" s="17"/>
      <c r="C259" s="17"/>
      <c r="D259" s="17"/>
      <c r="E259" s="17"/>
      <c r="F259" s="17"/>
      <c r="G259" s="17"/>
      <c r="H259" s="17"/>
      <c r="I259" s="17"/>
      <c r="J259" s="17"/>
      <c r="K259" s="16"/>
      <c r="L259" s="17"/>
      <c r="M259" s="17"/>
      <c r="N259" s="28"/>
      <c r="O259" s="28"/>
      <c r="P259" s="28"/>
      <c r="Q259" s="28"/>
      <c r="R259" s="28"/>
      <c r="S259" s="28"/>
      <c r="T259" s="28"/>
      <c r="U259" s="28"/>
    </row>
    <row r="260" spans="1:21" ht="14.25" x14ac:dyDescent="0.2">
      <c r="A260" s="17"/>
      <c r="B260" s="17"/>
      <c r="C260" s="17"/>
      <c r="D260" s="17"/>
      <c r="E260" s="17"/>
      <c r="F260" s="17"/>
      <c r="G260" s="17"/>
      <c r="H260" s="17"/>
      <c r="I260" s="17"/>
      <c r="J260" s="17"/>
      <c r="K260" s="576"/>
      <c r="L260" s="17"/>
      <c r="M260" s="17"/>
      <c r="N260" s="28"/>
      <c r="O260" s="28"/>
      <c r="P260" s="28"/>
      <c r="Q260" s="28"/>
      <c r="R260" s="28"/>
      <c r="S260" s="28"/>
      <c r="T260" s="28"/>
      <c r="U260" s="28"/>
    </row>
    <row r="261" spans="1:21" ht="14.25" x14ac:dyDescent="0.2">
      <c r="A261" s="17"/>
      <c r="B261" s="17"/>
      <c r="C261" s="17"/>
      <c r="D261" s="17"/>
      <c r="E261" s="17"/>
      <c r="F261" s="17"/>
      <c r="G261" s="17"/>
      <c r="H261" s="17"/>
      <c r="I261" s="17"/>
      <c r="J261" s="17"/>
      <c r="K261" s="16"/>
      <c r="L261" s="17"/>
      <c r="M261" s="17"/>
      <c r="N261" s="28"/>
      <c r="O261" s="28"/>
      <c r="P261" s="28"/>
      <c r="Q261" s="28"/>
      <c r="R261" s="28"/>
      <c r="S261" s="28"/>
      <c r="T261" s="28"/>
      <c r="U261" s="28"/>
    </row>
    <row r="262" spans="1:21" ht="14.25" x14ac:dyDescent="0.2">
      <c r="A262" s="17"/>
      <c r="B262" s="17"/>
      <c r="C262" s="17"/>
      <c r="D262" s="17"/>
      <c r="E262" s="17"/>
      <c r="F262" s="17"/>
      <c r="G262" s="17"/>
      <c r="H262" s="17"/>
      <c r="I262" s="17"/>
      <c r="J262" s="17"/>
      <c r="K262" s="10" t="s">
        <v>596</v>
      </c>
      <c r="L262" s="17"/>
      <c r="M262" s="17"/>
      <c r="N262" s="28"/>
      <c r="O262" s="28"/>
      <c r="P262" s="28"/>
      <c r="Q262" s="28"/>
      <c r="R262" s="28"/>
      <c r="S262" s="28"/>
      <c r="T262" s="28"/>
      <c r="U262" s="28"/>
    </row>
    <row r="263" spans="1:21" ht="14.25" x14ac:dyDescent="0.2">
      <c r="A263" s="17"/>
      <c r="B263" s="17"/>
      <c r="C263" s="17"/>
      <c r="D263" s="17"/>
      <c r="E263" s="17"/>
      <c r="F263" s="17"/>
      <c r="G263" s="17"/>
      <c r="H263" s="17"/>
      <c r="I263" s="17"/>
      <c r="J263" s="17"/>
      <c r="K263" s="290" t="s">
        <v>51</v>
      </c>
      <c r="L263" s="17"/>
      <c r="M263" s="17"/>
      <c r="N263" s="28"/>
      <c r="O263" s="28"/>
      <c r="P263" s="28"/>
      <c r="Q263" s="28"/>
      <c r="R263" s="28"/>
      <c r="S263" s="28"/>
      <c r="T263" s="28"/>
      <c r="U263" s="28"/>
    </row>
    <row r="264" spans="1:21" ht="14.25" x14ac:dyDescent="0.2">
      <c r="A264" s="17"/>
      <c r="B264" s="17"/>
      <c r="C264" s="17"/>
      <c r="D264" s="17"/>
      <c r="E264" s="17"/>
      <c r="F264" s="17"/>
      <c r="G264" s="17"/>
      <c r="H264" s="17"/>
      <c r="I264" s="17"/>
      <c r="J264" s="17"/>
      <c r="K264" s="291" t="s">
        <v>593</v>
      </c>
      <c r="L264" s="17"/>
      <c r="M264" s="17"/>
      <c r="N264" s="28"/>
      <c r="O264" s="28"/>
      <c r="P264" s="28"/>
      <c r="Q264" s="28"/>
      <c r="R264" s="28"/>
      <c r="S264" s="28"/>
      <c r="T264" s="28"/>
      <c r="U264" s="28"/>
    </row>
    <row r="265" spans="1:21" ht="14.25" x14ac:dyDescent="0.2">
      <c r="A265" s="17"/>
      <c r="B265" s="17"/>
      <c r="C265" s="17"/>
      <c r="D265" s="17"/>
      <c r="E265" s="17"/>
      <c r="F265" s="17"/>
      <c r="G265" s="17"/>
      <c r="H265" s="17"/>
      <c r="I265" s="17"/>
      <c r="J265" s="17"/>
      <c r="K265" s="16"/>
      <c r="L265" s="17"/>
      <c r="M265" s="17"/>
      <c r="N265" s="28"/>
      <c r="O265" s="28"/>
      <c r="P265" s="28"/>
      <c r="Q265" s="28"/>
      <c r="R265" s="28"/>
      <c r="S265" s="28"/>
      <c r="T265" s="28"/>
      <c r="U265" s="28"/>
    </row>
    <row r="266" spans="1:21" ht="14.25" x14ac:dyDescent="0.2">
      <c r="A266" s="17"/>
      <c r="B266" s="17"/>
      <c r="C266" s="17"/>
      <c r="D266" s="17"/>
      <c r="E266" s="17"/>
      <c r="F266" s="17"/>
      <c r="G266" s="17"/>
      <c r="H266" s="17"/>
      <c r="I266" s="17"/>
      <c r="J266" s="17"/>
      <c r="K266" s="573">
        <v>35000</v>
      </c>
      <c r="L266" s="17"/>
      <c r="M266" s="17"/>
      <c r="N266" s="28"/>
      <c r="O266" s="28"/>
      <c r="P266" s="28"/>
      <c r="Q266" s="28"/>
      <c r="R266" s="28"/>
      <c r="S266" s="28"/>
      <c r="T266" s="28"/>
      <c r="U266" s="28"/>
    </row>
    <row r="267" spans="1:21" ht="14.25" x14ac:dyDescent="0.2">
      <c r="A267" s="17"/>
      <c r="B267" s="17"/>
      <c r="C267" s="17"/>
      <c r="D267" s="17"/>
      <c r="E267" s="17"/>
      <c r="F267" s="17"/>
      <c r="G267" s="17"/>
      <c r="H267" s="17"/>
      <c r="I267" s="17"/>
      <c r="J267" s="17"/>
      <c r="K267" s="573"/>
      <c r="L267" s="17"/>
      <c r="M267" s="17"/>
      <c r="N267" s="28"/>
      <c r="O267" s="28"/>
      <c r="P267" s="28"/>
      <c r="Q267" s="28"/>
      <c r="R267" s="28"/>
      <c r="S267" s="28"/>
      <c r="T267" s="28"/>
      <c r="U267" s="28"/>
    </row>
    <row r="268" spans="1:21" ht="14.25" x14ac:dyDescent="0.2">
      <c r="A268" s="17"/>
      <c r="B268" s="17"/>
      <c r="C268" s="17"/>
      <c r="D268" s="17"/>
      <c r="E268" s="17"/>
      <c r="F268" s="17"/>
      <c r="G268" s="17"/>
      <c r="H268" s="17"/>
      <c r="I268" s="17"/>
      <c r="J268" s="17"/>
      <c r="K268" s="573"/>
      <c r="L268" s="17"/>
      <c r="M268" s="17"/>
      <c r="N268" s="28"/>
      <c r="O268" s="28"/>
      <c r="P268" s="28"/>
      <c r="Q268" s="28"/>
      <c r="R268" s="28"/>
      <c r="S268" s="28"/>
      <c r="T268" s="28"/>
      <c r="U268" s="28"/>
    </row>
    <row r="269" spans="1:21" ht="14.25" x14ac:dyDescent="0.2">
      <c r="A269" s="17"/>
      <c r="B269" s="17"/>
      <c r="C269" s="17"/>
      <c r="D269" s="17"/>
      <c r="E269" s="17"/>
      <c r="F269" s="17"/>
      <c r="G269" s="17"/>
      <c r="H269" s="17"/>
      <c r="I269" s="17"/>
      <c r="J269" s="17"/>
      <c r="K269" s="573">
        <v>28100</v>
      </c>
      <c r="L269" s="17"/>
      <c r="M269" s="17"/>
      <c r="N269" s="28"/>
      <c r="O269" s="28"/>
      <c r="P269" s="28"/>
      <c r="Q269" s="28"/>
      <c r="R269" s="28"/>
      <c r="S269" s="28"/>
      <c r="T269" s="28"/>
      <c r="U269" s="28"/>
    </row>
    <row r="270" spans="1:21" ht="14.25" x14ac:dyDescent="0.2">
      <c r="A270" s="17"/>
      <c r="B270" s="17"/>
      <c r="C270" s="17"/>
      <c r="D270" s="17"/>
      <c r="E270" s="17"/>
      <c r="F270" s="17"/>
      <c r="G270" s="17"/>
      <c r="H270" s="17"/>
      <c r="I270" s="17"/>
      <c r="J270" s="17"/>
      <c r="K270" s="16"/>
      <c r="L270" s="17"/>
      <c r="M270" s="17"/>
      <c r="N270" s="28"/>
      <c r="O270" s="28"/>
      <c r="P270" s="28"/>
      <c r="Q270" s="28"/>
      <c r="R270" s="28"/>
      <c r="S270" s="28"/>
      <c r="T270" s="28"/>
      <c r="U270" s="28"/>
    </row>
    <row r="271" spans="1:21" ht="14.25" x14ac:dyDescent="0.2">
      <c r="A271" s="17"/>
      <c r="B271" s="17"/>
      <c r="C271" s="17"/>
      <c r="D271" s="17"/>
      <c r="E271" s="17"/>
      <c r="F271" s="17"/>
      <c r="G271" s="17"/>
      <c r="H271" s="17"/>
      <c r="I271" s="17"/>
      <c r="J271" s="17"/>
      <c r="K271" s="574">
        <f>SUM(K266:K269)</f>
        <v>63100</v>
      </c>
      <c r="L271" s="280"/>
      <c r="M271" s="280"/>
      <c r="N271" s="28"/>
      <c r="O271" s="28"/>
      <c r="P271" s="28"/>
      <c r="Q271" s="28"/>
      <c r="R271" s="28"/>
      <c r="S271" s="28"/>
      <c r="T271" s="28"/>
      <c r="U271" s="28"/>
    </row>
    <row r="272" spans="1:21" ht="14.25" x14ac:dyDescent="0.2">
      <c r="A272" s="17"/>
      <c r="B272" s="17"/>
      <c r="C272" s="17"/>
      <c r="D272" s="17"/>
      <c r="E272" s="17"/>
      <c r="F272" s="17"/>
      <c r="G272" s="17"/>
      <c r="H272" s="17"/>
      <c r="I272" s="17"/>
      <c r="J272" s="17"/>
      <c r="K272" s="291"/>
      <c r="L272" s="280"/>
      <c r="M272" s="280"/>
      <c r="N272" s="28"/>
      <c r="O272" s="28"/>
      <c r="P272" s="28"/>
      <c r="Q272" s="28"/>
      <c r="R272" s="28"/>
      <c r="S272" s="28"/>
      <c r="T272" s="28"/>
      <c r="U272" s="28"/>
    </row>
    <row r="273" spans="1:21" ht="14.25" x14ac:dyDescent="0.2">
      <c r="A273" s="17"/>
      <c r="B273" s="17"/>
      <c r="C273" s="17"/>
      <c r="D273" s="17"/>
      <c r="E273" s="17"/>
      <c r="F273" s="17"/>
      <c r="G273" s="17"/>
      <c r="H273" s="17"/>
      <c r="I273" s="17"/>
      <c r="J273" s="17"/>
      <c r="K273" s="291"/>
      <c r="L273" s="280"/>
      <c r="M273" s="280"/>
      <c r="N273" s="28"/>
      <c r="O273" s="28"/>
      <c r="P273" s="28"/>
      <c r="Q273" s="28"/>
      <c r="R273" s="28"/>
      <c r="S273" s="28"/>
      <c r="T273" s="28"/>
      <c r="U273" s="28"/>
    </row>
    <row r="274" spans="1:21" ht="14.25" x14ac:dyDescent="0.2">
      <c r="A274" s="17"/>
      <c r="B274" s="17"/>
      <c r="C274" s="17"/>
      <c r="D274" s="17"/>
      <c r="E274" s="17"/>
      <c r="F274" s="17"/>
      <c r="G274" s="17"/>
      <c r="H274" s="17"/>
      <c r="I274" s="17"/>
      <c r="J274" s="17"/>
      <c r="K274" s="573">
        <v>1913015</v>
      </c>
      <c r="L274" s="17"/>
      <c r="M274" s="17"/>
      <c r="N274" s="28"/>
      <c r="O274" s="28"/>
      <c r="P274" s="28"/>
      <c r="Q274" s="28"/>
      <c r="R274" s="28"/>
      <c r="S274" s="28"/>
      <c r="T274" s="28"/>
      <c r="U274" s="28"/>
    </row>
    <row r="275" spans="1:21" ht="14.25" x14ac:dyDescent="0.2">
      <c r="A275" s="17"/>
      <c r="B275" s="17"/>
      <c r="C275" s="17"/>
      <c r="D275" s="17"/>
      <c r="E275" s="17"/>
      <c r="F275" s="17"/>
      <c r="G275" s="17"/>
      <c r="H275" s="17"/>
      <c r="I275" s="17"/>
      <c r="J275" s="17"/>
      <c r="K275" s="573"/>
      <c r="L275" s="17"/>
      <c r="M275" s="17"/>
      <c r="N275" s="28"/>
      <c r="O275" s="28"/>
      <c r="P275" s="28"/>
      <c r="Q275" s="28"/>
      <c r="R275" s="28"/>
      <c r="S275" s="28"/>
      <c r="T275" s="28"/>
      <c r="U275" s="28"/>
    </row>
    <row r="276" spans="1:21" ht="14.25" x14ac:dyDescent="0.2">
      <c r="A276" s="17"/>
      <c r="B276" s="17"/>
      <c r="C276" s="17"/>
      <c r="D276" s="17"/>
      <c r="E276" s="17"/>
      <c r="F276" s="17"/>
      <c r="G276" s="17"/>
      <c r="H276" s="17"/>
      <c r="I276" s="17"/>
      <c r="J276" s="17"/>
      <c r="K276" s="573">
        <v>2399835</v>
      </c>
      <c r="L276" s="17"/>
      <c r="M276" s="17"/>
      <c r="N276" s="28"/>
      <c r="O276" s="28"/>
      <c r="P276" s="28"/>
      <c r="Q276" s="28"/>
      <c r="R276" s="28"/>
      <c r="S276" s="28"/>
      <c r="T276" s="28"/>
      <c r="U276" s="28"/>
    </row>
    <row r="277" spans="1:21" ht="20.65" customHeight="1" x14ac:dyDescent="0.2">
      <c r="A277" s="17"/>
      <c r="B277" s="17"/>
      <c r="C277" s="17"/>
      <c r="D277" s="17"/>
      <c r="E277" s="17"/>
      <c r="F277" s="17"/>
      <c r="G277" s="17"/>
      <c r="H277" s="17"/>
      <c r="I277" s="17"/>
      <c r="J277" s="17"/>
      <c r="K277" s="16"/>
      <c r="L277" s="17"/>
      <c r="M277" s="17"/>
      <c r="N277" s="28"/>
      <c r="O277" s="28"/>
      <c r="P277" s="28"/>
      <c r="Q277" s="28"/>
      <c r="R277" s="28"/>
      <c r="S277" s="28"/>
      <c r="T277" s="28"/>
      <c r="U277" s="28"/>
    </row>
    <row r="278" spans="1:21" ht="14.25" x14ac:dyDescent="0.2">
      <c r="A278" s="17"/>
      <c r="B278" s="17"/>
      <c r="C278" s="17"/>
      <c r="D278" s="17"/>
      <c r="E278" s="17"/>
      <c r="F278" s="17"/>
      <c r="G278" s="17"/>
      <c r="H278" s="17"/>
      <c r="I278" s="17"/>
      <c r="J278" s="17"/>
      <c r="K278" s="574">
        <f>SUM(K274:K276)</f>
        <v>4312850</v>
      </c>
      <c r="L278" s="280"/>
      <c r="M278" s="280"/>
      <c r="N278" s="28"/>
      <c r="O278" s="28"/>
      <c r="P278" s="28"/>
      <c r="Q278" s="28"/>
      <c r="R278" s="28"/>
      <c r="S278" s="28"/>
      <c r="T278" s="28"/>
      <c r="U278" s="28"/>
    </row>
    <row r="279" spans="1:21" ht="14.25" x14ac:dyDescent="0.2">
      <c r="A279" s="17"/>
      <c r="B279" s="17"/>
      <c r="C279" s="17"/>
      <c r="D279" s="17"/>
      <c r="E279" s="17"/>
      <c r="F279" s="17"/>
      <c r="G279" s="17"/>
      <c r="H279" s="17"/>
      <c r="I279" s="17"/>
      <c r="J279" s="17"/>
      <c r="K279" s="291"/>
      <c r="L279" s="280"/>
      <c r="M279" s="280"/>
      <c r="N279" s="28"/>
      <c r="O279" s="28"/>
      <c r="P279" s="28"/>
      <c r="Q279" s="28"/>
      <c r="R279" s="28"/>
      <c r="S279" s="28"/>
      <c r="T279" s="28"/>
      <c r="U279" s="28"/>
    </row>
    <row r="280" spans="1:21" ht="14.25" x14ac:dyDescent="0.2">
      <c r="A280" s="17"/>
      <c r="B280" s="17"/>
      <c r="C280" s="17"/>
      <c r="D280" s="17"/>
      <c r="E280" s="17"/>
      <c r="F280" s="17"/>
      <c r="G280" s="17"/>
      <c r="H280" s="17"/>
      <c r="I280" s="17"/>
      <c r="J280" s="17"/>
      <c r="K280" s="291">
        <f>SUM(K278,K271)</f>
        <v>4375950</v>
      </c>
      <c r="L280" s="280"/>
      <c r="M280" s="280"/>
      <c r="N280" s="28"/>
      <c r="O280" s="28"/>
      <c r="P280" s="28"/>
      <c r="Q280" s="28"/>
      <c r="R280" s="28"/>
      <c r="S280" s="28"/>
      <c r="T280" s="28"/>
      <c r="U280" s="28"/>
    </row>
    <row r="281" spans="1:21" ht="14.25" x14ac:dyDescent="0.2">
      <c r="A281" s="17"/>
      <c r="B281" s="17"/>
      <c r="C281" s="17"/>
      <c r="D281" s="17"/>
      <c r="E281" s="17"/>
      <c r="F281" s="17"/>
      <c r="G281" s="17"/>
      <c r="H281" s="17"/>
      <c r="I281" s="17"/>
      <c r="J281" s="17"/>
      <c r="K281" s="291"/>
      <c r="L281" s="280"/>
      <c r="M281" s="280"/>
      <c r="N281" s="28"/>
      <c r="O281" s="28"/>
      <c r="P281" s="28"/>
      <c r="Q281" s="28"/>
      <c r="R281" s="28"/>
      <c r="S281" s="28"/>
      <c r="T281" s="28"/>
      <c r="U281" s="28"/>
    </row>
    <row r="282" spans="1:21" ht="14.25" x14ac:dyDescent="0.2">
      <c r="A282" s="17"/>
      <c r="B282" s="17"/>
      <c r="C282" s="17"/>
      <c r="D282" s="17"/>
      <c r="E282" s="17"/>
      <c r="F282" s="17"/>
      <c r="G282" s="17"/>
      <c r="H282" s="17"/>
      <c r="I282" s="17"/>
      <c r="J282" s="17"/>
      <c r="K282" s="573">
        <v>644398</v>
      </c>
      <c r="L282" s="17"/>
      <c r="M282" s="17"/>
      <c r="N282" s="28"/>
      <c r="O282" s="28"/>
      <c r="P282" s="28"/>
      <c r="Q282" s="28"/>
      <c r="R282" s="28"/>
      <c r="S282" s="28"/>
      <c r="T282" s="28"/>
      <c r="U282" s="28"/>
    </row>
    <row r="283" spans="1:21" ht="14.25" x14ac:dyDescent="0.2">
      <c r="A283" s="17"/>
      <c r="B283" s="17"/>
      <c r="C283" s="17"/>
      <c r="D283" s="17"/>
      <c r="E283" s="17"/>
      <c r="F283" s="17"/>
      <c r="G283" s="17"/>
      <c r="H283" s="17"/>
      <c r="I283" s="17"/>
      <c r="J283" s="17"/>
      <c r="K283" s="16"/>
      <c r="L283" s="17"/>
      <c r="M283" s="17"/>
      <c r="N283" s="28"/>
      <c r="O283" s="28"/>
      <c r="P283" s="28"/>
      <c r="Q283" s="28"/>
      <c r="R283" s="28"/>
      <c r="S283" s="28"/>
      <c r="T283" s="28"/>
      <c r="U283" s="28"/>
    </row>
    <row r="284" spans="1:21" ht="14.25" x14ac:dyDescent="0.2">
      <c r="A284" s="17"/>
      <c r="B284" s="17"/>
      <c r="C284" s="17"/>
      <c r="D284" s="17"/>
      <c r="E284" s="17"/>
      <c r="F284" s="17"/>
      <c r="G284" s="17"/>
      <c r="H284" s="17"/>
      <c r="I284" s="17"/>
      <c r="J284" s="17"/>
      <c r="K284" s="575">
        <f>K280-K282</f>
        <v>3731552</v>
      </c>
      <c r="L284" s="17"/>
      <c r="M284" s="17"/>
      <c r="N284" s="28"/>
      <c r="O284" s="28"/>
      <c r="P284" s="28"/>
      <c r="Q284" s="28"/>
      <c r="R284" s="28"/>
      <c r="S284" s="28"/>
      <c r="T284" s="28"/>
      <c r="U284" s="28"/>
    </row>
    <row r="285" spans="1:21" ht="14.25" x14ac:dyDescent="0.2">
      <c r="A285" s="17"/>
      <c r="B285" s="17"/>
      <c r="C285" s="17"/>
      <c r="D285" s="17"/>
      <c r="E285" s="17"/>
      <c r="F285" s="17"/>
      <c r="G285" s="17"/>
      <c r="H285" s="17"/>
      <c r="I285" s="17"/>
      <c r="J285" s="17"/>
      <c r="K285" s="16"/>
      <c r="L285" s="17"/>
      <c r="M285" s="17"/>
    </row>
    <row r="286" spans="1:21" ht="14.25" x14ac:dyDescent="0.2">
      <c r="A286" s="17"/>
      <c r="B286" s="17"/>
      <c r="C286" s="17"/>
      <c r="D286" s="17"/>
      <c r="E286" s="17"/>
      <c r="F286" s="17"/>
      <c r="G286" s="17"/>
      <c r="H286" s="17"/>
      <c r="I286" s="17"/>
      <c r="J286" s="17"/>
      <c r="K286" s="16"/>
      <c r="L286" s="17"/>
      <c r="M286" s="17"/>
    </row>
    <row r="287" spans="1:21" ht="14.25" x14ac:dyDescent="0.2">
      <c r="A287" s="17"/>
      <c r="B287" s="17"/>
      <c r="C287" s="17"/>
      <c r="D287" s="17"/>
      <c r="E287" s="17"/>
      <c r="F287" s="17"/>
      <c r="G287" s="17"/>
      <c r="H287" s="17"/>
      <c r="I287" s="17"/>
      <c r="J287" s="17"/>
      <c r="K287" s="16"/>
      <c r="L287" s="17"/>
      <c r="M287" s="17"/>
    </row>
    <row r="288" spans="1:21" ht="14.25" x14ac:dyDescent="0.2">
      <c r="A288" s="17"/>
      <c r="B288" s="17"/>
      <c r="C288" s="17"/>
      <c r="D288" s="17"/>
      <c r="E288" s="17"/>
      <c r="F288" s="17"/>
      <c r="G288" s="17"/>
      <c r="H288" s="17"/>
      <c r="I288" s="17"/>
      <c r="J288" s="17"/>
      <c r="K288" s="16"/>
      <c r="L288" s="17"/>
      <c r="M288" s="17"/>
    </row>
    <row r="289" spans="1:13" ht="14.25" x14ac:dyDescent="0.2">
      <c r="A289" s="17"/>
      <c r="B289" s="17"/>
      <c r="C289" s="17"/>
      <c r="D289" s="17"/>
      <c r="E289" s="17"/>
      <c r="F289" s="17"/>
      <c r="G289" s="17"/>
      <c r="H289" s="17"/>
      <c r="I289" s="17"/>
      <c r="J289" s="17"/>
      <c r="K289" s="16"/>
      <c r="L289" s="17"/>
      <c r="M289" s="17"/>
    </row>
    <row r="290" spans="1:13" ht="14.25" x14ac:dyDescent="0.2">
      <c r="A290" s="17"/>
      <c r="B290" s="17"/>
      <c r="C290" s="17"/>
      <c r="D290" s="17"/>
      <c r="E290" s="17"/>
      <c r="F290" s="17"/>
      <c r="G290" s="17"/>
      <c r="H290" s="17"/>
      <c r="I290" s="17"/>
      <c r="J290" s="17"/>
      <c r="K290" s="16"/>
      <c r="L290" s="17"/>
      <c r="M290" s="17"/>
    </row>
    <row r="291" spans="1:13" ht="14.25" x14ac:dyDescent="0.2">
      <c r="A291" s="17"/>
      <c r="B291" s="17"/>
      <c r="C291" s="17"/>
      <c r="D291" s="17"/>
      <c r="E291" s="17"/>
      <c r="F291" s="17"/>
      <c r="G291" s="17"/>
      <c r="H291" s="17"/>
      <c r="I291" s="17"/>
      <c r="J291" s="17"/>
      <c r="K291" s="16"/>
      <c r="L291" s="17"/>
      <c r="M291" s="17"/>
    </row>
    <row r="292" spans="1:13" ht="14.25" x14ac:dyDescent="0.2">
      <c r="A292" s="17"/>
      <c r="B292" s="17"/>
      <c r="C292" s="17"/>
      <c r="D292" s="17"/>
      <c r="E292" s="17"/>
      <c r="F292" s="17"/>
      <c r="G292" s="17"/>
      <c r="H292" s="17"/>
      <c r="I292" s="17"/>
      <c r="J292" s="17"/>
      <c r="K292" s="16"/>
      <c r="L292" s="17"/>
      <c r="M292" s="17"/>
    </row>
    <row r="293" spans="1:13" ht="14.25" x14ac:dyDescent="0.2">
      <c r="A293" s="17"/>
      <c r="B293" s="17"/>
      <c r="C293" s="17"/>
      <c r="D293" s="17"/>
      <c r="E293" s="17"/>
      <c r="F293" s="17"/>
      <c r="G293" s="17"/>
      <c r="H293" s="17"/>
      <c r="I293" s="17"/>
      <c r="J293" s="17"/>
      <c r="K293" s="16"/>
      <c r="L293" s="17"/>
      <c r="M293" s="17"/>
    </row>
    <row r="294" spans="1:13" ht="14.25" x14ac:dyDescent="0.2">
      <c r="A294" s="17"/>
      <c r="B294" s="17"/>
      <c r="C294" s="17"/>
      <c r="D294" s="17"/>
      <c r="E294" s="17"/>
      <c r="F294" s="17"/>
      <c r="G294" s="17"/>
      <c r="H294" s="17"/>
      <c r="I294" s="17"/>
      <c r="J294" s="17"/>
      <c r="K294" s="16"/>
      <c r="L294" s="17"/>
      <c r="M294" s="17"/>
    </row>
    <row r="295" spans="1:13" ht="14.25" x14ac:dyDescent="0.2">
      <c r="A295" s="17"/>
      <c r="B295" s="17"/>
      <c r="C295" s="17"/>
      <c r="D295" s="17"/>
      <c r="E295" s="17"/>
      <c r="F295" s="17"/>
      <c r="G295" s="17"/>
      <c r="H295" s="17"/>
      <c r="I295" s="17"/>
      <c r="J295" s="17"/>
      <c r="K295" s="16"/>
      <c r="L295" s="17"/>
      <c r="M295" s="17"/>
    </row>
    <row r="296" spans="1:13" ht="14.25" x14ac:dyDescent="0.2">
      <c r="A296" s="17"/>
      <c r="B296" s="17"/>
      <c r="C296" s="17"/>
      <c r="D296" s="17"/>
      <c r="E296" s="17"/>
      <c r="F296" s="17"/>
      <c r="G296" s="17"/>
      <c r="H296" s="17"/>
      <c r="I296" s="17"/>
      <c r="J296" s="17"/>
      <c r="K296" s="16"/>
      <c r="L296" s="17"/>
      <c r="M296" s="17"/>
    </row>
    <row r="297" spans="1:13" ht="14.25" x14ac:dyDescent="0.2">
      <c r="A297" s="17"/>
      <c r="B297" s="17"/>
      <c r="C297" s="17"/>
      <c r="D297" s="17"/>
      <c r="E297" s="17"/>
      <c r="F297" s="17"/>
      <c r="G297" s="17"/>
      <c r="H297" s="17"/>
      <c r="I297" s="17"/>
      <c r="J297" s="17"/>
      <c r="K297" s="16"/>
      <c r="L297" s="17"/>
      <c r="M297" s="17"/>
    </row>
    <row r="298" spans="1:13" ht="14.25" x14ac:dyDescent="0.2">
      <c r="A298" s="17"/>
      <c r="B298" s="17"/>
      <c r="C298" s="17"/>
      <c r="D298" s="17"/>
      <c r="E298" s="17"/>
      <c r="F298" s="17"/>
      <c r="G298" s="17"/>
      <c r="H298" s="17"/>
      <c r="I298" s="17"/>
      <c r="J298" s="17"/>
      <c r="K298" s="16"/>
      <c r="L298" s="17"/>
      <c r="M298" s="17"/>
    </row>
  </sheetData>
  <hyperlinks>
    <hyperlink ref="F131" r:id="rId1" display="https://www.budget.nsw.gov.au/sites/default/files/budget-2018-06/Budget_Paper_2-Infrastructure Statement-Budget_201819.pdf"/>
    <hyperlink ref="F65" r:id="rId2"/>
    <hyperlink ref="M65" r:id="rId3"/>
    <hyperlink ref="F84" r:id="rId4"/>
    <hyperlink ref="E53" r:id="rId5" display="https://quickstats.censusdata.abs.gov.au/census_services/getproduct/census/2016/quickstat/1?opendocument"/>
    <hyperlink ref="E54" r:id="rId6"/>
    <hyperlink ref="E92" r:id="rId7"/>
  </hyperlinks>
  <pageMargins left="0.7" right="0.7" top="0.75" bottom="0.75" header="0.3" footer="0.3"/>
  <pageSetup paperSize="9" orientation="portrait"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7"/>
  <sheetViews>
    <sheetView showGridLines="0" zoomScale="75" zoomScaleNormal="75" workbookViewId="0"/>
  </sheetViews>
  <sheetFormatPr defaultColWidth="9" defaultRowHeight="12" x14ac:dyDescent="0.2"/>
  <cols>
    <col min="1" max="1" width="14.42578125" style="755" customWidth="1"/>
    <col min="2" max="2" width="39.42578125" style="679" customWidth="1"/>
    <col min="3" max="5" width="14.42578125" style="679" customWidth="1"/>
    <col min="6" max="10" width="14.42578125" style="528" customWidth="1"/>
    <col min="11" max="11" width="19.5703125" style="679" customWidth="1"/>
    <col min="12" max="16" width="9" style="679"/>
    <col min="17" max="17" width="11.7109375" style="679" customWidth="1"/>
    <col min="18" max="18" width="9" style="679"/>
    <col min="19" max="19" width="9" style="720"/>
    <col min="20" max="32" width="9" style="28"/>
    <col min="33" max="16384" width="9" style="679"/>
  </cols>
  <sheetData>
    <row r="1" spans="1:32" ht="18.600000000000001" customHeight="1" x14ac:dyDescent="0.2">
      <c r="A1" s="28"/>
      <c r="B1" s="28"/>
      <c r="C1" s="28"/>
      <c r="F1" s="679"/>
      <c r="G1" s="679"/>
      <c r="H1" s="679"/>
      <c r="I1" s="679"/>
      <c r="J1" s="679"/>
      <c r="S1" s="679"/>
      <c r="T1" s="679"/>
      <c r="U1" s="679"/>
      <c r="V1" s="679"/>
      <c r="W1" s="679"/>
      <c r="X1" s="679"/>
      <c r="Y1" s="679"/>
      <c r="Z1" s="679"/>
      <c r="AA1" s="679"/>
      <c r="AB1" s="679"/>
      <c r="AC1" s="679"/>
      <c r="AD1" s="679"/>
      <c r="AE1" s="679"/>
      <c r="AF1" s="679"/>
    </row>
    <row r="2" spans="1:32" ht="18.600000000000001" customHeight="1" x14ac:dyDescent="0.2">
      <c r="A2" s="28"/>
      <c r="B2" s="28"/>
      <c r="C2" s="28"/>
      <c r="F2" s="679"/>
      <c r="G2" s="679"/>
      <c r="H2" s="679"/>
      <c r="I2" s="679"/>
      <c r="J2" s="679"/>
      <c r="S2" s="679"/>
      <c r="T2" s="679"/>
      <c r="U2" s="679"/>
      <c r="V2" s="679"/>
      <c r="W2" s="679"/>
      <c r="X2" s="679"/>
      <c r="Y2" s="679"/>
      <c r="Z2" s="679"/>
      <c r="AA2" s="679"/>
      <c r="AB2" s="679"/>
      <c r="AC2" s="679"/>
      <c r="AD2" s="679"/>
      <c r="AE2" s="679"/>
      <c r="AF2" s="679"/>
    </row>
    <row r="3" spans="1:32" ht="18.600000000000001" customHeight="1" x14ac:dyDescent="0.2">
      <c r="A3" s="28"/>
      <c r="B3" s="28"/>
      <c r="C3" s="28"/>
      <c r="K3" s="75" t="s">
        <v>409</v>
      </c>
      <c r="L3" s="76"/>
      <c r="M3" s="76"/>
      <c r="N3" s="76"/>
      <c r="O3" s="76"/>
      <c r="P3" s="76"/>
      <c r="Q3" s="76"/>
      <c r="R3" s="76"/>
      <c r="S3" s="76"/>
      <c r="T3" s="76"/>
      <c r="U3" s="76"/>
      <c r="V3" s="76"/>
      <c r="W3" s="76"/>
      <c r="X3" s="76"/>
      <c r="Y3" s="76"/>
      <c r="Z3" s="679"/>
      <c r="AA3" s="679"/>
      <c r="AB3" s="679"/>
      <c r="AC3" s="679"/>
      <c r="AD3" s="679"/>
      <c r="AE3" s="679"/>
      <c r="AF3" s="679"/>
    </row>
    <row r="4" spans="1:32" ht="18.600000000000001" customHeight="1" x14ac:dyDescent="0.2">
      <c r="A4" s="28"/>
      <c r="B4" s="28"/>
      <c r="C4" s="28"/>
      <c r="K4" s="76"/>
      <c r="L4" s="76"/>
      <c r="M4" s="76"/>
      <c r="N4" s="76"/>
      <c r="O4" s="76"/>
      <c r="P4" s="76"/>
      <c r="Q4" s="76"/>
      <c r="R4" s="76"/>
      <c r="S4" s="76"/>
      <c r="T4" s="76"/>
      <c r="U4" s="76"/>
      <c r="V4" s="76"/>
      <c r="W4" s="76"/>
      <c r="X4" s="76"/>
      <c r="Y4" s="76"/>
      <c r="Z4" s="679"/>
      <c r="AA4" s="679"/>
      <c r="AB4" s="679"/>
      <c r="AC4" s="679"/>
      <c r="AD4" s="679"/>
      <c r="AE4" s="679"/>
      <c r="AF4" s="679"/>
    </row>
    <row r="5" spans="1:32" ht="18.600000000000001" customHeight="1" x14ac:dyDescent="0.2">
      <c r="A5" s="28"/>
      <c r="B5" s="28"/>
      <c r="C5" s="28"/>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c r="Y5" s="449"/>
      <c r="Z5" s="679"/>
      <c r="AA5" s="679"/>
      <c r="AB5" s="679"/>
      <c r="AC5" s="679"/>
      <c r="AD5" s="679"/>
      <c r="AE5" s="679"/>
      <c r="AF5" s="679"/>
    </row>
    <row r="6" spans="1:32" ht="18.600000000000001" customHeight="1" x14ac:dyDescent="0.2">
      <c r="A6" s="28"/>
      <c r="B6" s="28"/>
      <c r="C6" s="28"/>
      <c r="K6" s="274" t="str">
        <f>'Contents, list of sources'!G475</f>
        <v>NSW Government</v>
      </c>
      <c r="L6" s="274"/>
      <c r="M6" s="274" t="str">
        <f>'Contents, list of sources'!I475</f>
        <v>Adult fares</v>
      </c>
      <c r="N6" s="274"/>
      <c r="O6" s="274"/>
      <c r="P6" s="274"/>
      <c r="Q6" s="275">
        <f>'Contents, list of sources'!M475</f>
        <v>43586</v>
      </c>
      <c r="R6" s="274"/>
      <c r="S6" s="274" t="str">
        <f>'Contents, list of sources'!O475</f>
        <v>https://transportnsw.info/tickets-Opal/Opal/fares-payments/adult-fares</v>
      </c>
      <c r="T6" s="274"/>
      <c r="U6" s="274"/>
      <c r="V6" s="274"/>
      <c r="W6" s="274"/>
      <c r="X6" s="274"/>
      <c r="Y6" s="274"/>
      <c r="Z6" s="679"/>
      <c r="AA6" s="679"/>
      <c r="AB6" s="679"/>
      <c r="AC6" s="679"/>
      <c r="AD6" s="679"/>
      <c r="AE6" s="679"/>
      <c r="AF6" s="679"/>
    </row>
    <row r="7" spans="1:32" ht="18.600000000000001" customHeight="1" x14ac:dyDescent="0.2">
      <c r="A7" s="28"/>
      <c r="B7" s="28"/>
      <c r="C7" s="28"/>
      <c r="E7" s="1182"/>
      <c r="F7" s="1182"/>
      <c r="G7" s="1182"/>
      <c r="H7" s="1182"/>
      <c r="I7" s="1182"/>
      <c r="J7" s="1182"/>
      <c r="K7" s="1183"/>
      <c r="L7" s="1182"/>
      <c r="M7" s="1182"/>
      <c r="N7" s="1182"/>
      <c r="O7" s="1182"/>
      <c r="P7" s="1182"/>
      <c r="Q7" s="1182"/>
      <c r="R7" s="1184"/>
      <c r="S7" s="1182"/>
      <c r="X7" s="679"/>
      <c r="Y7" s="679"/>
      <c r="Z7" s="679"/>
      <c r="AA7" s="679"/>
      <c r="AB7" s="679"/>
      <c r="AC7" s="679"/>
      <c r="AD7" s="679"/>
      <c r="AE7" s="679"/>
      <c r="AF7" s="679"/>
    </row>
    <row r="8" spans="1:32" ht="18.600000000000001" customHeight="1" x14ac:dyDescent="0.2">
      <c r="A8" s="679"/>
      <c r="E8" s="1182"/>
      <c r="F8" s="1182"/>
      <c r="G8" s="1182"/>
      <c r="H8" s="1182"/>
      <c r="I8" s="1182"/>
      <c r="J8" s="1182"/>
      <c r="K8" s="1183"/>
      <c r="L8" s="1182"/>
      <c r="M8" s="1182"/>
      <c r="N8" s="1182"/>
      <c r="O8" s="1182"/>
      <c r="P8" s="1182"/>
      <c r="Q8" s="1182"/>
      <c r="R8" s="1184"/>
      <c r="S8" s="1182"/>
      <c r="T8" s="1028"/>
      <c r="X8" s="679"/>
      <c r="Y8" s="679"/>
      <c r="Z8" s="679"/>
      <c r="AA8" s="679"/>
      <c r="AB8" s="679"/>
      <c r="AC8" s="679"/>
      <c r="AD8" s="679"/>
      <c r="AE8" s="679"/>
      <c r="AF8" s="679"/>
    </row>
    <row r="9" spans="1:32" ht="18.600000000000001" customHeight="1" x14ac:dyDescent="0.2">
      <c r="A9" s="679"/>
      <c r="E9" s="1182"/>
      <c r="F9" s="1182"/>
      <c r="G9" s="1182"/>
      <c r="H9" s="1182"/>
      <c r="I9" s="1182"/>
      <c r="J9" s="1182"/>
      <c r="K9" s="1183"/>
      <c r="L9" s="1182"/>
      <c r="M9" s="1182"/>
      <c r="N9" s="1182"/>
      <c r="O9" s="1182"/>
      <c r="P9" s="1182"/>
      <c r="Q9" s="1182"/>
      <c r="R9" s="1184"/>
      <c r="S9" s="1182"/>
      <c r="X9" s="679"/>
      <c r="Y9" s="679"/>
      <c r="Z9" s="679"/>
      <c r="AA9" s="679"/>
      <c r="AB9" s="679"/>
      <c r="AC9" s="679"/>
      <c r="AD9" s="679"/>
      <c r="AE9" s="679"/>
      <c r="AF9" s="679"/>
    </row>
    <row r="10" spans="1:32" ht="18.600000000000001" customHeight="1" x14ac:dyDescent="0.2">
      <c r="A10" s="679"/>
      <c r="E10" s="1182"/>
      <c r="F10" s="1182"/>
      <c r="G10" s="1182"/>
      <c r="H10" s="1182"/>
      <c r="I10" s="1182"/>
      <c r="J10" s="1182"/>
      <c r="K10" s="1183"/>
      <c r="L10" s="1182"/>
      <c r="M10" s="1182"/>
      <c r="N10" s="1182"/>
      <c r="O10" s="1182"/>
      <c r="P10" s="1182"/>
      <c r="Q10" s="1182"/>
      <c r="R10" s="1184"/>
      <c r="S10" s="1182"/>
      <c r="X10" s="679"/>
      <c r="Y10" s="679"/>
      <c r="Z10" s="679"/>
      <c r="AA10" s="679"/>
      <c r="AB10" s="679"/>
      <c r="AC10" s="679"/>
      <c r="AD10" s="679"/>
      <c r="AE10" s="679"/>
      <c r="AF10" s="679"/>
    </row>
    <row r="11" spans="1:32" s="270" customFormat="1" ht="18.600000000000001" customHeight="1" x14ac:dyDescent="0.3">
      <c r="B11" s="373" t="s">
        <v>779</v>
      </c>
      <c r="E11" s="1182"/>
      <c r="F11" s="1182"/>
      <c r="G11" s="1182"/>
      <c r="H11" s="1182"/>
      <c r="I11" s="1182"/>
      <c r="J11" s="1182"/>
      <c r="K11" s="1183"/>
      <c r="L11" s="1182"/>
      <c r="M11" s="1182"/>
      <c r="N11" s="1182"/>
      <c r="O11" s="1182"/>
      <c r="P11" s="1182"/>
      <c r="Q11" s="1182"/>
      <c r="R11" s="1184"/>
      <c r="S11" s="1182"/>
      <c r="T11" s="369"/>
      <c r="U11" s="28"/>
      <c r="V11" s="28"/>
      <c r="W11" s="271"/>
    </row>
    <row r="12" spans="1:32" s="79" customFormat="1" ht="18.600000000000001" customHeight="1" x14ac:dyDescent="0.2">
      <c r="A12" s="374"/>
    </row>
    <row r="14" spans="1:32" s="28" customFormat="1" x14ac:dyDescent="0.2">
      <c r="A14" s="740"/>
      <c r="F14" s="721"/>
      <c r="G14" s="721"/>
      <c r="H14" s="721"/>
      <c r="I14" s="721"/>
      <c r="J14" s="721"/>
      <c r="K14" s="32"/>
      <c r="L14" s="32"/>
      <c r="M14" s="32"/>
      <c r="N14" s="32"/>
      <c r="O14" s="32"/>
      <c r="P14" s="32"/>
      <c r="Q14" s="32"/>
      <c r="R14" s="32"/>
      <c r="S14" s="319"/>
      <c r="T14" s="32"/>
      <c r="U14" s="32"/>
    </row>
    <row r="15" spans="1:32" s="28" customFormat="1" x14ac:dyDescent="0.2">
      <c r="A15" s="740"/>
      <c r="E15" s="741"/>
      <c r="F15" s="739"/>
      <c r="G15" s="739"/>
      <c r="H15" s="739"/>
      <c r="I15" s="739"/>
      <c r="J15" s="739"/>
      <c r="K15" s="32"/>
      <c r="L15" s="32"/>
      <c r="M15" s="32"/>
      <c r="N15" s="32"/>
      <c r="O15" s="32"/>
      <c r="P15" s="32"/>
      <c r="Q15" s="32"/>
      <c r="R15" s="32"/>
      <c r="S15" s="319"/>
      <c r="T15" s="32"/>
      <c r="U15" s="32"/>
    </row>
    <row r="16" spans="1:32" s="32" customFormat="1" ht="19.899999999999999" customHeight="1" x14ac:dyDescent="0.2">
      <c r="A16" s="742"/>
      <c r="B16" s="788" t="s">
        <v>673</v>
      </c>
      <c r="D16" s="743"/>
      <c r="E16" s="735"/>
      <c r="F16" s="738"/>
      <c r="G16" s="738"/>
      <c r="H16" s="738"/>
      <c r="I16" s="738"/>
      <c r="J16" s="738"/>
      <c r="S16" s="319"/>
    </row>
    <row r="17" spans="1:32" s="32" customFormat="1" ht="33.6" customHeight="1" x14ac:dyDescent="0.2">
      <c r="A17" s="742"/>
      <c r="B17" s="768" t="s">
        <v>697</v>
      </c>
      <c r="C17" s="30"/>
      <c r="D17" s="764"/>
      <c r="E17" s="765"/>
      <c r="F17" s="1185" t="s">
        <v>693</v>
      </c>
      <c r="G17" s="738"/>
      <c r="H17" s="738"/>
      <c r="I17" s="738"/>
      <c r="J17" s="738"/>
      <c r="S17" s="319"/>
    </row>
    <row r="18" spans="1:32" s="730" customFormat="1" ht="43.15" customHeight="1" x14ac:dyDescent="0.2">
      <c r="A18" s="744"/>
      <c r="B18" s="776" t="s">
        <v>696</v>
      </c>
      <c r="C18" s="777"/>
      <c r="D18" s="778"/>
      <c r="E18" s="777"/>
      <c r="F18" s="779"/>
      <c r="G18" s="737"/>
      <c r="H18" s="737"/>
      <c r="S18" s="736"/>
    </row>
    <row r="19" spans="1:32" s="730" customFormat="1" ht="28.15" customHeight="1" x14ac:dyDescent="0.2">
      <c r="A19" s="744"/>
      <c r="B19" s="758" t="s">
        <v>477</v>
      </c>
      <c r="C19" s="379" t="s">
        <v>684</v>
      </c>
      <c r="D19" s="379" t="s">
        <v>683</v>
      </c>
      <c r="E19" s="335" t="s">
        <v>642</v>
      </c>
      <c r="F19" s="772" t="str">
        <f>D19</f>
        <v xml:space="preserve">Maximum fare </v>
      </c>
      <c r="G19" s="727"/>
      <c r="H19" s="727"/>
      <c r="Q19" s="379"/>
      <c r="S19" s="736"/>
    </row>
    <row r="20" spans="1:32" s="32" customFormat="1" ht="13.15" customHeight="1" x14ac:dyDescent="0.2">
      <c r="A20" s="742"/>
      <c r="B20" s="758"/>
      <c r="C20" s="1062">
        <v>2019</v>
      </c>
      <c r="D20" s="1062">
        <v>2024</v>
      </c>
      <c r="E20" s="1063"/>
      <c r="F20" s="1064">
        <f>D20</f>
        <v>2024</v>
      </c>
      <c r="G20" s="726"/>
      <c r="H20" s="726"/>
      <c r="Q20" s="295"/>
      <c r="S20" s="319"/>
    </row>
    <row r="21" spans="1:32" s="32" customFormat="1" ht="19.5" customHeight="1" x14ac:dyDescent="0.2">
      <c r="A21" s="746"/>
      <c r="B21" s="769" t="s">
        <v>692</v>
      </c>
      <c r="C21" s="761">
        <v>3.61</v>
      </c>
      <c r="D21" s="761">
        <v>4.4000000000000004</v>
      </c>
      <c r="E21" s="766">
        <f>(D21-C21)/4</f>
        <v>0.19750000000000012</v>
      </c>
      <c r="F21" s="773">
        <f>D21/110*100</f>
        <v>4</v>
      </c>
      <c r="G21" s="729"/>
      <c r="H21" s="729"/>
      <c r="M21" s="747"/>
      <c r="N21" s="747"/>
      <c r="Q21" s="748"/>
      <c r="S21" s="319"/>
      <c r="T21" s="748"/>
      <c r="U21" s="441"/>
      <c r="V21" s="724"/>
      <c r="W21" s="749"/>
      <c r="X21" s="748"/>
      <c r="Z21" s="724"/>
      <c r="AB21" s="748"/>
      <c r="AD21" s="724"/>
      <c r="AF21" s="748"/>
    </row>
    <row r="22" spans="1:32" s="32" customFormat="1" ht="19.5" customHeight="1" x14ac:dyDescent="0.2">
      <c r="B22" s="769" t="s">
        <v>691</v>
      </c>
      <c r="C22" s="761">
        <v>4.4800000000000004</v>
      </c>
      <c r="D22" s="761">
        <v>5.4</v>
      </c>
      <c r="E22" s="766">
        <f>(D22-C22)/4</f>
        <v>0.22999999999999998</v>
      </c>
      <c r="F22" s="773">
        <f>D22/110*100</f>
        <v>4.9090909090909092</v>
      </c>
      <c r="G22" s="729"/>
      <c r="H22" s="729"/>
      <c r="M22" s="747"/>
      <c r="N22" s="747"/>
      <c r="Q22" s="748"/>
      <c r="S22" s="734"/>
      <c r="T22" s="748"/>
      <c r="U22" s="441"/>
      <c r="V22" s="724"/>
      <c r="W22" s="749"/>
      <c r="X22" s="748"/>
      <c r="Z22" s="724"/>
      <c r="AB22" s="748"/>
      <c r="AD22" s="724"/>
      <c r="AF22" s="748"/>
    </row>
    <row r="23" spans="1:32" s="32" customFormat="1" ht="19.5" customHeight="1" x14ac:dyDescent="0.2">
      <c r="B23" s="769" t="s">
        <v>679</v>
      </c>
      <c r="C23" s="761">
        <v>5.15</v>
      </c>
      <c r="D23" s="761">
        <v>6.3</v>
      </c>
      <c r="E23" s="766">
        <f>(D23-C23)/4</f>
        <v>0.28749999999999987</v>
      </c>
      <c r="F23" s="773">
        <f>D23/110*100</f>
        <v>5.7272727272727275</v>
      </c>
      <c r="G23" s="729"/>
      <c r="H23" s="729"/>
      <c r="I23" s="729"/>
      <c r="J23" s="729"/>
      <c r="M23" s="747"/>
      <c r="N23" s="747"/>
      <c r="Q23" s="748"/>
      <c r="S23" s="734"/>
      <c r="T23" s="748"/>
      <c r="U23" s="441"/>
      <c r="V23" s="724"/>
      <c r="W23" s="749"/>
      <c r="X23" s="748"/>
      <c r="Z23" s="724"/>
      <c r="AB23" s="748"/>
      <c r="AD23" s="724"/>
      <c r="AF23" s="748"/>
    </row>
    <row r="24" spans="1:32" s="32" customFormat="1" ht="19.5" customHeight="1" x14ac:dyDescent="0.2">
      <c r="A24" s="746"/>
      <c r="B24" s="769" t="s">
        <v>690</v>
      </c>
      <c r="C24" s="761">
        <v>6.89</v>
      </c>
      <c r="D24" s="761">
        <v>8.3000000000000007</v>
      </c>
      <c r="E24" s="766">
        <f>(D24-C24)/4</f>
        <v>0.35250000000000026</v>
      </c>
      <c r="F24" s="773">
        <f>D24/110*100</f>
        <v>7.5454545454545459</v>
      </c>
      <c r="G24" s="729"/>
      <c r="H24" s="729"/>
      <c r="I24" s="729"/>
      <c r="J24" s="729"/>
      <c r="M24" s="747"/>
      <c r="N24" s="747"/>
      <c r="Q24" s="748"/>
      <c r="S24" s="733"/>
      <c r="T24" s="748"/>
      <c r="U24" s="441"/>
      <c r="V24" s="724"/>
      <c r="W24" s="749"/>
      <c r="X24" s="748"/>
      <c r="Z24" s="724"/>
      <c r="AB24" s="748"/>
      <c r="AD24" s="724"/>
      <c r="AF24" s="748"/>
    </row>
    <row r="25" spans="1:32" s="32" customFormat="1" ht="19.5" customHeight="1" x14ac:dyDescent="0.2">
      <c r="A25" s="746"/>
      <c r="B25" s="769" t="s">
        <v>689</v>
      </c>
      <c r="C25" s="761">
        <v>8.86</v>
      </c>
      <c r="D25" s="761">
        <v>10.7</v>
      </c>
      <c r="E25" s="766">
        <f>(D25-C25)/4</f>
        <v>0.45999999999999996</v>
      </c>
      <c r="F25" s="773">
        <f>D25/110*100</f>
        <v>9.7272727272727266</v>
      </c>
      <c r="G25" s="729"/>
      <c r="H25" s="729"/>
      <c r="I25" s="729"/>
      <c r="J25" s="729"/>
      <c r="M25" s="747"/>
      <c r="N25" s="747"/>
      <c r="Q25" s="748"/>
      <c r="S25" s="733"/>
      <c r="T25" s="748"/>
      <c r="U25" s="441"/>
      <c r="V25" s="724"/>
      <c r="W25" s="749"/>
      <c r="X25" s="748"/>
      <c r="Z25" s="724"/>
      <c r="AB25" s="748"/>
      <c r="AD25" s="724"/>
      <c r="AF25" s="748"/>
    </row>
    <row r="26" spans="1:32" s="32" customFormat="1" ht="22.15" customHeight="1" x14ac:dyDescent="0.2">
      <c r="A26" s="742"/>
      <c r="B26" s="780"/>
      <c r="C26" s="781"/>
      <c r="D26" s="782"/>
      <c r="E26" s="783"/>
      <c r="F26" s="774"/>
      <c r="G26" s="732"/>
      <c r="H26" s="732"/>
      <c r="I26" s="732"/>
      <c r="J26" s="732"/>
      <c r="M26" s="747"/>
      <c r="N26" s="747"/>
      <c r="O26" s="747"/>
      <c r="Q26" s="723"/>
      <c r="S26" s="319"/>
      <c r="T26" s="441"/>
      <c r="U26" s="441"/>
      <c r="V26" s="724"/>
      <c r="W26" s="749"/>
      <c r="X26" s="748"/>
      <c r="Z26" s="724"/>
      <c r="AB26" s="748"/>
      <c r="AD26" s="724"/>
      <c r="AF26" s="748"/>
    </row>
    <row r="27" spans="1:32" s="730" customFormat="1" ht="17.45" customHeight="1" x14ac:dyDescent="0.2">
      <c r="A27" s="744"/>
      <c r="B27" s="776" t="s">
        <v>688</v>
      </c>
      <c r="C27" s="784"/>
      <c r="D27" s="785"/>
      <c r="E27" s="1054"/>
      <c r="F27" s="786"/>
      <c r="G27" s="731"/>
      <c r="H27" s="731"/>
      <c r="I27" s="731"/>
      <c r="J27" s="731"/>
      <c r="M27" s="747"/>
      <c r="N27" s="747"/>
      <c r="O27" s="747"/>
      <c r="Q27" s="752"/>
      <c r="S27" s="319"/>
      <c r="T27" s="441"/>
      <c r="U27" s="441"/>
      <c r="V27" s="724"/>
      <c r="W27" s="749"/>
      <c r="X27" s="748"/>
      <c r="Z27" s="724"/>
      <c r="AA27" s="32"/>
      <c r="AB27" s="748"/>
      <c r="AD27" s="724"/>
      <c r="AE27" s="32"/>
      <c r="AF27" s="748"/>
    </row>
    <row r="28" spans="1:32" s="449" customFormat="1" ht="30.6" customHeight="1" x14ac:dyDescent="0.2">
      <c r="A28" s="746"/>
      <c r="B28" s="758" t="s">
        <v>477</v>
      </c>
      <c r="C28" s="767" t="s">
        <v>684</v>
      </c>
      <c r="D28" s="767" t="s">
        <v>683</v>
      </c>
      <c r="E28" s="1055" t="s">
        <v>642</v>
      </c>
      <c r="F28" s="773"/>
      <c r="G28" s="727"/>
      <c r="H28" s="727"/>
      <c r="I28" s="727"/>
      <c r="J28" s="727"/>
      <c r="M28" s="747"/>
      <c r="N28" s="747"/>
      <c r="O28" s="747"/>
      <c r="Q28" s="379"/>
      <c r="S28" s="319"/>
      <c r="T28" s="441"/>
      <c r="U28" s="441"/>
      <c r="V28" s="724"/>
      <c r="W28" s="749"/>
      <c r="X28" s="748"/>
      <c r="Z28" s="724"/>
      <c r="AA28" s="32"/>
      <c r="AB28" s="748"/>
      <c r="AD28" s="724"/>
      <c r="AE28" s="32"/>
      <c r="AF28" s="748"/>
    </row>
    <row r="29" spans="1:32" s="730" customFormat="1" ht="10.9" customHeight="1" x14ac:dyDescent="0.2">
      <c r="A29" s="744"/>
      <c r="B29" s="759"/>
      <c r="C29" s="735">
        <v>2019</v>
      </c>
      <c r="D29" s="735">
        <v>2024</v>
      </c>
      <c r="E29" s="1004"/>
      <c r="F29" s="773"/>
      <c r="G29" s="726"/>
      <c r="H29" s="726"/>
      <c r="I29" s="726"/>
      <c r="J29" s="726"/>
      <c r="M29" s="747"/>
      <c r="N29" s="747"/>
      <c r="O29" s="747"/>
      <c r="Q29" s="753"/>
      <c r="S29" s="319"/>
      <c r="T29" s="441"/>
      <c r="U29" s="441"/>
      <c r="V29" s="724"/>
      <c r="W29" s="749"/>
      <c r="X29" s="748"/>
      <c r="Z29" s="724"/>
      <c r="AA29" s="32"/>
      <c r="AB29" s="748"/>
      <c r="AD29" s="724"/>
      <c r="AE29" s="32"/>
      <c r="AF29" s="748"/>
    </row>
    <row r="30" spans="1:32" s="32" customFormat="1" ht="19.5" customHeight="1" x14ac:dyDescent="0.2">
      <c r="A30" s="742"/>
      <c r="B30" s="169" t="s">
        <v>687</v>
      </c>
      <c r="C30" s="761">
        <v>6.12</v>
      </c>
      <c r="D30" s="761">
        <v>7.4</v>
      </c>
      <c r="E30" s="1018">
        <f>(D30-C30)/4</f>
        <v>0.32000000000000006</v>
      </c>
      <c r="F30" s="773">
        <f>D30/110*100</f>
        <v>6.7272727272727275</v>
      </c>
      <c r="G30" s="729"/>
      <c r="H30" s="729"/>
      <c r="I30" s="729"/>
      <c r="J30" s="729"/>
      <c r="M30" s="747"/>
      <c r="N30" s="747"/>
      <c r="O30" s="747"/>
      <c r="Q30" s="754"/>
      <c r="S30" s="319"/>
      <c r="T30" s="441"/>
      <c r="U30" s="441"/>
      <c r="V30" s="724"/>
      <c r="W30" s="749"/>
      <c r="X30" s="748"/>
      <c r="Z30" s="724"/>
      <c r="AB30" s="748"/>
      <c r="AD30" s="724"/>
      <c r="AF30" s="748"/>
    </row>
    <row r="31" spans="1:32" s="32" customFormat="1" ht="19.5" customHeight="1" x14ac:dyDescent="0.2">
      <c r="A31" s="742"/>
      <c r="B31" s="169" t="s">
        <v>686</v>
      </c>
      <c r="C31" s="761">
        <v>7.65</v>
      </c>
      <c r="D31" s="761">
        <v>9.1999999999999993</v>
      </c>
      <c r="E31" s="1018">
        <f>(D31-C31)/4</f>
        <v>0.38749999999999973</v>
      </c>
      <c r="F31" s="773">
        <f>D31/110*100</f>
        <v>8.3636363636363633</v>
      </c>
      <c r="G31" s="729"/>
      <c r="H31" s="729"/>
      <c r="I31" s="729"/>
      <c r="J31" s="729"/>
      <c r="M31" s="747"/>
      <c r="N31" s="747"/>
      <c r="O31" s="747"/>
      <c r="Q31" s="754"/>
      <c r="S31" s="319"/>
      <c r="T31" s="441"/>
      <c r="U31" s="441"/>
      <c r="V31" s="724"/>
      <c r="W31" s="749"/>
      <c r="X31" s="748"/>
      <c r="Z31" s="724"/>
      <c r="AB31" s="748"/>
      <c r="AD31" s="724"/>
      <c r="AF31" s="748"/>
    </row>
    <row r="32" spans="1:32" s="32" customFormat="1" ht="19.5" customHeight="1" x14ac:dyDescent="0.2">
      <c r="A32" s="742"/>
      <c r="B32" s="324" t="s">
        <v>802</v>
      </c>
      <c r="C32" s="834">
        <f>C37</f>
        <v>2.2400000000000002</v>
      </c>
      <c r="D32" s="834">
        <f>D37</f>
        <v>3.2</v>
      </c>
      <c r="E32" s="1018">
        <f>(D32-C32)/4</f>
        <v>0.24</v>
      </c>
      <c r="F32" s="773">
        <f>D32/110*100</f>
        <v>2.9090909090909092</v>
      </c>
      <c r="G32" s="729"/>
      <c r="H32" s="729"/>
      <c r="I32" s="729"/>
      <c r="J32" s="729"/>
      <c r="M32" s="747"/>
      <c r="N32" s="747"/>
      <c r="O32" s="747"/>
      <c r="Q32" s="754"/>
      <c r="S32" s="319"/>
      <c r="T32" s="441"/>
      <c r="U32" s="441"/>
      <c r="V32" s="724"/>
      <c r="W32" s="749"/>
      <c r="X32" s="748"/>
      <c r="Z32" s="724"/>
      <c r="AB32" s="748"/>
      <c r="AD32" s="724"/>
      <c r="AF32" s="748"/>
    </row>
    <row r="33" spans="1:32" s="32" customFormat="1" ht="24.6" customHeight="1" x14ac:dyDescent="0.2">
      <c r="A33" s="742"/>
      <c r="B33" s="34"/>
      <c r="C33" s="787"/>
      <c r="D33" s="787"/>
      <c r="E33" s="510"/>
      <c r="F33" s="774"/>
      <c r="G33" s="721"/>
      <c r="H33" s="721"/>
      <c r="I33" s="721"/>
      <c r="J33" s="721"/>
      <c r="M33" s="747"/>
      <c r="N33" s="747"/>
      <c r="O33" s="747"/>
      <c r="S33" s="319"/>
      <c r="T33" s="441"/>
      <c r="U33" s="441"/>
      <c r="V33" s="724"/>
      <c r="W33" s="749"/>
      <c r="X33" s="748"/>
      <c r="Z33" s="724"/>
      <c r="AB33" s="748"/>
      <c r="AD33" s="724"/>
      <c r="AF33" s="748"/>
    </row>
    <row r="34" spans="1:32" ht="22.15" customHeight="1" x14ac:dyDescent="0.2">
      <c r="B34" s="775" t="s">
        <v>685</v>
      </c>
      <c r="C34" s="319"/>
      <c r="D34" s="763"/>
      <c r="E34" s="751"/>
      <c r="F34" s="773"/>
      <c r="G34" s="728"/>
      <c r="H34" s="728"/>
      <c r="I34" s="728"/>
      <c r="J34" s="728"/>
      <c r="K34" s="32"/>
      <c r="L34" s="32"/>
      <c r="M34" s="747"/>
      <c r="N34" s="747"/>
      <c r="O34" s="747"/>
      <c r="Q34" s="752"/>
      <c r="R34" s="32"/>
      <c r="S34" s="319"/>
      <c r="T34" s="441"/>
      <c r="U34" s="441"/>
      <c r="V34" s="724"/>
      <c r="W34" s="749"/>
      <c r="X34" s="748"/>
      <c r="Z34" s="724"/>
      <c r="AA34" s="32"/>
      <c r="AB34" s="748"/>
      <c r="AD34" s="724"/>
      <c r="AE34" s="32"/>
      <c r="AF34" s="748"/>
    </row>
    <row r="35" spans="1:32" ht="22.15" customHeight="1" x14ac:dyDescent="0.2">
      <c r="B35" s="758" t="s">
        <v>477</v>
      </c>
      <c r="C35" s="767" t="s">
        <v>684</v>
      </c>
      <c r="D35" s="767" t="s">
        <v>683</v>
      </c>
      <c r="E35" s="335" t="s">
        <v>642</v>
      </c>
      <c r="F35" s="773"/>
      <c r="G35" s="727"/>
      <c r="H35" s="727"/>
      <c r="I35" s="727"/>
      <c r="J35" s="727"/>
      <c r="K35" s="32"/>
      <c r="L35" s="32"/>
      <c r="M35" s="747"/>
      <c r="N35" s="747"/>
      <c r="O35" s="747"/>
      <c r="Q35" s="379"/>
      <c r="R35" s="32"/>
      <c r="S35" s="319"/>
      <c r="T35" s="441"/>
      <c r="U35" s="441"/>
      <c r="V35" s="724"/>
      <c r="W35" s="749"/>
      <c r="X35" s="748"/>
      <c r="Z35" s="724"/>
      <c r="AA35" s="32"/>
      <c r="AB35" s="748"/>
      <c r="AD35" s="724"/>
      <c r="AE35" s="32"/>
      <c r="AF35" s="748"/>
    </row>
    <row r="36" spans="1:32" ht="12.75" x14ac:dyDescent="0.2">
      <c r="B36" s="759"/>
      <c r="C36" s="735">
        <v>2019</v>
      </c>
      <c r="D36" s="735">
        <v>2024</v>
      </c>
      <c r="E36" s="756"/>
      <c r="F36" s="773"/>
      <c r="G36" s="726"/>
      <c r="H36" s="726"/>
      <c r="I36" s="726"/>
      <c r="J36" s="726"/>
      <c r="K36" s="32"/>
      <c r="L36" s="32"/>
      <c r="M36" s="747"/>
      <c r="N36" s="747"/>
      <c r="O36" s="747"/>
      <c r="Q36" s="757"/>
      <c r="R36" s="32"/>
      <c r="S36" s="319"/>
      <c r="T36" s="441"/>
      <c r="U36" s="441"/>
      <c r="V36" s="724"/>
      <c r="W36" s="749"/>
      <c r="X36" s="748"/>
      <c r="Z36" s="724"/>
      <c r="AA36" s="32"/>
      <c r="AB36" s="748"/>
      <c r="AD36" s="724"/>
      <c r="AE36" s="32"/>
      <c r="AF36" s="748"/>
    </row>
    <row r="37" spans="1:32" ht="19.5" customHeight="1" x14ac:dyDescent="0.2">
      <c r="B37" s="769" t="s">
        <v>682</v>
      </c>
      <c r="C37" s="761">
        <v>2.2400000000000002</v>
      </c>
      <c r="D37" s="761">
        <v>3.2</v>
      </c>
      <c r="E37" s="766">
        <v>0.24</v>
      </c>
      <c r="F37" s="773">
        <f t="shared" ref="F37:F42" si="0">D37/110*100</f>
        <v>2.9090909090909092</v>
      </c>
      <c r="G37" s="725"/>
      <c r="H37" s="725"/>
      <c r="I37" s="725"/>
      <c r="J37" s="725"/>
      <c r="K37" s="32"/>
      <c r="L37" s="32"/>
      <c r="M37" s="747"/>
      <c r="N37" s="747"/>
      <c r="O37" s="747"/>
      <c r="Q37" s="748"/>
      <c r="R37" s="32"/>
      <c r="S37" s="319"/>
      <c r="T37" s="441"/>
      <c r="U37" s="441"/>
      <c r="V37" s="724"/>
      <c r="W37" s="749"/>
      <c r="X37" s="748"/>
      <c r="Z37" s="724"/>
      <c r="AA37" s="32"/>
      <c r="AB37" s="748"/>
      <c r="AD37" s="724"/>
      <c r="AE37" s="32"/>
      <c r="AF37" s="748"/>
    </row>
    <row r="38" spans="1:32" ht="19.5" customHeight="1" x14ac:dyDescent="0.2">
      <c r="B38" s="769" t="s">
        <v>681</v>
      </c>
      <c r="C38" s="761">
        <v>3.73</v>
      </c>
      <c r="D38" s="761">
        <v>4.5999999999999996</v>
      </c>
      <c r="E38" s="766">
        <v>0.21749999999999992</v>
      </c>
      <c r="F38" s="773">
        <f t="shared" si="0"/>
        <v>4.1818181818181817</v>
      </c>
      <c r="G38" s="725"/>
      <c r="H38" s="725"/>
      <c r="I38" s="725"/>
      <c r="J38" s="725"/>
      <c r="K38" s="32"/>
      <c r="L38" s="32"/>
      <c r="M38" s="747"/>
      <c r="N38" s="747"/>
      <c r="O38" s="747"/>
      <c r="Q38" s="748"/>
      <c r="R38" s="32"/>
      <c r="S38" s="319"/>
      <c r="T38" s="441"/>
      <c r="U38" s="441"/>
      <c r="V38" s="724"/>
      <c r="W38" s="749"/>
      <c r="X38" s="748"/>
      <c r="Z38" s="724"/>
      <c r="AA38" s="32"/>
      <c r="AB38" s="748"/>
      <c r="AD38" s="724"/>
      <c r="AE38" s="32"/>
      <c r="AF38" s="748"/>
    </row>
    <row r="39" spans="1:32" ht="19.5" customHeight="1" x14ac:dyDescent="0.2">
      <c r="B39" s="769" t="s">
        <v>680</v>
      </c>
      <c r="C39" s="761">
        <v>4.8</v>
      </c>
      <c r="D39" s="761">
        <v>6</v>
      </c>
      <c r="E39" s="766">
        <v>0.30000000000000004</v>
      </c>
      <c r="F39" s="773">
        <f t="shared" si="0"/>
        <v>5.4545454545454541</v>
      </c>
      <c r="G39" s="725"/>
      <c r="H39" s="725"/>
      <c r="I39" s="725"/>
      <c r="J39" s="725"/>
      <c r="K39" s="32"/>
      <c r="L39" s="32"/>
      <c r="M39" s="747"/>
      <c r="N39" s="747"/>
      <c r="O39" s="747"/>
      <c r="Q39" s="748"/>
      <c r="R39" s="32"/>
      <c r="S39" s="319"/>
      <c r="T39" s="441"/>
      <c r="U39" s="441"/>
      <c r="V39" s="724"/>
      <c r="W39" s="749"/>
      <c r="X39" s="748"/>
      <c r="Z39" s="724"/>
      <c r="AA39" s="32"/>
      <c r="AB39" s="748"/>
      <c r="AD39" s="724"/>
      <c r="AE39" s="32"/>
      <c r="AF39" s="748"/>
    </row>
    <row r="40" spans="1:32" ht="19.5" customHeight="1" x14ac:dyDescent="0.2">
      <c r="B40" s="769" t="s">
        <v>679</v>
      </c>
      <c r="C40" s="761">
        <v>4.8</v>
      </c>
      <c r="D40" s="761">
        <v>6.4</v>
      </c>
      <c r="E40" s="766">
        <f>(D40-C40)/4</f>
        <v>0.40000000000000013</v>
      </c>
      <c r="F40" s="773">
        <f t="shared" si="0"/>
        <v>5.8181818181818183</v>
      </c>
      <c r="G40" s="725"/>
      <c r="H40" s="725"/>
      <c r="I40" s="725"/>
      <c r="J40" s="725"/>
      <c r="K40" s="32"/>
      <c r="L40" s="32"/>
      <c r="M40" s="747"/>
      <c r="N40" s="747"/>
      <c r="O40" s="747"/>
      <c r="Q40" s="32"/>
      <c r="R40" s="32"/>
      <c r="S40" s="319"/>
      <c r="T40" s="32"/>
      <c r="U40" s="32"/>
      <c r="W40" s="749"/>
      <c r="X40" s="748"/>
      <c r="Z40" s="724"/>
      <c r="AA40" s="32"/>
      <c r="AB40" s="748"/>
      <c r="AD40" s="724"/>
      <c r="AE40" s="32"/>
      <c r="AF40" s="748"/>
    </row>
    <row r="41" spans="1:32" ht="19.5" customHeight="1" x14ac:dyDescent="0.2">
      <c r="B41" s="769" t="s">
        <v>678</v>
      </c>
      <c r="C41" s="761"/>
      <c r="D41" s="761">
        <v>8.3000000000000007</v>
      </c>
      <c r="E41" s="766"/>
      <c r="F41" s="773">
        <f t="shared" si="0"/>
        <v>7.5454545454545459</v>
      </c>
      <c r="G41" s="725"/>
      <c r="H41" s="725"/>
      <c r="I41" s="725"/>
      <c r="J41" s="725"/>
      <c r="K41" s="32"/>
      <c r="L41" s="32"/>
      <c r="M41" s="32"/>
      <c r="N41" s="32"/>
      <c r="O41" s="32"/>
      <c r="Q41" s="723"/>
      <c r="R41" s="32"/>
      <c r="S41" s="319"/>
      <c r="T41" s="32"/>
      <c r="U41" s="32"/>
      <c r="W41" s="749"/>
      <c r="Z41" s="724"/>
      <c r="AA41" s="32"/>
      <c r="AB41" s="748"/>
      <c r="AD41" s="724"/>
      <c r="AE41" s="32"/>
      <c r="AF41" s="748"/>
    </row>
    <row r="42" spans="1:32" ht="19.5" customHeight="1" x14ac:dyDescent="0.2">
      <c r="B42" s="656" t="s">
        <v>677</v>
      </c>
      <c r="C42" s="762"/>
      <c r="D42" s="762">
        <v>10.7</v>
      </c>
      <c r="E42" s="770"/>
      <c r="F42" s="774">
        <f t="shared" si="0"/>
        <v>9.7272727272727266</v>
      </c>
      <c r="G42" s="725"/>
      <c r="H42" s="725"/>
      <c r="I42" s="725"/>
      <c r="J42" s="725"/>
      <c r="K42" s="32"/>
      <c r="L42" s="32"/>
      <c r="M42" s="32"/>
      <c r="N42" s="32"/>
      <c r="O42" s="32"/>
      <c r="Q42" s="723"/>
      <c r="R42" s="32"/>
      <c r="S42" s="319"/>
      <c r="T42" s="32"/>
      <c r="U42" s="32"/>
    </row>
    <row r="43" spans="1:32" ht="17.649999999999999" customHeight="1" x14ac:dyDescent="0.2">
      <c r="B43" s="32" t="s">
        <v>676</v>
      </c>
      <c r="C43" s="760"/>
      <c r="D43" s="760"/>
      <c r="E43" s="32"/>
      <c r="F43" s="722"/>
      <c r="G43" s="722"/>
      <c r="H43" s="722"/>
      <c r="I43" s="722"/>
      <c r="J43" s="722"/>
      <c r="K43" s="32"/>
      <c r="L43" s="32"/>
      <c r="M43" s="32"/>
      <c r="N43" s="32"/>
      <c r="O43" s="32"/>
      <c r="P43" s="32"/>
      <c r="Q43" s="32"/>
      <c r="R43" s="32"/>
      <c r="S43" s="319"/>
      <c r="T43" s="32"/>
      <c r="U43" s="32"/>
    </row>
    <row r="44" spans="1:32" x14ac:dyDescent="0.2">
      <c r="B44" s="32"/>
      <c r="C44" s="32"/>
      <c r="D44" s="32"/>
      <c r="E44" s="32"/>
      <c r="F44" s="721"/>
      <c r="G44" s="721"/>
      <c r="H44" s="721"/>
      <c r="I44" s="721"/>
      <c r="J44" s="721"/>
      <c r="K44" s="32"/>
      <c r="L44" s="32"/>
      <c r="M44" s="32"/>
      <c r="N44" s="32"/>
      <c r="O44" s="32"/>
      <c r="P44" s="32"/>
      <c r="Q44" s="32"/>
      <c r="R44" s="32"/>
      <c r="S44" s="319"/>
      <c r="T44" s="32"/>
      <c r="U44" s="32"/>
    </row>
    <row r="45" spans="1:32" x14ac:dyDescent="0.2">
      <c r="B45" s="28"/>
      <c r="C45" s="28"/>
      <c r="D45" s="28"/>
      <c r="E45" s="28"/>
    </row>
    <row r="46" spans="1:32" ht="42.6" customHeight="1" x14ac:dyDescent="0.2">
      <c r="B46" s="1336" t="s">
        <v>695</v>
      </c>
      <c r="C46" s="1336"/>
      <c r="D46" s="1336"/>
      <c r="E46" s="28"/>
    </row>
    <row r="47" spans="1:32" x14ac:dyDescent="0.2">
      <c r="B47" s="756" t="s">
        <v>694</v>
      </c>
      <c r="C47" s="723">
        <f>'TfNSW cost revenue data'!P29</f>
        <v>0.24577532724374188</v>
      </c>
      <c r="E47" s="28"/>
    </row>
    <row r="48" spans="1:32" x14ac:dyDescent="0.2">
      <c r="B48" s="729"/>
      <c r="C48" s="32"/>
      <c r="E48" s="28"/>
    </row>
    <row r="49" spans="2:5" x14ac:dyDescent="0.2">
      <c r="B49" s="729"/>
      <c r="C49" s="750">
        <f>D22/C47</f>
        <v>21.971285973081741</v>
      </c>
      <c r="E49" s="28"/>
    </row>
    <row r="50" spans="2:5" x14ac:dyDescent="0.2">
      <c r="B50" s="28"/>
      <c r="C50" s="28"/>
      <c r="D50" s="28"/>
      <c r="E50" s="28"/>
    </row>
    <row r="51" spans="2:5" x14ac:dyDescent="0.2">
      <c r="B51" s="28"/>
      <c r="C51" s="28"/>
      <c r="D51" s="28"/>
      <c r="E51" s="28"/>
    </row>
    <row r="52" spans="2:5" x14ac:dyDescent="0.2">
      <c r="B52" s="28"/>
      <c r="C52" s="28"/>
      <c r="D52" s="28"/>
      <c r="E52" s="28"/>
    </row>
    <row r="53" spans="2:5" x14ac:dyDescent="0.2">
      <c r="B53" s="28"/>
      <c r="C53" s="28"/>
      <c r="D53" s="28"/>
      <c r="E53" s="28"/>
    </row>
    <row r="54" spans="2:5" x14ac:dyDescent="0.2">
      <c r="B54" s="28"/>
      <c r="C54" s="28"/>
      <c r="D54" s="28"/>
      <c r="E54" s="28"/>
    </row>
    <row r="55" spans="2:5" x14ac:dyDescent="0.2">
      <c r="B55" s="28"/>
      <c r="C55" s="28"/>
      <c r="D55" s="28"/>
      <c r="E55" s="28"/>
    </row>
    <row r="56" spans="2:5" x14ac:dyDescent="0.2">
      <c r="B56" s="28"/>
      <c r="C56" s="28"/>
      <c r="D56" s="28"/>
      <c r="E56" s="28"/>
    </row>
    <row r="57" spans="2:5" x14ac:dyDescent="0.2">
      <c r="B57" s="28"/>
      <c r="C57" s="28"/>
      <c r="D57" s="28"/>
      <c r="E57" s="28"/>
    </row>
    <row r="58" spans="2:5" x14ac:dyDescent="0.2">
      <c r="B58" s="28"/>
      <c r="C58" s="28"/>
      <c r="D58" s="28"/>
      <c r="E58" s="28"/>
    </row>
    <row r="59" spans="2:5" x14ac:dyDescent="0.2">
      <c r="B59" s="28"/>
      <c r="C59" s="28"/>
      <c r="D59" s="28"/>
      <c r="E59" s="28"/>
    </row>
    <row r="60" spans="2:5" x14ac:dyDescent="0.2">
      <c r="B60" s="28"/>
      <c r="C60" s="28"/>
      <c r="D60" s="28"/>
      <c r="E60" s="28"/>
    </row>
    <row r="61" spans="2:5" x14ac:dyDescent="0.2">
      <c r="B61" s="28"/>
      <c r="C61" s="28"/>
      <c r="D61" s="28"/>
      <c r="E61" s="28"/>
    </row>
    <row r="62" spans="2:5" x14ac:dyDescent="0.2">
      <c r="B62" s="28"/>
      <c r="C62" s="28"/>
      <c r="D62" s="28"/>
      <c r="E62" s="28"/>
    </row>
    <row r="63" spans="2:5" x14ac:dyDescent="0.2">
      <c r="B63" s="28"/>
      <c r="C63" s="28"/>
      <c r="D63" s="28"/>
      <c r="E63" s="28"/>
    </row>
    <row r="64" spans="2:5" x14ac:dyDescent="0.2">
      <c r="B64" s="28"/>
      <c r="C64" s="28"/>
      <c r="D64" s="28"/>
      <c r="E64" s="28"/>
    </row>
    <row r="65" spans="2:5" x14ac:dyDescent="0.2">
      <c r="B65" s="28"/>
      <c r="C65" s="28"/>
      <c r="D65" s="28"/>
      <c r="E65" s="28"/>
    </row>
    <row r="66" spans="2:5" x14ac:dyDescent="0.2">
      <c r="B66" s="28"/>
      <c r="C66" s="28"/>
      <c r="D66" s="28"/>
      <c r="E66" s="28"/>
    </row>
    <row r="67" spans="2:5" x14ac:dyDescent="0.2">
      <c r="B67" s="28"/>
      <c r="C67" s="28"/>
      <c r="D67" s="28"/>
      <c r="E67" s="28"/>
    </row>
    <row r="68" spans="2:5" x14ac:dyDescent="0.2">
      <c r="B68" s="28"/>
      <c r="C68" s="28"/>
      <c r="D68" s="28"/>
      <c r="E68" s="28"/>
    </row>
    <row r="69" spans="2:5" x14ac:dyDescent="0.2">
      <c r="B69" s="28"/>
      <c r="C69" s="28"/>
      <c r="D69" s="28"/>
      <c r="E69" s="28"/>
    </row>
    <row r="70" spans="2:5" x14ac:dyDescent="0.2">
      <c r="B70" s="28"/>
      <c r="C70" s="28"/>
      <c r="D70" s="28"/>
      <c r="E70" s="28"/>
    </row>
    <row r="71" spans="2:5" x14ac:dyDescent="0.2">
      <c r="B71" s="28"/>
      <c r="C71" s="28"/>
      <c r="D71" s="28"/>
      <c r="E71" s="28"/>
    </row>
    <row r="72" spans="2:5" x14ac:dyDescent="0.2">
      <c r="B72" s="28"/>
      <c r="C72" s="28"/>
      <c r="D72" s="28"/>
      <c r="E72" s="28"/>
    </row>
    <row r="73" spans="2:5" x14ac:dyDescent="0.2">
      <c r="B73" s="28"/>
      <c r="C73" s="28"/>
      <c r="D73" s="28"/>
      <c r="E73" s="28"/>
    </row>
    <row r="74" spans="2:5" x14ac:dyDescent="0.2">
      <c r="B74" s="28"/>
      <c r="C74" s="28"/>
      <c r="D74" s="28"/>
      <c r="E74" s="28"/>
    </row>
    <row r="75" spans="2:5" x14ac:dyDescent="0.2">
      <c r="B75" s="28"/>
      <c r="C75" s="28"/>
      <c r="D75" s="28"/>
      <c r="E75" s="28"/>
    </row>
    <row r="76" spans="2:5" x14ac:dyDescent="0.2">
      <c r="B76" s="28"/>
      <c r="C76" s="28"/>
      <c r="D76" s="28"/>
      <c r="E76" s="28"/>
    </row>
    <row r="77" spans="2:5" x14ac:dyDescent="0.2">
      <c r="B77" s="28"/>
      <c r="C77" s="28"/>
      <c r="D77" s="28"/>
      <c r="E77" s="28"/>
    </row>
    <row r="78" spans="2:5" x14ac:dyDescent="0.2">
      <c r="B78" s="28"/>
      <c r="C78" s="28"/>
      <c r="D78" s="28"/>
      <c r="E78" s="28"/>
    </row>
    <row r="79" spans="2:5" x14ac:dyDescent="0.2">
      <c r="B79" s="28"/>
      <c r="C79" s="28"/>
      <c r="D79" s="28"/>
      <c r="E79" s="28"/>
    </row>
    <row r="80" spans="2:5" x14ac:dyDescent="0.2">
      <c r="B80" s="28"/>
      <c r="C80" s="28"/>
      <c r="D80" s="28"/>
      <c r="E80" s="28"/>
    </row>
    <row r="81" spans="2:5" x14ac:dyDescent="0.2">
      <c r="B81" s="28"/>
      <c r="C81" s="28"/>
      <c r="D81" s="28"/>
      <c r="E81" s="28"/>
    </row>
    <row r="82" spans="2:5" x14ac:dyDescent="0.2">
      <c r="B82" s="28"/>
      <c r="C82" s="28"/>
      <c r="D82" s="28"/>
      <c r="E82" s="28"/>
    </row>
    <row r="83" spans="2:5" x14ac:dyDescent="0.2">
      <c r="B83" s="28"/>
      <c r="C83" s="28"/>
      <c r="D83" s="28"/>
      <c r="E83" s="28"/>
    </row>
    <row r="84" spans="2:5" x14ac:dyDescent="0.2">
      <c r="B84" s="28"/>
      <c r="C84" s="28"/>
      <c r="D84" s="28"/>
      <c r="E84" s="28"/>
    </row>
    <row r="85" spans="2:5" x14ac:dyDescent="0.2">
      <c r="B85" s="28"/>
      <c r="C85" s="28"/>
      <c r="D85" s="28"/>
      <c r="E85" s="28"/>
    </row>
    <row r="86" spans="2:5" x14ac:dyDescent="0.2">
      <c r="B86" s="28"/>
      <c r="C86" s="28"/>
      <c r="D86" s="28"/>
      <c r="E86" s="28"/>
    </row>
    <row r="87" spans="2:5" x14ac:dyDescent="0.2">
      <c r="B87" s="28"/>
      <c r="C87" s="28"/>
      <c r="D87" s="28"/>
      <c r="E87" s="28"/>
    </row>
    <row r="88" spans="2:5" x14ac:dyDescent="0.2">
      <c r="B88" s="28"/>
      <c r="C88" s="28"/>
      <c r="D88" s="28"/>
      <c r="E88" s="28"/>
    </row>
    <row r="89" spans="2:5" x14ac:dyDescent="0.2">
      <c r="B89" s="28"/>
      <c r="C89" s="28"/>
      <c r="D89" s="28"/>
      <c r="E89" s="28"/>
    </row>
    <row r="90" spans="2:5" x14ac:dyDescent="0.2">
      <c r="B90" s="28"/>
      <c r="C90" s="28"/>
      <c r="D90" s="28"/>
      <c r="E90" s="28"/>
    </row>
    <row r="91" spans="2:5" x14ac:dyDescent="0.2">
      <c r="B91" s="28"/>
      <c r="C91" s="28"/>
      <c r="D91" s="28"/>
      <c r="E91" s="28"/>
    </row>
    <row r="92" spans="2:5" x14ac:dyDescent="0.2">
      <c r="B92" s="28"/>
      <c r="C92" s="28"/>
      <c r="D92" s="28"/>
      <c r="E92" s="28"/>
    </row>
    <row r="93" spans="2:5" x14ac:dyDescent="0.2">
      <c r="B93" s="28"/>
      <c r="C93" s="28"/>
      <c r="D93" s="28"/>
      <c r="E93" s="28"/>
    </row>
    <row r="94" spans="2:5" x14ac:dyDescent="0.2">
      <c r="B94" s="28"/>
      <c r="C94" s="28"/>
      <c r="D94" s="28"/>
      <c r="E94" s="28"/>
    </row>
    <row r="95" spans="2:5" x14ac:dyDescent="0.2">
      <c r="B95" s="28"/>
      <c r="C95" s="28"/>
      <c r="D95" s="28"/>
      <c r="E95" s="28"/>
    </row>
    <row r="96" spans="2:5" x14ac:dyDescent="0.2">
      <c r="B96" s="28"/>
      <c r="C96" s="28"/>
      <c r="D96" s="28"/>
      <c r="E96" s="28"/>
    </row>
    <row r="97" spans="2:5" x14ac:dyDescent="0.2">
      <c r="B97" s="28"/>
      <c r="C97" s="28"/>
      <c r="D97" s="28"/>
      <c r="E97" s="28"/>
    </row>
    <row r="98" spans="2:5" x14ac:dyDescent="0.2">
      <c r="B98" s="28"/>
      <c r="C98" s="28"/>
      <c r="D98" s="28"/>
      <c r="E98" s="28"/>
    </row>
    <row r="99" spans="2:5" x14ac:dyDescent="0.2">
      <c r="B99" s="28"/>
      <c r="C99" s="28"/>
      <c r="D99" s="28"/>
      <c r="E99" s="28"/>
    </row>
    <row r="100" spans="2:5" x14ac:dyDescent="0.2">
      <c r="B100" s="28"/>
      <c r="C100" s="28"/>
      <c r="D100" s="28"/>
      <c r="E100" s="28"/>
    </row>
    <row r="101" spans="2:5" x14ac:dyDescent="0.2">
      <c r="B101" s="28"/>
      <c r="C101" s="28"/>
      <c r="D101" s="28"/>
      <c r="E101" s="28"/>
    </row>
    <row r="102" spans="2:5" x14ac:dyDescent="0.2">
      <c r="B102" s="28"/>
      <c r="C102" s="28"/>
      <c r="D102" s="28"/>
      <c r="E102" s="28"/>
    </row>
    <row r="103" spans="2:5" x14ac:dyDescent="0.2">
      <c r="B103" s="28"/>
      <c r="C103" s="28"/>
      <c r="D103" s="28"/>
      <c r="E103" s="28"/>
    </row>
    <row r="104" spans="2:5" x14ac:dyDescent="0.2">
      <c r="B104" s="28"/>
      <c r="C104" s="28"/>
      <c r="D104" s="28"/>
      <c r="E104" s="28"/>
    </row>
    <row r="105" spans="2:5" x14ac:dyDescent="0.2">
      <c r="B105" s="28"/>
      <c r="C105" s="28"/>
      <c r="D105" s="28"/>
      <c r="E105" s="28"/>
    </row>
    <row r="106" spans="2:5" x14ac:dyDescent="0.2">
      <c r="B106" s="28"/>
      <c r="C106" s="28"/>
      <c r="D106" s="28"/>
      <c r="E106" s="28"/>
    </row>
    <row r="107" spans="2:5" x14ac:dyDescent="0.2">
      <c r="B107" s="28"/>
      <c r="C107" s="28"/>
      <c r="D107" s="28"/>
      <c r="E107" s="28"/>
    </row>
  </sheetData>
  <mergeCells count="1">
    <mergeCell ref="B46:D4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
  <sheetViews>
    <sheetView showGridLines="0" zoomScale="75" zoomScaleNormal="75" workbookViewId="0"/>
  </sheetViews>
  <sheetFormatPr defaultColWidth="9" defaultRowHeight="12" x14ac:dyDescent="0.2"/>
  <cols>
    <col min="1" max="1" width="14.42578125" style="667" customWidth="1"/>
    <col min="2" max="2" width="39.42578125" style="667" customWidth="1"/>
    <col min="3" max="4" width="18.42578125" style="667" customWidth="1"/>
    <col min="5" max="5" width="8.28515625" style="667" customWidth="1"/>
    <col min="6" max="6" width="15.7109375" style="667" customWidth="1"/>
    <col min="7" max="7" width="8.5703125" style="667" customWidth="1"/>
    <col min="8" max="8" width="9" style="991"/>
    <col min="9" max="9" width="10.5703125" style="667" customWidth="1"/>
    <col min="10" max="10" width="10.7109375" style="667" customWidth="1"/>
    <col min="11" max="11" width="11.85546875" style="667" customWidth="1"/>
    <col min="12" max="12" width="9" style="667"/>
    <col min="13" max="13" width="13" style="667" customWidth="1"/>
    <col min="14" max="14" width="11.7109375" style="667" customWidth="1"/>
    <col min="15" max="16384" width="9" style="667"/>
  </cols>
  <sheetData>
    <row r="1" spans="1:28" s="679" customFormat="1" ht="18.600000000000001" customHeight="1" x14ac:dyDescent="0.2">
      <c r="A1" s="28"/>
      <c r="B1" s="28"/>
      <c r="C1" s="28"/>
    </row>
    <row r="2" spans="1:28" s="679" customFormat="1" ht="18.600000000000001" customHeight="1" x14ac:dyDescent="0.2">
      <c r="A2" s="28"/>
      <c r="B2" s="28"/>
      <c r="C2" s="28"/>
    </row>
    <row r="3" spans="1:28" s="679" customFormat="1" ht="18.600000000000001" customHeight="1" x14ac:dyDescent="0.2">
      <c r="A3" s="28"/>
      <c r="B3" s="28"/>
      <c r="C3" s="28"/>
      <c r="F3" s="83"/>
      <c r="G3" s="28"/>
      <c r="H3" s="28"/>
      <c r="I3" s="28"/>
      <c r="J3" s="28"/>
      <c r="K3" s="82" t="s">
        <v>409</v>
      </c>
      <c r="L3" s="28"/>
      <c r="M3" s="28"/>
      <c r="N3" s="28"/>
    </row>
    <row r="4" spans="1:28" s="679" customFormat="1" ht="18.600000000000001" customHeight="1" x14ac:dyDescent="0.2">
      <c r="A4" s="28"/>
      <c r="B4" s="28"/>
      <c r="C4" s="28"/>
      <c r="F4" s="28"/>
      <c r="G4" s="28"/>
      <c r="H4" s="28"/>
      <c r="I4" s="28"/>
      <c r="J4" s="28"/>
      <c r="L4" s="28"/>
      <c r="M4" s="28"/>
      <c r="N4" s="28"/>
    </row>
    <row r="5" spans="1:28" s="679" customFormat="1" ht="18.600000000000001" customHeight="1" x14ac:dyDescent="0.2">
      <c r="A5" s="28"/>
      <c r="B5" s="28"/>
      <c r="C5" s="28"/>
      <c r="F5" s="28"/>
      <c r="G5" s="28"/>
      <c r="H5" s="28"/>
      <c r="I5" s="28"/>
      <c r="J5" s="28"/>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t="str">
        <f>'Contents, list of sources'!T17</f>
        <v>Date accessed</v>
      </c>
      <c r="Y5" s="449"/>
      <c r="AA5" s="449"/>
    </row>
    <row r="6" spans="1:28" s="679" customFormat="1" ht="18.600000000000001" customHeight="1" x14ac:dyDescent="0.2">
      <c r="A6" s="28"/>
      <c r="B6" s="28"/>
      <c r="C6" s="28"/>
      <c r="F6" s="28"/>
      <c r="G6" s="28"/>
      <c r="H6" s="28"/>
      <c r="I6" s="28"/>
      <c r="J6" s="32"/>
      <c r="K6" s="475" t="str">
        <f>'Contents, list of sources'!G475</f>
        <v>NSW Government</v>
      </c>
      <c r="L6" s="475"/>
      <c r="M6" s="475" t="str">
        <f>'Contents, list of sources'!I475</f>
        <v>Adult fares</v>
      </c>
      <c r="N6" s="475"/>
      <c r="O6" s="475"/>
      <c r="P6" s="475"/>
      <c r="Q6" s="585">
        <f>'Contents, list of sources'!M475</f>
        <v>43586</v>
      </c>
      <c r="R6" s="475"/>
      <c r="S6" s="475" t="str">
        <f>'Contents, list of sources'!O475</f>
        <v>https://transportnsw.info/tickets-Opal/Opal/fares-payments/adult-fares</v>
      </c>
      <c r="T6" s="475"/>
      <c r="U6" s="475"/>
      <c r="V6" s="475"/>
      <c r="W6" s="475"/>
      <c r="X6" s="475"/>
      <c r="Y6" s="475"/>
      <c r="Z6" s="475"/>
      <c r="AA6" s="475"/>
      <c r="AB6" s="1263"/>
    </row>
    <row r="7" spans="1:28" s="679" customFormat="1" ht="18.600000000000001" customHeight="1" x14ac:dyDescent="0.2">
      <c r="A7" s="28"/>
      <c r="B7" s="28"/>
      <c r="C7" s="28"/>
      <c r="F7" s="28"/>
      <c r="G7" s="28"/>
      <c r="H7" s="28"/>
      <c r="I7" s="28"/>
      <c r="J7" s="28"/>
      <c r="K7" s="32"/>
      <c r="L7" s="28"/>
      <c r="M7" s="28"/>
      <c r="N7" s="28"/>
      <c r="O7" s="28"/>
      <c r="P7" s="28"/>
      <c r="Q7" s="369"/>
      <c r="R7" s="28"/>
      <c r="S7" s="28"/>
      <c r="T7" s="28"/>
      <c r="U7" s="28"/>
      <c r="V7" s="28"/>
      <c r="W7" s="28"/>
      <c r="X7" s="28"/>
      <c r="Y7" s="28"/>
      <c r="Z7" s="28"/>
      <c r="AA7" s="28"/>
      <c r="AB7" s="28"/>
    </row>
    <row r="8" spans="1:28" s="679" customFormat="1" ht="18.600000000000001" customHeight="1" x14ac:dyDescent="0.2">
      <c r="F8" s="28"/>
      <c r="G8" s="28"/>
      <c r="H8" s="28"/>
      <c r="I8" s="28"/>
      <c r="J8" s="28"/>
      <c r="K8" s="28"/>
      <c r="L8" s="28"/>
      <c r="M8" s="28"/>
      <c r="N8" s="28"/>
      <c r="O8" s="28"/>
      <c r="P8" s="28"/>
      <c r="Q8" s="369"/>
      <c r="R8" s="28"/>
      <c r="S8" s="741"/>
      <c r="T8" s="28"/>
      <c r="U8" s="28"/>
      <c r="V8" s="28"/>
      <c r="W8" s="28"/>
      <c r="X8" s="28"/>
      <c r="Y8" s="1028"/>
      <c r="Z8" s="28"/>
      <c r="AA8" s="28"/>
      <c r="AB8" s="28"/>
    </row>
    <row r="9" spans="1:28" s="679" customFormat="1" ht="18.600000000000001" customHeight="1" x14ac:dyDescent="0.3">
      <c r="F9" s="28"/>
      <c r="G9" s="578"/>
      <c r="H9" s="28"/>
      <c r="I9" s="28"/>
      <c r="J9" s="28"/>
      <c r="K9" s="28"/>
      <c r="L9" s="578"/>
      <c r="M9" s="28"/>
      <c r="N9" s="28"/>
      <c r="O9" s="28"/>
      <c r="P9" s="28"/>
      <c r="Q9" s="578"/>
      <c r="R9" s="578"/>
      <c r="S9" s="578"/>
      <c r="T9" s="578"/>
      <c r="U9" s="578"/>
      <c r="V9" s="578"/>
      <c r="W9" s="578"/>
      <c r="X9" s="578"/>
      <c r="Y9" s="28"/>
      <c r="Z9" s="28"/>
      <c r="AA9" s="28"/>
      <c r="AB9" s="28"/>
    </row>
    <row r="10" spans="1:28" s="679" customFormat="1" ht="18.600000000000001" customHeight="1" x14ac:dyDescent="0.2">
      <c r="F10" s="28"/>
      <c r="G10" s="28"/>
      <c r="H10" s="28"/>
      <c r="I10" s="28"/>
      <c r="J10" s="28"/>
      <c r="K10" s="28"/>
      <c r="L10" s="28"/>
      <c r="M10" s="28"/>
      <c r="N10" s="28"/>
      <c r="O10" s="28"/>
      <c r="P10" s="28"/>
      <c r="Q10" s="369"/>
      <c r="R10" s="28"/>
      <c r="S10" s="741"/>
      <c r="T10" s="28"/>
      <c r="U10" s="28"/>
      <c r="V10" s="28"/>
      <c r="W10" s="28"/>
      <c r="X10" s="28"/>
      <c r="Y10" s="28"/>
      <c r="Z10" s="28"/>
      <c r="AA10" s="28"/>
      <c r="AB10" s="28"/>
    </row>
    <row r="11" spans="1:28" s="272" customFormat="1" ht="18.600000000000001" customHeight="1" x14ac:dyDescent="0.3">
      <c r="B11" s="382" t="s">
        <v>789</v>
      </c>
      <c r="F11" s="32"/>
      <c r="G11" s="32"/>
      <c r="H11" s="32"/>
      <c r="I11" s="32"/>
      <c r="J11" s="32"/>
      <c r="K11" s="32"/>
      <c r="L11" s="32"/>
      <c r="M11" s="32"/>
      <c r="N11" s="32"/>
      <c r="O11" s="32"/>
      <c r="P11" s="32"/>
      <c r="Q11" s="35"/>
      <c r="R11" s="32"/>
      <c r="S11" s="1088"/>
      <c r="T11" s="32"/>
      <c r="U11" s="32"/>
      <c r="V11" s="32"/>
      <c r="W11" s="32"/>
      <c r="X11" s="32"/>
      <c r="Y11" s="226"/>
      <c r="Z11" s="32"/>
      <c r="AA11" s="32"/>
      <c r="AB11" s="1284"/>
    </row>
    <row r="12" spans="1:28" s="671" customFormat="1" ht="18.600000000000001" customHeight="1" x14ac:dyDescent="0.2">
      <c r="H12" s="1058"/>
    </row>
    <row r="14" spans="1:28" s="994" customFormat="1" ht="34.9" customHeight="1" x14ac:dyDescent="0.2">
      <c r="A14" s="730"/>
      <c r="B14" s="788" t="s">
        <v>791</v>
      </c>
      <c r="C14" s="730"/>
      <c r="D14" s="730"/>
      <c r="E14" s="730"/>
      <c r="F14" s="730"/>
      <c r="G14" s="730"/>
      <c r="H14" s="744"/>
      <c r="I14" s="997"/>
      <c r="J14" s="730"/>
      <c r="K14" s="730"/>
      <c r="L14" s="730"/>
      <c r="M14" s="730"/>
      <c r="N14" s="730"/>
      <c r="O14" s="730"/>
      <c r="P14" s="730"/>
    </row>
    <row r="15" spans="1:28" s="730" customFormat="1" ht="24" customHeight="1" x14ac:dyDescent="0.2">
      <c r="B15" s="1012" t="s">
        <v>477</v>
      </c>
      <c r="C15" s="1337" t="s">
        <v>787</v>
      </c>
      <c r="D15" s="1337" t="s">
        <v>786</v>
      </c>
      <c r="E15" s="1013" t="s">
        <v>784</v>
      </c>
      <c r="F15" s="1337" t="s">
        <v>785</v>
      </c>
      <c r="G15" s="1013" t="s">
        <v>784</v>
      </c>
      <c r="H15" s="744"/>
    </row>
    <row r="16" spans="1:28" s="730" customFormat="1" ht="28.15" customHeight="1" x14ac:dyDescent="0.2">
      <c r="B16" s="1014"/>
      <c r="C16" s="1338"/>
      <c r="D16" s="1338"/>
      <c r="E16" s="1015"/>
      <c r="F16" s="1338"/>
      <c r="G16" s="1015"/>
      <c r="H16" s="744"/>
    </row>
    <row r="17" spans="2:14" s="32" customFormat="1" ht="30" customHeight="1" x14ac:dyDescent="0.2">
      <c r="B17" s="324"/>
      <c r="C17" s="1016">
        <v>2019</v>
      </c>
      <c r="D17" s="1016">
        <v>2024</v>
      </c>
      <c r="E17" s="1004"/>
      <c r="F17" s="1016">
        <v>2024</v>
      </c>
      <c r="G17" s="33"/>
      <c r="H17" s="742"/>
    </row>
    <row r="18" spans="2:14" s="32" customFormat="1" ht="10.9" customHeight="1" x14ac:dyDescent="0.2">
      <c r="B18" s="758"/>
      <c r="C18" s="324"/>
      <c r="D18" s="1016"/>
      <c r="E18" s="1004"/>
      <c r="F18" s="1016"/>
      <c r="G18" s="33"/>
      <c r="H18" s="742"/>
    </row>
    <row r="19" spans="2:14" s="32" customFormat="1" ht="19.5" customHeight="1" x14ac:dyDescent="0.2">
      <c r="B19" s="1008" t="s">
        <v>692</v>
      </c>
      <c r="C19" s="1017">
        <f>'Determined fares'!C21*$C$34</f>
        <v>28.88</v>
      </c>
      <c r="D19" s="1020">
        <f>C26*$C$34</f>
        <v>35.200000000000003</v>
      </c>
      <c r="E19" s="1021">
        <f>(D19/C19)^(1/4)-1</f>
        <v>5.0718475074706948E-2</v>
      </c>
      <c r="F19" s="1020">
        <f>D26*$C$34+$C$35</f>
        <v>31.8</v>
      </c>
      <c r="G19" s="1009">
        <f>(F19/C19)^(1/4)-1</f>
        <v>2.4371489907653476E-2</v>
      </c>
      <c r="H19" s="746"/>
    </row>
    <row r="20" spans="2:14" s="32" customFormat="1" ht="19.5" customHeight="1" x14ac:dyDescent="0.2">
      <c r="B20" s="1010" t="s">
        <v>691</v>
      </c>
      <c r="C20" s="1019">
        <f>'Determined fares'!C22*$C$34</f>
        <v>35.840000000000003</v>
      </c>
      <c r="D20" s="1022">
        <f>C27*$C$34</f>
        <v>43.2</v>
      </c>
      <c r="E20" s="1023">
        <f>(D20/C20)^(1/4)-1</f>
        <v>4.7801308487014582E-2</v>
      </c>
      <c r="F20" s="1022">
        <f>D27*$C$34+$C$35</f>
        <v>39.799999999999997</v>
      </c>
      <c r="G20" s="1011">
        <f>(F20/C20)^(1/4)-1</f>
        <v>2.6546833661995839E-2</v>
      </c>
      <c r="H20" s="746"/>
    </row>
    <row r="21" spans="2:14" s="32" customFormat="1" ht="19.5" customHeight="1" x14ac:dyDescent="0.2">
      <c r="B21" s="1000"/>
      <c r="C21" s="766"/>
      <c r="D21" s="766"/>
      <c r="E21" s="766"/>
      <c r="H21" s="746"/>
    </row>
    <row r="22" spans="2:14" s="32" customFormat="1" ht="19.5" customHeight="1" x14ac:dyDescent="0.2">
      <c r="B22" s="788" t="s">
        <v>792</v>
      </c>
      <c r="D22" s="766"/>
      <c r="E22" s="766"/>
      <c r="H22" s="746"/>
    </row>
    <row r="23" spans="2:14" s="32" customFormat="1" ht="19.5" customHeight="1" x14ac:dyDescent="0.2">
      <c r="B23" s="1001" t="s">
        <v>477</v>
      </c>
      <c r="C23" s="1002" t="s">
        <v>783</v>
      </c>
      <c r="D23" s="1003" t="s">
        <v>782</v>
      </c>
      <c r="E23" s="766"/>
      <c r="H23" s="746"/>
      <c r="L23" s="998"/>
      <c r="M23" s="999"/>
      <c r="N23" s="1024"/>
    </row>
    <row r="24" spans="2:14" s="32" customFormat="1" ht="19.5" customHeight="1" x14ac:dyDescent="0.2">
      <c r="B24" s="758"/>
      <c r="C24" s="745">
        <v>2024</v>
      </c>
      <c r="D24" s="1004">
        <v>2024</v>
      </c>
      <c r="E24" s="766"/>
      <c r="H24" s="746"/>
      <c r="L24" s="998"/>
      <c r="M24" s="999"/>
      <c r="N24" s="1024"/>
    </row>
    <row r="25" spans="2:14" s="32" customFormat="1" ht="19.5" customHeight="1" x14ac:dyDescent="0.2">
      <c r="B25" s="758"/>
      <c r="C25" s="745"/>
      <c r="D25" s="1004"/>
      <c r="E25" s="766"/>
      <c r="H25" s="746"/>
      <c r="L25" s="998"/>
      <c r="M25" s="999"/>
      <c r="N25" s="1024"/>
    </row>
    <row r="26" spans="2:14" s="32" customFormat="1" ht="19.5" customHeight="1" x14ac:dyDescent="0.2">
      <c r="B26" s="1005" t="s">
        <v>692</v>
      </c>
      <c r="C26" s="999">
        <f>'Determined fares'!D21</f>
        <v>4.4000000000000004</v>
      </c>
      <c r="D26" s="1025">
        <v>3.35</v>
      </c>
      <c r="E26" s="766"/>
      <c r="H26" s="746"/>
      <c r="L26" s="998"/>
      <c r="M26" s="999"/>
      <c r="N26" s="1024"/>
    </row>
    <row r="27" spans="2:14" s="32" customFormat="1" ht="19.5" customHeight="1" x14ac:dyDescent="0.2">
      <c r="B27" s="1005" t="s">
        <v>691</v>
      </c>
      <c r="C27" s="999">
        <f>'Determined fares'!D22</f>
        <v>5.4</v>
      </c>
      <c r="D27" s="1025">
        <v>4.3499999999999996</v>
      </c>
      <c r="E27" s="766"/>
      <c r="H27" s="746"/>
      <c r="L27" s="998"/>
      <c r="M27" s="999"/>
      <c r="N27" s="1024"/>
    </row>
    <row r="28" spans="2:14" s="32" customFormat="1" ht="19.5" customHeight="1" x14ac:dyDescent="0.2">
      <c r="B28" s="1005" t="s">
        <v>679</v>
      </c>
      <c r="C28" s="999">
        <f>'Determined fares'!D23</f>
        <v>6.3</v>
      </c>
      <c r="D28" s="1025">
        <v>5.0999999999999996</v>
      </c>
      <c r="E28" s="766"/>
      <c r="H28" s="746"/>
      <c r="L28" s="998"/>
      <c r="M28" s="999"/>
      <c r="N28" s="1024"/>
    </row>
    <row r="29" spans="2:14" s="32" customFormat="1" ht="19.5" customHeight="1" x14ac:dyDescent="0.2">
      <c r="B29" s="1005" t="s">
        <v>690</v>
      </c>
      <c r="C29" s="999">
        <f>'Determined fares'!D24</f>
        <v>8.3000000000000007</v>
      </c>
      <c r="D29" s="1025">
        <v>7</v>
      </c>
      <c r="E29" s="766"/>
      <c r="H29" s="746"/>
      <c r="L29" s="998"/>
      <c r="M29" s="999"/>
      <c r="N29" s="1024"/>
    </row>
    <row r="30" spans="2:14" s="32" customFormat="1" ht="19.5" customHeight="1" x14ac:dyDescent="0.2">
      <c r="B30" s="1006" t="s">
        <v>689</v>
      </c>
      <c r="C30" s="1007">
        <f>'Determined fares'!D25</f>
        <v>10.7</v>
      </c>
      <c r="D30" s="1026">
        <v>8.65</v>
      </c>
      <c r="E30" s="766"/>
      <c r="H30" s="746"/>
      <c r="L30" s="998"/>
      <c r="M30" s="999"/>
      <c r="N30" s="1024"/>
    </row>
    <row r="31" spans="2:14" s="32" customFormat="1" ht="19.5" customHeight="1" x14ac:dyDescent="0.2">
      <c r="D31" s="766"/>
      <c r="E31" s="766"/>
      <c r="H31" s="746"/>
    </row>
    <row r="32" spans="2:14" s="32" customFormat="1" ht="19.5" customHeight="1" x14ac:dyDescent="0.2">
      <c r="D32" s="766"/>
      <c r="E32" s="766"/>
      <c r="H32" s="746"/>
    </row>
    <row r="33" spans="2:11" s="32" customFormat="1" ht="19.5" customHeight="1" x14ac:dyDescent="0.2">
      <c r="B33" s="788" t="s">
        <v>793</v>
      </c>
      <c r="D33" s="766"/>
      <c r="E33" s="766"/>
      <c r="H33" s="746"/>
    </row>
    <row r="34" spans="2:11" s="32" customFormat="1" ht="22.15" customHeight="1" x14ac:dyDescent="0.2">
      <c r="B34" s="581" t="s">
        <v>790</v>
      </c>
      <c r="C34" s="1027">
        <v>8</v>
      </c>
      <c r="H34" s="742"/>
      <c r="I34" s="993"/>
      <c r="J34" s="992"/>
      <c r="K34" s="992"/>
    </row>
    <row r="35" spans="2:11" s="32" customFormat="1" ht="29.45" customHeight="1" x14ac:dyDescent="0.2">
      <c r="B35" s="288" t="s">
        <v>788</v>
      </c>
      <c r="C35" s="1026">
        <v>5</v>
      </c>
      <c r="H35" s="742"/>
    </row>
    <row r="36" spans="2:11" s="679" customFormat="1" x14ac:dyDescent="0.2">
      <c r="H36" s="755"/>
      <c r="I36" s="996"/>
      <c r="J36" s="995"/>
      <c r="K36" s="995"/>
    </row>
    <row r="37" spans="2:11" ht="27" customHeight="1" x14ac:dyDescent="0.2"/>
    <row r="38" spans="2:11" ht="22.9" customHeight="1" x14ac:dyDescent="0.2"/>
    <row r="39" spans="2:11" ht="13.9" customHeight="1" x14ac:dyDescent="0.2"/>
    <row r="40" spans="2:11" ht="21.6" customHeight="1" x14ac:dyDescent="0.2"/>
    <row r="41" spans="2:11" ht="21.6" customHeight="1" x14ac:dyDescent="0.2"/>
    <row r="42" spans="2:11" ht="21.6" customHeight="1" x14ac:dyDescent="0.2"/>
    <row r="43" spans="2:11" ht="21.6" customHeight="1" x14ac:dyDescent="0.2"/>
    <row r="44" spans="2:11" ht="21.6" customHeight="1" x14ac:dyDescent="0.2"/>
  </sheetData>
  <mergeCells count="3">
    <mergeCell ref="C15:C16"/>
    <mergeCell ref="D15:D16"/>
    <mergeCell ref="F15:F1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AB245"/>
  <sheetViews>
    <sheetView showGridLines="0" zoomScale="75" zoomScaleNormal="75" workbookViewId="0"/>
  </sheetViews>
  <sheetFormatPr defaultColWidth="9" defaultRowHeight="12" x14ac:dyDescent="0.2"/>
  <cols>
    <col min="1" max="1" width="14.42578125" style="679" customWidth="1"/>
    <col min="2" max="2" width="39.42578125" style="679" customWidth="1"/>
    <col min="3" max="3" width="18.7109375" style="679" customWidth="1"/>
    <col min="4" max="4" width="15.42578125" style="679" customWidth="1"/>
    <col min="5" max="5" width="17.85546875" style="679" customWidth="1"/>
    <col min="6" max="6" width="13.28515625" style="679" customWidth="1"/>
    <col min="7" max="7" width="14.85546875" style="679" customWidth="1"/>
    <col min="8" max="8" width="19" style="679" customWidth="1"/>
    <col min="9" max="9" width="14.28515625" style="679" customWidth="1"/>
    <col min="10" max="10" width="49.42578125" style="679" customWidth="1"/>
    <col min="11" max="11" width="20.140625" style="679" customWidth="1"/>
    <col min="12" max="12" width="15.5703125" style="679" customWidth="1"/>
    <col min="13" max="13" width="17.7109375" style="679" customWidth="1"/>
    <col min="14" max="14" width="21.7109375" style="679" customWidth="1"/>
    <col min="15" max="17" width="9" style="679"/>
    <col min="18" max="18" width="10" style="679" bestFit="1" customWidth="1"/>
    <col min="19" max="19" width="9.85546875" style="679" bestFit="1" customWidth="1"/>
    <col min="20" max="16384" width="9" style="679"/>
  </cols>
  <sheetData>
    <row r="1" spans="1:28" ht="18.600000000000001" customHeight="1" x14ac:dyDescent="0.2">
      <c r="A1" s="28"/>
      <c r="B1" s="28"/>
      <c r="C1" s="28"/>
    </row>
    <row r="2" spans="1:28" ht="18.600000000000001" customHeight="1" x14ac:dyDescent="0.2">
      <c r="A2" s="28"/>
      <c r="B2" s="28"/>
      <c r="C2" s="28"/>
    </row>
    <row r="3" spans="1:28" ht="18.600000000000001" customHeight="1" x14ac:dyDescent="0.2">
      <c r="A3" s="28"/>
      <c r="B3" s="28"/>
      <c r="C3" s="28"/>
      <c r="K3" s="82" t="s">
        <v>409</v>
      </c>
      <c r="L3" s="28"/>
      <c r="M3" s="28"/>
      <c r="N3" s="28"/>
    </row>
    <row r="4" spans="1:28" ht="18.600000000000001" customHeight="1" x14ac:dyDescent="0.2">
      <c r="A4" s="28"/>
      <c r="B4" s="28"/>
      <c r="C4" s="28"/>
      <c r="L4" s="28"/>
      <c r="M4" s="28"/>
      <c r="N4" s="28"/>
    </row>
    <row r="5" spans="1:28" ht="18.600000000000001" customHeight="1" x14ac:dyDescent="0.2">
      <c r="A5" s="28"/>
      <c r="B5" s="28"/>
      <c r="C5" s="28"/>
      <c r="J5" s="449"/>
      <c r="K5" s="449" t="str">
        <f>'Contents, list of sources'!G17</f>
        <v>Organisation</v>
      </c>
      <c r="L5" s="449"/>
      <c r="M5" s="449" t="str">
        <f>'Contents, list of sources'!I17</f>
        <v>Title</v>
      </c>
      <c r="N5" s="449"/>
      <c r="O5" s="449"/>
      <c r="P5" s="449"/>
      <c r="Q5" s="449" t="str">
        <f>'Contents, list of sources'!M17</f>
        <v>Date published</v>
      </c>
      <c r="R5" s="449" t="str">
        <f>'Contents, list of sources'!N17</f>
        <v>Pg</v>
      </c>
      <c r="S5" s="449" t="str">
        <f>'Contents, list of sources'!O17</f>
        <v>Link</v>
      </c>
      <c r="T5" s="449"/>
      <c r="U5" s="449"/>
      <c r="V5" s="449"/>
      <c r="W5" s="449"/>
      <c r="X5" s="449"/>
      <c r="Y5" s="449"/>
      <c r="AA5" s="449"/>
    </row>
    <row r="6" spans="1:28" ht="18.600000000000001" customHeight="1" x14ac:dyDescent="0.2">
      <c r="A6" s="28"/>
      <c r="B6" s="28"/>
      <c r="C6" s="28"/>
      <c r="K6" s="74" t="str">
        <f>'Contents, list of sources'!G497</f>
        <v>IPART</v>
      </c>
      <c r="L6" s="74"/>
      <c r="M6" s="74" t="str">
        <f>'Contents, list of sources'!I497</f>
        <v>Review of Fares for Sydney Ferries in NSW from 2 January 2007</v>
      </c>
      <c r="N6" s="74"/>
      <c r="O6" s="74"/>
      <c r="P6" s="74"/>
      <c r="Q6" s="191">
        <f>'Contents, list of sources'!M497</f>
        <v>39052</v>
      </c>
      <c r="R6" s="74"/>
      <c r="S6" s="74" t="str">
        <f>'Contents, list of sources'!O497</f>
        <v>https://www.ipart.nsw.gov.au/files/sharedassets/website/trimholdingbay/final_report_-_review_of_fares_for_sydney_ferries_in_nsw_-_from_2_january_2007.pdf</v>
      </c>
      <c r="T6" s="74"/>
      <c r="U6" s="74"/>
      <c r="V6" s="74"/>
      <c r="W6" s="74"/>
      <c r="X6" s="74"/>
      <c r="Y6" s="74"/>
      <c r="Z6" s="74"/>
      <c r="AA6" s="74"/>
    </row>
    <row r="7" spans="1:28" ht="18.600000000000001" customHeight="1" x14ac:dyDescent="0.2">
      <c r="A7" s="28"/>
      <c r="B7" s="28"/>
      <c r="C7" s="28"/>
      <c r="K7" s="74" t="str">
        <f>'Contents, list of sources'!G498</f>
        <v>IPART</v>
      </c>
      <c r="L7" s="74"/>
      <c r="M7" s="74" t="str">
        <f>'Contents, list of sources'!I498</f>
        <v>Working document - Information - Review of fares for Sydney Ferries 2011 -Fares over time from SF issues paper- updated May 2012 - May 2012</v>
      </c>
      <c r="N7" s="74"/>
      <c r="O7" s="74"/>
      <c r="P7" s="74"/>
      <c r="Q7" s="191"/>
      <c r="R7" s="74"/>
      <c r="S7" s="74"/>
      <c r="T7" s="74"/>
      <c r="U7" s="74"/>
      <c r="V7" s="74"/>
      <c r="W7" s="74"/>
      <c r="X7" s="74"/>
      <c r="Y7" s="74"/>
      <c r="Z7" s="74"/>
      <c r="AA7" s="74"/>
    </row>
    <row r="8" spans="1:28" ht="18.600000000000001" customHeight="1" x14ac:dyDescent="0.2">
      <c r="K8" s="74" t="str">
        <f>'Contents, list of sources'!G499</f>
        <v xml:space="preserve">IPART </v>
      </c>
      <c r="L8" s="74"/>
      <c r="M8" s="74" t="str">
        <f>'Contents, list of sources'!I499</f>
        <v>Final Report - Review of CityRail fares 2009-2012</v>
      </c>
      <c r="N8" s="74"/>
      <c r="O8" s="74"/>
      <c r="P8" s="74"/>
      <c r="Q8" s="191">
        <f>'Contents, list of sources'!M499</f>
        <v>39783</v>
      </c>
      <c r="R8" s="74"/>
      <c r="S8" s="74" t="str">
        <f>'Contents, list of sources'!O499</f>
        <v>https://www.ipart.nsw.gov.au/files/sharedassets/website/trimholdingbay/final_report_-_review_of_cityrail_fares_2009-2012_-_december_2008_-_website_document.pdf</v>
      </c>
      <c r="T8" s="74"/>
      <c r="U8" s="74"/>
      <c r="V8" s="74"/>
      <c r="W8" s="74"/>
      <c r="X8" s="74"/>
      <c r="Y8" s="74"/>
      <c r="Z8" s="74"/>
      <c r="AA8" s="74"/>
    </row>
    <row r="9" spans="1:28" ht="18.600000000000001" customHeight="1" x14ac:dyDescent="0.2">
      <c r="K9" s="74" t="str">
        <f>'Contents, list of sources'!G500</f>
        <v xml:space="preserve">IPART </v>
      </c>
      <c r="L9" s="74"/>
      <c r="M9" s="74" t="str">
        <f>'Contents, list of sources'!I500</f>
        <v>Working document - Review of metropolitan bus fares 2009 - Cost and fares model for draft report - 3 October 2009</v>
      </c>
      <c r="N9" s="74"/>
      <c r="O9" s="74"/>
      <c r="P9" s="74"/>
      <c r="Q9" s="191"/>
      <c r="R9" s="74"/>
      <c r="S9" s="74"/>
      <c r="T9" s="74"/>
      <c r="U9" s="74"/>
      <c r="V9" s="74"/>
      <c r="W9" s="74"/>
      <c r="X9" s="74"/>
      <c r="Y9" s="74"/>
      <c r="Z9" s="74"/>
      <c r="AA9" s="74"/>
    </row>
    <row r="10" spans="1:28" ht="18.600000000000001" customHeight="1" x14ac:dyDescent="0.2">
      <c r="K10" s="74" t="str">
        <f>'Contents, list of sources'!G501</f>
        <v>IPART</v>
      </c>
      <c r="L10" s="74"/>
      <c r="M10" s="74" t="str">
        <f>'Contents, list of sources'!I501</f>
        <v>Review of fares for metropolitan and outer metropolitan bus services for 2009</v>
      </c>
      <c r="N10" s="74"/>
      <c r="O10" s="74"/>
      <c r="P10" s="74"/>
      <c r="Q10" s="191">
        <f>'Contents, list of sources'!M501</f>
        <v>39783</v>
      </c>
      <c r="R10" s="74"/>
      <c r="S10" s="74" t="str">
        <f>'Contents, list of sources'!O501</f>
        <v>https://www.ipart.nsw.gov.au/files/sharedassets/website/trimholdingbay/final_report_and_determination_-_review_of_fares_for_metropolitan_and_outer_metropolitan_bus_services_for_2009.pdf</v>
      </c>
      <c r="T10" s="74"/>
      <c r="U10" s="74"/>
      <c r="V10" s="74"/>
      <c r="W10" s="74"/>
      <c r="X10" s="74"/>
      <c r="Y10" s="74"/>
      <c r="Z10" s="74"/>
      <c r="AA10" s="74"/>
    </row>
    <row r="11" spans="1:28" s="270" customFormat="1" ht="18.600000000000001" customHeight="1" x14ac:dyDescent="0.3">
      <c r="B11" s="373" t="s">
        <v>705</v>
      </c>
      <c r="K11" s="74" t="str">
        <f>'Contents, list of sources'!G502</f>
        <v>Transport for NSW</v>
      </c>
      <c r="L11" s="74"/>
      <c r="M11" s="74" t="str">
        <f>'Contents, list of sources'!I502</f>
        <v>Train Statistics 2014</v>
      </c>
      <c r="N11" s="74"/>
      <c r="O11" s="74"/>
      <c r="P11" s="74"/>
      <c r="Q11" s="191">
        <f>'Contents, list of sources'!M502</f>
        <v>42125</v>
      </c>
      <c r="R11" s="74">
        <f>'Contents, list of sources'!N502</f>
        <v>38</v>
      </c>
      <c r="S11" s="74" t="str">
        <f>'Contents, list of sources'!O502</f>
        <v>https://www.transport.nsw.gov.au/sites/default/files/media/documents/2017/Train%20Statistics%202014.pdf</v>
      </c>
      <c r="T11" s="74"/>
      <c r="U11" s="74"/>
      <c r="V11" s="74"/>
      <c r="W11" s="74"/>
      <c r="X11" s="74"/>
      <c r="Y11" s="74"/>
      <c r="Z11" s="74"/>
      <c r="AA11" s="74"/>
      <c r="AB11" s="272"/>
    </row>
    <row r="12" spans="1:28" s="79" customFormat="1" ht="18.600000000000001" customHeight="1" x14ac:dyDescent="0.2">
      <c r="A12" s="374"/>
      <c r="K12" s="1283" t="str">
        <f>'Contents, list of sources'!G475</f>
        <v>NSW Government</v>
      </c>
      <c r="L12" s="1283"/>
      <c r="M12" s="1283" t="str">
        <f>'Contents, list of sources'!I475</f>
        <v>Adult fares</v>
      </c>
      <c r="N12" s="1283"/>
      <c r="O12" s="1283"/>
      <c r="P12" s="1283"/>
      <c r="Q12" s="1319">
        <f>'Contents, list of sources'!M475</f>
        <v>43586</v>
      </c>
      <c r="R12" s="1283"/>
      <c r="S12" s="1283" t="str">
        <f>'Contents, list of sources'!O475</f>
        <v>https://transportnsw.info/tickets-Opal/Opal/fares-payments/adult-fares</v>
      </c>
      <c r="T12" s="1283"/>
      <c r="U12" s="1283"/>
      <c r="V12" s="1283"/>
      <c r="W12" s="1283"/>
      <c r="X12" s="1283"/>
      <c r="Y12" s="1283"/>
      <c r="Z12" s="1283"/>
      <c r="AA12" s="1283"/>
    </row>
    <row r="13" spans="1:28" s="32" customFormat="1" ht="14.45" customHeight="1" x14ac:dyDescent="0.2">
      <c r="A13" s="379"/>
    </row>
    <row r="14" spans="1:28" s="32" customFormat="1" ht="14.45" customHeight="1" x14ac:dyDescent="0.2">
      <c r="A14" s="379"/>
    </row>
    <row r="15" spans="1:28" s="32" customFormat="1" ht="14.45" customHeight="1" x14ac:dyDescent="0.2">
      <c r="A15" s="379"/>
    </row>
    <row r="16" spans="1:28" s="32" customFormat="1" ht="14.45" customHeight="1" x14ac:dyDescent="0.2">
      <c r="A16" s="379"/>
      <c r="B16" s="329" t="s">
        <v>804</v>
      </c>
      <c r="H16" s="329" t="s">
        <v>805</v>
      </c>
    </row>
    <row r="17" spans="1:8" s="32" customFormat="1" ht="14.45" customHeight="1" x14ac:dyDescent="0.2">
      <c r="A17" s="379"/>
      <c r="B17" s="819" t="s">
        <v>700</v>
      </c>
      <c r="C17" s="28"/>
      <c r="D17" s="679"/>
      <c r="E17" s="679"/>
      <c r="F17" s="28"/>
      <c r="H17" s="28" t="s">
        <v>700</v>
      </c>
    </row>
    <row r="18" spans="1:8" s="32" customFormat="1" ht="14.45" customHeight="1" x14ac:dyDescent="0.2">
      <c r="A18" s="379"/>
      <c r="B18" s="28"/>
      <c r="C18" s="28"/>
      <c r="D18" s="679"/>
      <c r="E18" s="679"/>
      <c r="F18" s="28"/>
    </row>
    <row r="19" spans="1:8" s="32" customFormat="1" ht="14.45" customHeight="1" x14ac:dyDescent="0.2">
      <c r="A19" s="379"/>
      <c r="B19" s="28"/>
      <c r="C19" s="28"/>
      <c r="D19" s="679"/>
      <c r="E19" s="679"/>
      <c r="F19" s="679"/>
    </row>
    <row r="20" spans="1:8" s="32" customFormat="1" ht="14.45" customHeight="1" x14ac:dyDescent="0.2">
      <c r="A20" s="379"/>
      <c r="B20" s="28"/>
      <c r="C20" s="28"/>
      <c r="D20" s="679"/>
      <c r="E20" s="679"/>
      <c r="F20" s="679"/>
    </row>
    <row r="21" spans="1:8" s="32" customFormat="1" ht="14.45" customHeight="1" x14ac:dyDescent="0.2">
      <c r="A21" s="379"/>
      <c r="B21" s="28"/>
      <c r="C21" s="28"/>
      <c r="D21" s="679"/>
      <c r="E21" s="679"/>
      <c r="F21" s="679"/>
    </row>
    <row r="22" spans="1:8" s="32" customFormat="1" ht="14.45" customHeight="1" x14ac:dyDescent="0.2">
      <c r="A22" s="379"/>
      <c r="B22" s="28"/>
      <c r="C22" s="28"/>
      <c r="D22" s="679"/>
      <c r="E22" s="679"/>
      <c r="F22" s="679"/>
    </row>
    <row r="23" spans="1:8" s="32" customFormat="1" ht="14.45" customHeight="1" x14ac:dyDescent="0.2">
      <c r="A23" s="379"/>
      <c r="B23" s="28"/>
      <c r="C23" s="28"/>
      <c r="D23" s="679"/>
      <c r="E23" s="679"/>
      <c r="F23" s="679"/>
    </row>
    <row r="24" spans="1:8" s="32" customFormat="1" ht="14.45" customHeight="1" x14ac:dyDescent="0.2">
      <c r="A24" s="379"/>
      <c r="B24" s="28"/>
      <c r="C24" s="28"/>
      <c r="D24" s="679"/>
      <c r="E24" s="679"/>
      <c r="F24" s="679"/>
    </row>
    <row r="25" spans="1:8" s="32" customFormat="1" ht="14.45" customHeight="1" x14ac:dyDescent="0.2">
      <c r="A25" s="379"/>
      <c r="B25" s="28"/>
      <c r="C25" s="28"/>
      <c r="D25" s="679"/>
      <c r="E25" s="679"/>
      <c r="F25" s="679"/>
    </row>
    <row r="26" spans="1:8" s="32" customFormat="1" ht="14.45" customHeight="1" x14ac:dyDescent="0.2">
      <c r="A26" s="379"/>
      <c r="B26" s="28"/>
      <c r="C26" s="28"/>
      <c r="D26" s="679"/>
      <c r="E26" s="679"/>
      <c r="F26" s="679"/>
    </row>
    <row r="27" spans="1:8" s="32" customFormat="1" ht="14.45" customHeight="1" x14ac:dyDescent="0.2">
      <c r="A27" s="379"/>
      <c r="B27" s="28"/>
      <c r="C27" s="28"/>
      <c r="D27" s="679"/>
      <c r="E27" s="679"/>
      <c r="F27" s="679"/>
    </row>
    <row r="28" spans="1:8" s="32" customFormat="1" ht="14.45" customHeight="1" x14ac:dyDescent="0.2">
      <c r="A28" s="379"/>
      <c r="B28" s="28"/>
      <c r="C28" s="28"/>
      <c r="D28" s="679"/>
      <c r="E28" s="679"/>
      <c r="F28" s="679"/>
    </row>
    <row r="29" spans="1:8" s="32" customFormat="1" ht="14.45" customHeight="1" x14ac:dyDescent="0.2">
      <c r="A29" s="379"/>
      <c r="B29" s="28"/>
      <c r="C29" s="28"/>
      <c r="D29" s="679"/>
      <c r="E29" s="679"/>
      <c r="F29" s="679"/>
    </row>
    <row r="30" spans="1:8" s="32" customFormat="1" ht="14.45" customHeight="1" x14ac:dyDescent="0.2">
      <c r="A30" s="379"/>
      <c r="B30" s="28"/>
      <c r="C30" s="28"/>
      <c r="D30" s="679"/>
      <c r="E30" s="679"/>
      <c r="F30" s="679"/>
    </row>
    <row r="31" spans="1:8" s="32" customFormat="1" ht="14.45" customHeight="1" x14ac:dyDescent="0.2">
      <c r="A31" s="379"/>
      <c r="B31" s="28"/>
      <c r="C31" s="28"/>
      <c r="D31" s="679"/>
      <c r="E31" s="679"/>
      <c r="F31" s="679"/>
    </row>
    <row r="32" spans="1:8" s="32" customFormat="1" ht="14.45" customHeight="1" x14ac:dyDescent="0.2">
      <c r="A32" s="379"/>
      <c r="B32" s="28"/>
      <c r="C32" s="28"/>
      <c r="D32" s="679"/>
      <c r="E32" s="679"/>
      <c r="F32" s="679"/>
    </row>
    <row r="33" spans="1:11" s="32" customFormat="1" ht="14.45" customHeight="1" x14ac:dyDescent="0.2">
      <c r="A33" s="379"/>
      <c r="B33" s="28"/>
      <c r="C33" s="28"/>
      <c r="D33" s="679"/>
      <c r="E33" s="679"/>
      <c r="F33" s="679"/>
    </row>
    <row r="34" spans="1:11" s="32" customFormat="1" ht="14.45" customHeight="1" x14ac:dyDescent="0.2">
      <c r="A34" s="379"/>
      <c r="B34" s="28"/>
      <c r="C34" s="28"/>
      <c r="D34" s="679"/>
      <c r="E34" s="679"/>
      <c r="F34" s="679"/>
    </row>
    <row r="35" spans="1:11" s="32" customFormat="1" ht="14.45" customHeight="1" x14ac:dyDescent="0.2">
      <c r="A35" s="379"/>
      <c r="B35" s="28"/>
      <c r="C35" s="28"/>
      <c r="D35" s="679"/>
      <c r="E35" s="679"/>
      <c r="F35" s="679"/>
    </row>
    <row r="36" spans="1:11" s="32" customFormat="1" ht="14.45" customHeight="1" x14ac:dyDescent="0.2">
      <c r="A36" s="379"/>
      <c r="B36" s="28"/>
      <c r="C36" s="28"/>
      <c r="D36" s="679"/>
      <c r="E36" s="679"/>
      <c r="F36" s="679"/>
    </row>
    <row r="37" spans="1:11" s="32" customFormat="1" ht="14.45" customHeight="1" x14ac:dyDescent="0.2">
      <c r="A37" s="379"/>
      <c r="B37" s="28"/>
      <c r="C37" s="28"/>
      <c r="D37" s="679"/>
      <c r="E37" s="679"/>
      <c r="F37" s="679"/>
    </row>
    <row r="38" spans="1:11" s="32" customFormat="1" ht="14.45" customHeight="1" x14ac:dyDescent="0.2">
      <c r="A38" s="379"/>
      <c r="B38" s="28"/>
      <c r="C38" s="28"/>
      <c r="D38" s="679"/>
      <c r="E38" s="679"/>
      <c r="F38" s="679"/>
    </row>
    <row r="39" spans="1:11" s="32" customFormat="1" ht="213" customHeight="1" x14ac:dyDescent="0.2">
      <c r="A39" s="379"/>
      <c r="B39" s="28"/>
      <c r="C39" s="28"/>
      <c r="D39" s="679"/>
      <c r="E39" s="679"/>
      <c r="F39" s="679"/>
    </row>
    <row r="40" spans="1:11" s="32" customFormat="1" ht="14.45" customHeight="1" x14ac:dyDescent="0.2">
      <c r="A40" s="379"/>
      <c r="B40" s="28"/>
      <c r="C40" s="28"/>
      <c r="D40" s="679"/>
      <c r="E40" s="679"/>
      <c r="F40" s="679"/>
    </row>
    <row r="41" spans="1:11" s="32" customFormat="1" ht="14.45" customHeight="1" x14ac:dyDescent="0.2">
      <c r="A41" s="379"/>
      <c r="B41" s="28"/>
      <c r="C41" s="28"/>
      <c r="D41" s="679"/>
      <c r="E41" s="679"/>
      <c r="F41" s="679"/>
    </row>
    <row r="42" spans="1:11" s="32" customFormat="1" ht="14.45" customHeight="1" x14ac:dyDescent="0.2">
      <c r="A42" s="379"/>
      <c r="B42" s="28"/>
      <c r="C42" s="28"/>
      <c r="D42" s="679"/>
      <c r="E42" s="679"/>
      <c r="F42" s="679"/>
    </row>
    <row r="43" spans="1:11" s="32" customFormat="1" ht="14.45" customHeight="1" x14ac:dyDescent="0.2">
      <c r="A43" s="379"/>
      <c r="B43" s="28"/>
      <c r="C43" s="28"/>
      <c r="D43" s="679"/>
      <c r="E43" s="679"/>
      <c r="F43" s="28"/>
    </row>
    <row r="44" spans="1:11" s="32" customFormat="1" ht="14.45" customHeight="1" x14ac:dyDescent="0.2">
      <c r="A44" s="379"/>
      <c r="B44" s="28"/>
      <c r="C44" s="28"/>
      <c r="D44" s="679"/>
      <c r="E44" s="679"/>
      <c r="F44" s="28"/>
    </row>
    <row r="45" spans="1:11" s="32" customFormat="1" ht="14.45" customHeight="1" x14ac:dyDescent="0.2">
      <c r="A45" s="379"/>
      <c r="B45" s="1145" t="s">
        <v>803</v>
      </c>
      <c r="C45" s="1145"/>
      <c r="D45" s="1145"/>
      <c r="E45" s="1145"/>
      <c r="F45" s="1145"/>
      <c r="G45" s="1146"/>
    </row>
    <row r="46" spans="1:11" s="32" customFormat="1" ht="14.45" customHeight="1" x14ac:dyDescent="0.2">
      <c r="A46" s="379"/>
      <c r="B46" s="28"/>
      <c r="C46" s="28"/>
      <c r="D46" s="679"/>
      <c r="E46" s="679"/>
      <c r="F46" s="28"/>
    </row>
    <row r="47" spans="1:11" s="32" customFormat="1" ht="14.45" customHeight="1" x14ac:dyDescent="0.2">
      <c r="A47" s="379"/>
      <c r="B47" s="28"/>
      <c r="C47" s="28"/>
      <c r="D47" s="679"/>
      <c r="E47" s="679"/>
      <c r="F47" s="28"/>
    </row>
    <row r="48" spans="1:11" s="28" customFormat="1" ht="15" x14ac:dyDescent="0.2">
      <c r="A48" s="372"/>
      <c r="B48" s="42" t="s">
        <v>494</v>
      </c>
      <c r="D48" s="32"/>
      <c r="E48" s="32"/>
      <c r="K48" s="189" t="s">
        <v>456</v>
      </c>
    </row>
    <row r="49" spans="1:20" ht="24" x14ac:dyDescent="0.2">
      <c r="A49" s="9"/>
      <c r="B49" s="21"/>
      <c r="C49" s="853" t="s">
        <v>477</v>
      </c>
      <c r="D49" s="853" t="s">
        <v>482</v>
      </c>
      <c r="E49" s="853" t="s">
        <v>483</v>
      </c>
      <c r="F49" s="853">
        <v>2009</v>
      </c>
      <c r="G49" s="854">
        <v>2019</v>
      </c>
      <c r="H49" s="855">
        <v>2024</v>
      </c>
      <c r="I49" s="9"/>
      <c r="J49" s="362"/>
      <c r="K49" s="502">
        <f>2009</f>
        <v>2009</v>
      </c>
      <c r="L49" s="350"/>
    </row>
    <row r="50" spans="1:20" x14ac:dyDescent="0.2">
      <c r="A50" s="9"/>
      <c r="B50" s="159" t="s">
        <v>136</v>
      </c>
      <c r="C50" s="1234" t="s">
        <v>458</v>
      </c>
      <c r="D50" s="9"/>
      <c r="E50" s="9"/>
      <c r="F50" s="1234" t="s">
        <v>935</v>
      </c>
      <c r="G50" s="1234" t="s">
        <v>935</v>
      </c>
      <c r="H50" s="1233" t="s">
        <v>835</v>
      </c>
      <c r="I50" s="9"/>
      <c r="K50" s="503"/>
      <c r="L50" s="295"/>
    </row>
    <row r="51" spans="1:20" x14ac:dyDescent="0.2">
      <c r="A51" s="9"/>
      <c r="B51" s="22"/>
      <c r="C51" s="9"/>
      <c r="D51" s="9"/>
      <c r="E51" s="9"/>
      <c r="F51" s="836"/>
      <c r="G51" s="9"/>
      <c r="H51" s="47"/>
      <c r="I51" s="9"/>
      <c r="K51" s="503"/>
      <c r="L51" s="295"/>
    </row>
    <row r="52" spans="1:20" x14ac:dyDescent="0.2">
      <c r="A52" s="9"/>
      <c r="B52" s="159" t="s">
        <v>7</v>
      </c>
      <c r="C52" s="9"/>
      <c r="D52" s="9"/>
      <c r="E52" s="9"/>
      <c r="F52" s="9"/>
      <c r="G52" s="9"/>
      <c r="H52" s="47"/>
      <c r="I52" s="9"/>
      <c r="K52" s="503"/>
      <c r="L52" s="295"/>
    </row>
    <row r="53" spans="1:20" ht="36" x14ac:dyDescent="0.2">
      <c r="A53" s="9"/>
      <c r="B53" s="287" t="s">
        <v>936</v>
      </c>
      <c r="C53" s="32"/>
      <c r="D53" s="32"/>
      <c r="E53" s="32"/>
      <c r="F53" s="357">
        <v>39084</v>
      </c>
      <c r="G53" s="357">
        <v>43640</v>
      </c>
      <c r="H53" s="482">
        <v>45108</v>
      </c>
      <c r="I53" s="32"/>
      <c r="K53" s="505" t="str">
        <f>M6</f>
        <v>Review of Fares for Sydney Ferries in NSW from 2 January 2007</v>
      </c>
      <c r="L53" s="838"/>
    </row>
    <row r="54" spans="1:20" ht="14.45" customHeight="1" x14ac:dyDescent="0.2">
      <c r="A54" s="9"/>
      <c r="B54" s="22"/>
      <c r="C54" s="32"/>
      <c r="D54" s="32" t="s">
        <v>466</v>
      </c>
      <c r="E54" s="32"/>
      <c r="F54" s="830">
        <v>5.2</v>
      </c>
      <c r="G54" s="829">
        <f>'Determined fares'!C30</f>
        <v>6.12</v>
      </c>
      <c r="H54" s="826">
        <f>'Determined fares'!D30</f>
        <v>7.4</v>
      </c>
      <c r="I54" s="32"/>
      <c r="J54" s="363"/>
      <c r="K54" s="1339" t="str">
        <f>M7</f>
        <v>Working document - Information - Review of fares for Sydney Ferries 2011 -Fares over time from SF issues paper- updated May 2012 - May 2012</v>
      </c>
      <c r="L54" s="1341"/>
    </row>
    <row r="55" spans="1:20" ht="12.6" customHeight="1" x14ac:dyDescent="0.2">
      <c r="A55" s="9"/>
      <c r="B55" s="22"/>
      <c r="C55" s="32"/>
      <c r="D55" s="32" t="s">
        <v>467</v>
      </c>
      <c r="E55" s="32"/>
      <c r="F55" s="830">
        <v>5.5</v>
      </c>
      <c r="G55" s="839">
        <f>G54</f>
        <v>6.12</v>
      </c>
      <c r="H55" s="826">
        <f>H54</f>
        <v>7.4</v>
      </c>
      <c r="I55" s="32"/>
      <c r="J55" s="363"/>
      <c r="K55" s="1340"/>
      <c r="L55" s="1341"/>
    </row>
    <row r="56" spans="1:20" x14ac:dyDescent="0.2">
      <c r="A56" s="9"/>
      <c r="B56" s="22"/>
      <c r="C56" s="32"/>
      <c r="D56" s="32" t="s">
        <v>468</v>
      </c>
      <c r="E56" s="32"/>
      <c r="F56" s="830">
        <v>6.4</v>
      </c>
      <c r="G56" s="829">
        <f>'Determined fares'!C31</f>
        <v>7.65</v>
      </c>
      <c r="H56" s="826">
        <f>'Determined fares'!D31</f>
        <v>9.1999999999999993</v>
      </c>
      <c r="I56" s="32"/>
      <c r="J56" s="363"/>
      <c r="K56" s="1340"/>
      <c r="L56" s="1341"/>
    </row>
    <row r="57" spans="1:20" x14ac:dyDescent="0.2">
      <c r="A57" s="9"/>
      <c r="B57" s="22"/>
      <c r="C57" s="32"/>
      <c r="D57" s="32" t="s">
        <v>469</v>
      </c>
      <c r="E57" s="32"/>
      <c r="F57" s="830">
        <v>7.7</v>
      </c>
      <c r="G57" s="829">
        <f>G56</f>
        <v>7.65</v>
      </c>
      <c r="H57" s="826">
        <f>H56</f>
        <v>9.1999999999999993</v>
      </c>
      <c r="I57" s="32"/>
      <c r="J57" s="363"/>
      <c r="K57" s="1340"/>
      <c r="L57" s="1341"/>
    </row>
    <row r="58" spans="1:20" ht="52.15" customHeight="1" x14ac:dyDescent="0.2">
      <c r="A58" s="9"/>
      <c r="B58" s="22"/>
      <c r="C58" s="32"/>
      <c r="D58" s="32" t="s">
        <v>470</v>
      </c>
      <c r="E58" s="32"/>
      <c r="F58" s="830">
        <v>8.1999999999999993</v>
      </c>
      <c r="G58" s="829">
        <f>G57</f>
        <v>7.65</v>
      </c>
      <c r="H58" s="826">
        <f>H57</f>
        <v>9.1999999999999993</v>
      </c>
      <c r="I58" s="32"/>
      <c r="J58" s="363"/>
      <c r="K58" s="1340"/>
      <c r="L58" s="1341"/>
    </row>
    <row r="59" spans="1:20" x14ac:dyDescent="0.2">
      <c r="A59" s="9"/>
      <c r="B59" s="159"/>
      <c r="C59" s="9"/>
      <c r="D59" s="9"/>
      <c r="E59" s="32"/>
      <c r="F59" s="829"/>
      <c r="G59" s="829"/>
      <c r="H59" s="826"/>
      <c r="I59" s="32"/>
      <c r="J59" s="363"/>
      <c r="K59" s="506"/>
      <c r="L59" s="1341"/>
    </row>
    <row r="60" spans="1:20" x14ac:dyDescent="0.2">
      <c r="A60" s="9"/>
      <c r="B60" s="160" t="s">
        <v>4</v>
      </c>
      <c r="C60" s="9"/>
      <c r="D60" s="9"/>
      <c r="E60" s="32"/>
      <c r="F60" s="829"/>
      <c r="G60" s="829"/>
      <c r="H60" s="826"/>
      <c r="I60" s="32"/>
      <c r="J60" s="363"/>
      <c r="K60" s="506"/>
      <c r="L60" s="1341"/>
    </row>
    <row r="61" spans="1:20" ht="23.45" customHeight="1" x14ac:dyDescent="0.2">
      <c r="A61" s="9"/>
      <c r="B61" s="287" t="s">
        <v>936</v>
      </c>
      <c r="C61" s="9"/>
      <c r="D61" s="9"/>
      <c r="E61" s="32"/>
      <c r="F61" s="357">
        <v>39817</v>
      </c>
      <c r="G61" s="357">
        <f>G53</f>
        <v>43640</v>
      </c>
      <c r="H61" s="320">
        <f>H53</f>
        <v>45108</v>
      </c>
      <c r="I61" s="32"/>
      <c r="J61" s="363"/>
      <c r="K61" s="1339" t="str">
        <f>M8</f>
        <v>Final Report - Review of CityRail fares 2009-2012</v>
      </c>
      <c r="L61" s="1341"/>
      <c r="O61" s="13"/>
      <c r="P61" s="28"/>
      <c r="Q61" s="28"/>
      <c r="R61" s="28"/>
      <c r="S61" s="28"/>
      <c r="T61" s="678"/>
    </row>
    <row r="62" spans="1:20" x14ac:dyDescent="0.2">
      <c r="A62" s="9"/>
      <c r="B62" s="287" t="s">
        <v>458</v>
      </c>
      <c r="C62" s="32">
        <v>0</v>
      </c>
      <c r="D62" s="32"/>
      <c r="E62" s="32"/>
      <c r="F62" s="315">
        <v>3.2</v>
      </c>
      <c r="G62" s="345">
        <f>'Determined fares'!C21</f>
        <v>3.61</v>
      </c>
      <c r="H62" s="833">
        <f>'Determined fares'!D21</f>
        <v>4.4000000000000004</v>
      </c>
      <c r="I62" s="32"/>
      <c r="J62" s="363"/>
      <c r="K62" s="1340"/>
      <c r="L62" s="1341"/>
    </row>
    <row r="63" spans="1:20" x14ac:dyDescent="0.2">
      <c r="A63" s="9"/>
      <c r="B63" s="22" t="s">
        <v>471</v>
      </c>
      <c r="C63" s="295">
        <v>5</v>
      </c>
      <c r="D63" s="32"/>
      <c r="E63" s="32"/>
      <c r="F63" s="315">
        <v>3.4</v>
      </c>
      <c r="G63" s="839">
        <f>G62</f>
        <v>3.61</v>
      </c>
      <c r="H63" s="840">
        <f>H62</f>
        <v>4.4000000000000004</v>
      </c>
      <c r="I63" s="32"/>
      <c r="J63" s="363"/>
      <c r="K63" s="1340"/>
      <c r="L63" s="1341"/>
    </row>
    <row r="64" spans="1:20" x14ac:dyDescent="0.2">
      <c r="A64" s="9"/>
      <c r="B64" s="22"/>
      <c r="C64" s="295">
        <v>10</v>
      </c>
      <c r="D64" s="32"/>
      <c r="E64" s="32"/>
      <c r="F64" s="315">
        <v>3.8</v>
      </c>
      <c r="G64" s="345">
        <f>'Determined fares'!C22</f>
        <v>4.4800000000000004</v>
      </c>
      <c r="H64" s="833">
        <f>'Determined fares'!D22</f>
        <v>5.4</v>
      </c>
      <c r="I64" s="32"/>
      <c r="J64" s="363"/>
      <c r="K64" s="1340"/>
      <c r="L64" s="1341"/>
    </row>
    <row r="65" spans="1:12" x14ac:dyDescent="0.2">
      <c r="A65" s="9"/>
      <c r="B65" s="22"/>
      <c r="C65" s="295">
        <v>15</v>
      </c>
      <c r="D65" s="32"/>
      <c r="E65" s="32"/>
      <c r="F65" s="315">
        <v>4</v>
      </c>
      <c r="G65" s="839">
        <f>G64</f>
        <v>4.4800000000000004</v>
      </c>
      <c r="H65" s="840">
        <f>H64</f>
        <v>5.4</v>
      </c>
      <c r="I65" s="32"/>
      <c r="J65" s="363"/>
      <c r="K65" s="1340"/>
      <c r="L65" s="1341"/>
    </row>
    <row r="66" spans="1:12" x14ac:dyDescent="0.2">
      <c r="A66" s="9"/>
      <c r="B66" s="22"/>
      <c r="C66" s="295">
        <v>20</v>
      </c>
      <c r="D66" s="32"/>
      <c r="E66" s="32"/>
      <c r="F66" s="315">
        <v>4.4000000000000004</v>
      </c>
      <c r="G66" s="345">
        <f>'Determined fares'!C23</f>
        <v>5.15</v>
      </c>
      <c r="H66" s="833">
        <f>'Determined fares'!D23</f>
        <v>6.3</v>
      </c>
      <c r="I66" s="32"/>
      <c r="J66" s="363"/>
      <c r="K66" s="1340"/>
      <c r="L66" s="1341"/>
    </row>
    <row r="67" spans="1:12" x14ac:dyDescent="0.2">
      <c r="A67" s="9"/>
      <c r="B67" s="22"/>
      <c r="C67" s="295">
        <v>25</v>
      </c>
      <c r="D67" s="32"/>
      <c r="E67" s="32"/>
      <c r="F67" s="315">
        <v>4.8</v>
      </c>
      <c r="G67" s="839">
        <f>G66</f>
        <v>5.15</v>
      </c>
      <c r="H67" s="840">
        <f>H66</f>
        <v>6.3</v>
      </c>
      <c r="I67" s="32"/>
      <c r="J67" s="363"/>
      <c r="K67" s="1340"/>
      <c r="L67" s="1341"/>
    </row>
    <row r="68" spans="1:12" x14ac:dyDescent="0.2">
      <c r="A68" s="9"/>
      <c r="B68" s="22"/>
      <c r="C68" s="32">
        <v>30</v>
      </c>
      <c r="D68" s="32"/>
      <c r="E68" s="32"/>
      <c r="F68" s="830">
        <v>5</v>
      </c>
      <c r="G68" s="839">
        <f>G67</f>
        <v>5.15</v>
      </c>
      <c r="H68" s="840">
        <f>H67</f>
        <v>6.3</v>
      </c>
      <c r="I68" s="32"/>
      <c r="J68" s="363"/>
      <c r="K68" s="1340"/>
      <c r="L68" s="1341"/>
    </row>
    <row r="69" spans="1:12" x14ac:dyDescent="0.2">
      <c r="A69" s="9"/>
      <c r="B69" s="22"/>
      <c r="C69" s="32">
        <v>35</v>
      </c>
      <c r="D69" s="32"/>
      <c r="E69" s="32"/>
      <c r="F69" s="830">
        <v>5.6</v>
      </c>
      <c r="G69" s="345">
        <f>'Determined fares'!C24</f>
        <v>6.89</v>
      </c>
      <c r="H69" s="833">
        <f>'Determined fares'!D24</f>
        <v>8.3000000000000007</v>
      </c>
      <c r="I69" s="32"/>
      <c r="J69" s="363"/>
      <c r="K69" s="1340"/>
      <c r="L69" s="1341"/>
    </row>
    <row r="70" spans="1:12" x14ac:dyDescent="0.2">
      <c r="A70" s="9"/>
      <c r="B70" s="22"/>
      <c r="C70" s="32">
        <v>45</v>
      </c>
      <c r="D70" s="32"/>
      <c r="E70" s="32"/>
      <c r="F70" s="830">
        <v>6.6</v>
      </c>
      <c r="G70" s="839">
        <f>G69</f>
        <v>6.89</v>
      </c>
      <c r="H70" s="840">
        <f>H69</f>
        <v>8.3000000000000007</v>
      </c>
      <c r="I70" s="32"/>
      <c r="J70" s="363"/>
      <c r="K70" s="1340"/>
      <c r="L70" s="1341"/>
    </row>
    <row r="71" spans="1:12" x14ac:dyDescent="0.2">
      <c r="A71" s="9"/>
      <c r="B71" s="22"/>
      <c r="C71" s="32">
        <v>55</v>
      </c>
      <c r="D71" s="32"/>
      <c r="E71" s="32"/>
      <c r="F71" s="830">
        <v>7.2</v>
      </c>
      <c r="G71" s="832">
        <f>G70</f>
        <v>6.89</v>
      </c>
      <c r="H71" s="831">
        <f>H70</f>
        <v>8.3000000000000007</v>
      </c>
      <c r="I71" s="32"/>
      <c r="J71" s="363"/>
      <c r="K71" s="1340"/>
      <c r="L71" s="1341"/>
    </row>
    <row r="72" spans="1:12" x14ac:dyDescent="0.2">
      <c r="A72" s="9"/>
      <c r="B72" s="22"/>
      <c r="C72" s="32">
        <v>65</v>
      </c>
      <c r="D72" s="32"/>
      <c r="E72" s="32"/>
      <c r="F72" s="830">
        <v>8.6</v>
      </c>
      <c r="G72" s="345">
        <f>'Determined fares'!C25</f>
        <v>8.86</v>
      </c>
      <c r="H72" s="833">
        <f>'Determined fares'!D25</f>
        <v>10.7</v>
      </c>
      <c r="I72" s="32"/>
      <c r="J72" s="363"/>
      <c r="K72" s="1340"/>
      <c r="L72" s="1341"/>
    </row>
    <row r="73" spans="1:12" x14ac:dyDescent="0.2">
      <c r="A73" s="9"/>
      <c r="B73" s="22"/>
      <c r="C73" s="32">
        <v>75</v>
      </c>
      <c r="D73" s="32"/>
      <c r="E73" s="32"/>
      <c r="F73" s="830">
        <v>9.6</v>
      </c>
      <c r="G73" s="829">
        <f t="shared" ref="G73:H80" si="0">G72</f>
        <v>8.86</v>
      </c>
      <c r="H73" s="831">
        <f t="shared" si="0"/>
        <v>10.7</v>
      </c>
      <c r="I73" s="32"/>
      <c r="J73" s="363"/>
      <c r="K73" s="1340"/>
      <c r="L73" s="1341"/>
    </row>
    <row r="74" spans="1:12" x14ac:dyDescent="0.2">
      <c r="A74" s="9"/>
      <c r="B74" s="22"/>
      <c r="C74" s="32">
        <v>85</v>
      </c>
      <c r="D74" s="32"/>
      <c r="E74" s="32"/>
      <c r="F74" s="830">
        <v>10.6</v>
      </c>
      <c r="G74" s="829">
        <f t="shared" si="0"/>
        <v>8.86</v>
      </c>
      <c r="H74" s="831">
        <f t="shared" si="0"/>
        <v>10.7</v>
      </c>
      <c r="I74" s="32"/>
      <c r="J74" s="363"/>
      <c r="K74" s="1340"/>
      <c r="L74" s="1341"/>
    </row>
    <row r="75" spans="1:12" x14ac:dyDescent="0.2">
      <c r="A75" s="9"/>
      <c r="B75" s="22"/>
      <c r="C75" s="32">
        <v>95</v>
      </c>
      <c r="D75" s="32"/>
      <c r="E75" s="32"/>
      <c r="F75" s="830">
        <v>11</v>
      </c>
      <c r="G75" s="829">
        <f t="shared" si="0"/>
        <v>8.86</v>
      </c>
      <c r="H75" s="826">
        <f t="shared" si="0"/>
        <v>10.7</v>
      </c>
      <c r="I75" s="32"/>
      <c r="J75" s="363"/>
      <c r="K75" s="1340"/>
      <c r="L75" s="1341"/>
    </row>
    <row r="76" spans="1:12" x14ac:dyDescent="0.2">
      <c r="A76" s="9"/>
      <c r="B76" s="22"/>
      <c r="C76" s="32">
        <v>105</v>
      </c>
      <c r="D76" s="32"/>
      <c r="E76" s="32"/>
      <c r="F76" s="830">
        <v>12.2</v>
      </c>
      <c r="G76" s="829">
        <f t="shared" si="0"/>
        <v>8.86</v>
      </c>
      <c r="H76" s="826">
        <f t="shared" si="0"/>
        <v>10.7</v>
      </c>
      <c r="I76" s="32"/>
      <c r="J76" s="363"/>
      <c r="K76" s="1340"/>
      <c r="L76" s="1341"/>
    </row>
    <row r="77" spans="1:12" x14ac:dyDescent="0.2">
      <c r="A77" s="9"/>
      <c r="B77" s="22"/>
      <c r="C77" s="32">
        <v>115</v>
      </c>
      <c r="D77" s="32"/>
      <c r="E77" s="32"/>
      <c r="F77" s="830">
        <v>13.6</v>
      </c>
      <c r="G77" s="829">
        <f t="shared" si="0"/>
        <v>8.86</v>
      </c>
      <c r="H77" s="826">
        <f t="shared" si="0"/>
        <v>10.7</v>
      </c>
      <c r="I77" s="32"/>
      <c r="J77" s="363"/>
      <c r="K77" s="1340"/>
      <c r="L77" s="1341"/>
    </row>
    <row r="78" spans="1:12" x14ac:dyDescent="0.2">
      <c r="A78" s="9"/>
      <c r="B78" s="22"/>
      <c r="C78" s="32">
        <v>125</v>
      </c>
      <c r="D78" s="32"/>
      <c r="E78" s="32"/>
      <c r="F78" s="830">
        <v>13.8</v>
      </c>
      <c r="G78" s="829">
        <f t="shared" si="0"/>
        <v>8.86</v>
      </c>
      <c r="H78" s="826">
        <f t="shared" si="0"/>
        <v>10.7</v>
      </c>
      <c r="I78" s="32"/>
      <c r="J78" s="363"/>
      <c r="K78" s="1340"/>
      <c r="L78" s="1341"/>
    </row>
    <row r="79" spans="1:12" x14ac:dyDescent="0.2">
      <c r="A79" s="9"/>
      <c r="B79" s="22"/>
      <c r="C79" s="32">
        <v>135</v>
      </c>
      <c r="D79" s="32"/>
      <c r="E79" s="32"/>
      <c r="F79" s="830">
        <v>15.8</v>
      </c>
      <c r="G79" s="829">
        <f t="shared" si="0"/>
        <v>8.86</v>
      </c>
      <c r="H79" s="826">
        <f t="shared" si="0"/>
        <v>10.7</v>
      </c>
      <c r="I79" s="32"/>
      <c r="J79" s="363"/>
      <c r="K79" s="1340"/>
      <c r="L79" s="1341"/>
    </row>
    <row r="80" spans="1:12" x14ac:dyDescent="0.2">
      <c r="A80" s="9"/>
      <c r="B80" s="22"/>
      <c r="C80" s="32">
        <v>155</v>
      </c>
      <c r="D80" s="32"/>
      <c r="E80" s="32"/>
      <c r="F80" s="830">
        <v>18</v>
      </c>
      <c r="G80" s="829">
        <f t="shared" si="0"/>
        <v>8.86</v>
      </c>
      <c r="H80" s="826">
        <f t="shared" si="0"/>
        <v>10.7</v>
      </c>
      <c r="I80" s="32"/>
      <c r="J80" s="363"/>
      <c r="K80" s="1340"/>
      <c r="L80" s="1341"/>
    </row>
    <row r="81" spans="1:23" x14ac:dyDescent="0.2">
      <c r="A81" s="9"/>
      <c r="B81" s="22"/>
      <c r="C81" s="32">
        <v>175</v>
      </c>
      <c r="D81" s="32"/>
      <c r="E81" s="32"/>
      <c r="F81" s="319"/>
      <c r="G81" s="32"/>
      <c r="H81" s="33"/>
      <c r="I81" s="32"/>
      <c r="J81" s="363"/>
      <c r="K81" s="1340"/>
      <c r="L81" s="1341"/>
    </row>
    <row r="82" spans="1:23" ht="12.75" x14ac:dyDescent="0.2">
      <c r="A82" s="9"/>
      <c r="B82" s="22"/>
      <c r="C82" s="32"/>
      <c r="D82" s="32"/>
      <c r="E82" s="32"/>
      <c r="F82" s="319"/>
      <c r="G82" s="32"/>
      <c r="H82" s="33"/>
      <c r="I82" s="32"/>
      <c r="J82" s="363"/>
      <c r="K82" s="506"/>
      <c r="L82" s="1341"/>
      <c r="M82" s="841"/>
    </row>
    <row r="83" spans="1:23" x14ac:dyDescent="0.2">
      <c r="A83" s="9"/>
      <c r="B83" s="159" t="s">
        <v>3</v>
      </c>
      <c r="C83" s="32"/>
      <c r="D83" s="32"/>
      <c r="E83" s="32"/>
      <c r="F83" s="319"/>
      <c r="G83" s="32"/>
      <c r="H83" s="33"/>
      <c r="I83" s="32"/>
      <c r="J83" s="363"/>
      <c r="K83" s="503"/>
      <c r="L83" s="1341"/>
    </row>
    <row r="84" spans="1:23" ht="48" x14ac:dyDescent="0.2">
      <c r="A84" s="9"/>
      <c r="B84" s="287" t="s">
        <v>936</v>
      </c>
      <c r="C84" s="32"/>
      <c r="D84" s="32"/>
      <c r="E84" s="32"/>
      <c r="F84" s="357">
        <f>F61</f>
        <v>39817</v>
      </c>
      <c r="G84" s="357">
        <f>G61</f>
        <v>43640</v>
      </c>
      <c r="H84" s="320">
        <f>H61</f>
        <v>45108</v>
      </c>
      <c r="I84" s="32"/>
      <c r="J84" s="363"/>
      <c r="K84" s="509" t="str">
        <f>M10</f>
        <v>Review of fares for metropolitan and outer metropolitan bus services for 2009</v>
      </c>
      <c r="L84" s="1341"/>
    </row>
    <row r="85" spans="1:23" ht="65.25" customHeight="1" x14ac:dyDescent="0.2">
      <c r="A85" s="9"/>
      <c r="B85" s="22"/>
      <c r="C85" s="32">
        <v>0</v>
      </c>
      <c r="D85" s="32" t="s">
        <v>460</v>
      </c>
      <c r="E85" s="32">
        <v>2</v>
      </c>
      <c r="F85" s="322">
        <v>1.9</v>
      </c>
      <c r="G85" s="834">
        <f>'Determined fares'!C37</f>
        <v>2.2400000000000002</v>
      </c>
      <c r="H85" s="508">
        <f>'Determined fares'!D37</f>
        <v>3.2</v>
      </c>
      <c r="I85" s="32"/>
      <c r="J85" s="363"/>
      <c r="K85" s="509" t="str">
        <f>M9</f>
        <v>Working document - Review of metropolitan bus fares 2009 - Cost and fares model for draft report - 3 October 2009</v>
      </c>
      <c r="L85" s="1341"/>
    </row>
    <row r="86" spans="1:23" x14ac:dyDescent="0.2">
      <c r="A86" s="9"/>
      <c r="B86" s="22"/>
      <c r="C86" s="32">
        <f>'IPART inputs'!$C$21*E85</f>
        <v>3.2</v>
      </c>
      <c r="D86" s="32" t="s">
        <v>461</v>
      </c>
      <c r="E86" s="32">
        <v>5</v>
      </c>
      <c r="F86" s="322">
        <v>3.2</v>
      </c>
      <c r="G86" s="834">
        <f>'Determined fares'!C38</f>
        <v>3.73</v>
      </c>
      <c r="H86" s="508">
        <f>'Determined fares'!D38</f>
        <v>4.5999999999999996</v>
      </c>
      <c r="I86" s="32"/>
      <c r="J86" s="363"/>
      <c r="K86" s="503"/>
      <c r="L86" s="1341"/>
    </row>
    <row r="87" spans="1:23" x14ac:dyDescent="0.2">
      <c r="A87" s="9"/>
      <c r="B87" s="22"/>
      <c r="C87" s="32">
        <f>'IPART inputs'!$C$21*E86</f>
        <v>8</v>
      </c>
      <c r="D87" s="32" t="s">
        <v>462</v>
      </c>
      <c r="E87" s="32">
        <v>9</v>
      </c>
      <c r="F87" s="322">
        <v>4.2</v>
      </c>
      <c r="G87" s="834">
        <f>'Determined fares'!C39</f>
        <v>4.8</v>
      </c>
      <c r="H87" s="508">
        <f>'Determined fares'!D39</f>
        <v>6</v>
      </c>
      <c r="I87" s="32"/>
      <c r="J87" s="363"/>
      <c r="K87" s="503"/>
      <c r="L87" s="1341"/>
    </row>
    <row r="88" spans="1:23" x14ac:dyDescent="0.2">
      <c r="A88" s="9"/>
      <c r="B88" s="22"/>
      <c r="C88" s="32">
        <f>'IPART inputs'!$C$21*E87</f>
        <v>14.4</v>
      </c>
      <c r="D88" s="32" t="s">
        <v>463</v>
      </c>
      <c r="E88" s="32">
        <v>15</v>
      </c>
      <c r="F88" s="322">
        <v>5</v>
      </c>
      <c r="G88" s="834">
        <f>'Determined fares'!C40</f>
        <v>4.8</v>
      </c>
      <c r="H88" s="508">
        <f>'Determined fares'!D40</f>
        <v>6.4</v>
      </c>
      <c r="I88" s="32"/>
      <c r="J88" s="363"/>
      <c r="K88" s="503"/>
      <c r="L88" s="1341"/>
    </row>
    <row r="89" spans="1:23" x14ac:dyDescent="0.2">
      <c r="A89" s="9"/>
      <c r="B89" s="22"/>
      <c r="C89" s="32">
        <f>'IPART inputs'!$C$21*E88</f>
        <v>24</v>
      </c>
      <c r="D89" s="32" t="s">
        <v>464</v>
      </c>
      <c r="E89" s="32">
        <v>21</v>
      </c>
      <c r="F89" s="322">
        <v>6.1</v>
      </c>
      <c r="G89" s="834">
        <f>G88</f>
        <v>4.8</v>
      </c>
      <c r="H89" s="508">
        <f>H88</f>
        <v>6.4</v>
      </c>
      <c r="I89" s="32"/>
      <c r="J89" s="363"/>
      <c r="K89" s="503"/>
      <c r="L89" s="1341"/>
    </row>
    <row r="90" spans="1:23" x14ac:dyDescent="0.2">
      <c r="A90" s="9"/>
      <c r="B90" s="23"/>
      <c r="C90" s="79">
        <f>'IPART inputs'!$C$21*E89</f>
        <v>33.6</v>
      </c>
      <c r="D90" s="79" t="s">
        <v>465</v>
      </c>
      <c r="E90" s="79">
        <v>27</v>
      </c>
      <c r="F90" s="828">
        <f>F89</f>
        <v>6.1</v>
      </c>
      <c r="G90" s="835">
        <f>G89</f>
        <v>4.8</v>
      </c>
      <c r="H90" s="837">
        <f>H89</f>
        <v>6.4</v>
      </c>
      <c r="I90" s="32"/>
      <c r="K90" s="503"/>
      <c r="L90" s="1341"/>
    </row>
    <row r="91" spans="1:23" x14ac:dyDescent="0.2">
      <c r="A91" s="9"/>
      <c r="B91" s="9"/>
      <c r="C91" s="32"/>
      <c r="D91" s="9"/>
      <c r="E91" s="32"/>
      <c r="F91" s="32"/>
      <c r="G91" s="32"/>
      <c r="H91" s="32"/>
      <c r="I91" s="32"/>
    </row>
    <row r="92" spans="1:23" x14ac:dyDescent="0.2">
      <c r="A92" s="9"/>
      <c r="B92" s="9"/>
      <c r="C92" s="32"/>
      <c r="D92" s="9"/>
      <c r="E92" s="32"/>
      <c r="F92" s="32"/>
      <c r="G92" s="32"/>
      <c r="H92" s="32"/>
      <c r="I92" s="32"/>
    </row>
    <row r="93" spans="1:23" x14ac:dyDescent="0.2">
      <c r="A93" s="9"/>
      <c r="B93" s="9"/>
      <c r="C93" s="32"/>
      <c r="D93" s="9"/>
      <c r="E93" s="32"/>
      <c r="F93" s="32"/>
      <c r="G93" s="32"/>
      <c r="H93" s="32"/>
      <c r="I93" s="32"/>
    </row>
    <row r="94" spans="1:23" x14ac:dyDescent="0.2">
      <c r="A94" s="9"/>
      <c r="B94" s="9"/>
      <c r="C94" s="32"/>
      <c r="D94" s="9"/>
      <c r="E94" s="32"/>
      <c r="F94" s="32"/>
      <c r="G94" s="32"/>
      <c r="H94" s="32"/>
      <c r="I94" s="32"/>
    </row>
    <row r="95" spans="1:23" ht="15" x14ac:dyDescent="0.2">
      <c r="A95" s="9"/>
      <c r="B95" s="42" t="s">
        <v>706</v>
      </c>
      <c r="C95" s="32"/>
      <c r="D95" s="9"/>
      <c r="E95" s="32"/>
      <c r="F95" s="9"/>
      <c r="G95" s="9"/>
      <c r="H95" s="9"/>
      <c r="I95" s="32"/>
    </row>
    <row r="96" spans="1:23" ht="24" x14ac:dyDescent="0.2">
      <c r="B96" s="21"/>
      <c r="C96" s="850" t="str">
        <f>C49</f>
        <v>Distance</v>
      </c>
      <c r="D96" s="850" t="str">
        <f>D49</f>
        <v>Sections/destination</v>
      </c>
      <c r="E96" s="850" t="str">
        <f>E49</f>
        <v>Upper section bound</v>
      </c>
      <c r="F96" s="850">
        <f>F49</f>
        <v>2009</v>
      </c>
      <c r="G96" s="850">
        <f>G49</f>
        <v>2019</v>
      </c>
      <c r="H96" s="851">
        <v>2024</v>
      </c>
      <c r="I96" s="852" t="s">
        <v>704</v>
      </c>
      <c r="J96" s="28"/>
      <c r="K96" s="28"/>
      <c r="L96" s="28"/>
      <c r="M96" s="28"/>
      <c r="N96" s="28"/>
      <c r="O96" s="28"/>
      <c r="P96" s="28"/>
      <c r="Q96" s="28"/>
      <c r="R96" s="28"/>
      <c r="S96" s="28"/>
      <c r="T96" s="28"/>
      <c r="U96" s="28"/>
      <c r="V96" s="28"/>
      <c r="W96" s="28"/>
    </row>
    <row r="97" spans="2:23" x14ac:dyDescent="0.2">
      <c r="B97" s="12" t="str">
        <f>B50</f>
        <v>Mode</v>
      </c>
      <c r="C97" s="32"/>
      <c r="D97" s="32"/>
      <c r="E97" s="32"/>
      <c r="F97" s="32"/>
      <c r="G97" s="32"/>
      <c r="H97" s="32"/>
      <c r="I97" s="33" t="s">
        <v>703</v>
      </c>
      <c r="J97" s="28"/>
      <c r="K97" s="28"/>
      <c r="L97" s="28"/>
      <c r="M97" s="28"/>
      <c r="N97" s="28"/>
      <c r="O97" s="28"/>
      <c r="P97" s="28"/>
      <c r="Q97" s="28"/>
      <c r="R97" s="28"/>
      <c r="S97" s="28"/>
      <c r="T97" s="28"/>
      <c r="U97" s="28"/>
      <c r="V97" s="28"/>
      <c r="W97" s="28"/>
    </row>
    <row r="98" spans="2:23" x14ac:dyDescent="0.2">
      <c r="B98" s="324"/>
      <c r="C98" s="32"/>
      <c r="D98" s="32"/>
      <c r="E98" s="32"/>
      <c r="F98" s="32"/>
      <c r="G98" s="32"/>
      <c r="H98" s="32"/>
      <c r="I98" s="33"/>
      <c r="J98" s="28"/>
      <c r="K98" s="28"/>
      <c r="L98" s="28"/>
      <c r="M98" s="28"/>
      <c r="N98" s="28"/>
      <c r="O98" s="28"/>
      <c r="P98" s="28"/>
      <c r="Q98" s="28"/>
      <c r="R98" s="28"/>
      <c r="S98" s="28"/>
      <c r="T98" s="28"/>
      <c r="U98" s="28"/>
      <c r="V98" s="28"/>
      <c r="W98" s="28"/>
    </row>
    <row r="99" spans="2:23" x14ac:dyDescent="0.2">
      <c r="B99" s="12" t="str">
        <f>B52</f>
        <v>Ferry</v>
      </c>
      <c r="C99" s="32"/>
      <c r="D99" s="32"/>
      <c r="E99" s="32"/>
      <c r="F99" s="32"/>
      <c r="G99" s="32"/>
      <c r="H99" s="32"/>
      <c r="I99" s="33"/>
      <c r="J99" s="28"/>
      <c r="K99" s="28"/>
      <c r="L99" s="28"/>
      <c r="M99" s="28"/>
      <c r="N99" s="28"/>
      <c r="O99" s="28"/>
      <c r="P99" s="28"/>
      <c r="Q99" s="28"/>
      <c r="R99" s="28"/>
      <c r="S99" s="28"/>
      <c r="T99" s="28"/>
      <c r="U99" s="28"/>
      <c r="V99" s="28"/>
      <c r="W99" s="28"/>
    </row>
    <row r="100" spans="2:23" x14ac:dyDescent="0.2">
      <c r="B100" s="474"/>
      <c r="C100" s="32"/>
      <c r="D100" s="32"/>
      <c r="E100" s="32"/>
      <c r="F100" s="357"/>
      <c r="G100" s="357"/>
      <c r="H100" s="32"/>
      <c r="I100" s="33"/>
    </row>
    <row r="101" spans="2:23" x14ac:dyDescent="0.2">
      <c r="B101" s="324"/>
      <c r="C101" s="32"/>
      <c r="D101" s="32" t="str">
        <f>D54</f>
        <v>Inner Zone 1</v>
      </c>
      <c r="E101" s="32"/>
      <c r="F101" s="319">
        <f>F54*'IPART inputs'!$G$81</f>
        <v>6.4076352067868534</v>
      </c>
      <c r="G101" s="827">
        <f>G54</f>
        <v>6.12</v>
      </c>
      <c r="H101" s="829">
        <f>H54/'IPART inputs'!$C$102</f>
        <v>6.7501332424421836</v>
      </c>
      <c r="I101" s="342">
        <f>H101/F101-1</f>
        <v>5.3451550314937091E-2</v>
      </c>
    </row>
    <row r="102" spans="2:23" x14ac:dyDescent="0.2">
      <c r="B102" s="324"/>
      <c r="C102" s="32"/>
      <c r="D102" s="32" t="str">
        <f>D55</f>
        <v>Inner Zone 2</v>
      </c>
      <c r="E102" s="32"/>
      <c r="F102" s="319">
        <f>F55*'IPART inputs'!$G$81</f>
        <v>6.7773064687168638</v>
      </c>
      <c r="G102" s="827">
        <f t="shared" ref="G102:G105" si="1">G55</f>
        <v>6.12</v>
      </c>
      <c r="H102" s="829">
        <f>H55/'IPART inputs'!$C$102</f>
        <v>6.7501332424421836</v>
      </c>
      <c r="I102" s="342">
        <f>H102/F102-1</f>
        <v>-4.0094433386048678E-3</v>
      </c>
      <c r="J102" s="28"/>
      <c r="K102" s="28"/>
      <c r="L102" s="28"/>
      <c r="M102" s="28"/>
      <c r="N102" s="28"/>
      <c r="O102" s="28"/>
      <c r="P102" s="28"/>
      <c r="Q102" s="28"/>
      <c r="R102" s="28"/>
      <c r="S102" s="28"/>
      <c r="T102" s="28"/>
      <c r="U102" s="28"/>
      <c r="V102" s="28"/>
      <c r="W102" s="28"/>
    </row>
    <row r="103" spans="2:23" x14ac:dyDescent="0.2">
      <c r="B103" s="324"/>
      <c r="C103" s="32"/>
      <c r="D103" s="32" t="str">
        <f>D56</f>
        <v>Manly/Rydalmere</v>
      </c>
      <c r="E103" s="32"/>
      <c r="F103" s="319">
        <f>F56*'IPART inputs'!$G$81</f>
        <v>7.886320254506896</v>
      </c>
      <c r="G103" s="827">
        <f t="shared" si="1"/>
        <v>7.65</v>
      </c>
      <c r="H103" s="829">
        <f>H56/'IPART inputs'!$C$102</f>
        <v>8.3920575446578489</v>
      </c>
      <c r="I103" s="342">
        <f>H103/F103-1</f>
        <v>6.4128424135696527E-2</v>
      </c>
    </row>
    <row r="104" spans="2:23" x14ac:dyDescent="0.2">
      <c r="B104" s="324"/>
      <c r="C104" s="32"/>
      <c r="D104" s="32" t="str">
        <f>D57</f>
        <v>Parramatta</v>
      </c>
      <c r="E104" s="32"/>
      <c r="F104" s="319">
        <f>F57*'IPART inputs'!$G$81</f>
        <v>9.4882290562036093</v>
      </c>
      <c r="G104" s="827">
        <f t="shared" si="1"/>
        <v>7.65</v>
      </c>
      <c r="H104" s="829">
        <f>H57/'IPART inputs'!$C$102</f>
        <v>8.3920575446578489</v>
      </c>
      <c r="I104" s="342">
        <f>H104/F104-1</f>
        <v>-0.11552962149760282</v>
      </c>
      <c r="J104" s="28"/>
      <c r="K104" s="28"/>
      <c r="L104" s="28"/>
      <c r="M104" s="28"/>
      <c r="N104" s="28"/>
      <c r="O104" s="28"/>
      <c r="P104" s="28"/>
      <c r="Q104" s="28"/>
      <c r="R104" s="28"/>
      <c r="S104" s="28"/>
      <c r="T104" s="28"/>
      <c r="U104" s="28"/>
      <c r="V104" s="28"/>
      <c r="W104" s="28"/>
    </row>
    <row r="105" spans="2:23" x14ac:dyDescent="0.2">
      <c r="B105" s="324"/>
      <c r="C105" s="32"/>
      <c r="D105" s="32" t="str">
        <f>D58</f>
        <v>Jetcat</v>
      </c>
      <c r="E105" s="32"/>
      <c r="F105" s="319">
        <f>F58*'IPART inputs'!$G$81</f>
        <v>10.104347826086959</v>
      </c>
      <c r="G105" s="827">
        <f t="shared" si="1"/>
        <v>7.65</v>
      </c>
      <c r="H105" s="829">
        <f>H58/'IPART inputs'!$C$102</f>
        <v>8.3920575446578489</v>
      </c>
      <c r="I105" s="342">
        <f>H105/F105-1</f>
        <v>-0.16946074213799278</v>
      </c>
      <c r="J105" s="28"/>
      <c r="K105" s="28"/>
      <c r="L105" s="28"/>
      <c r="M105" s="28"/>
      <c r="N105" s="28"/>
      <c r="O105" s="28"/>
      <c r="P105" s="28"/>
      <c r="Q105" s="28"/>
      <c r="R105" s="28"/>
      <c r="S105" s="28"/>
      <c r="T105" s="28"/>
      <c r="U105" s="28"/>
      <c r="V105" s="28"/>
      <c r="W105" s="28"/>
    </row>
    <row r="106" spans="2:23" x14ac:dyDescent="0.2">
      <c r="B106" s="12"/>
      <c r="C106" s="32"/>
      <c r="D106" s="9"/>
      <c r="E106" s="32"/>
      <c r="F106" s="319"/>
      <c r="G106" s="827"/>
      <c r="H106" s="829"/>
      <c r="I106" s="342"/>
      <c r="J106" s="28"/>
      <c r="K106" s="28"/>
      <c r="L106" s="28"/>
      <c r="M106" s="28"/>
      <c r="N106" s="28"/>
      <c r="O106" s="28"/>
      <c r="P106" s="28"/>
      <c r="Q106" s="28"/>
      <c r="R106" s="28"/>
      <c r="S106" s="28"/>
      <c r="T106" s="28"/>
      <c r="U106" s="28"/>
      <c r="V106" s="28"/>
      <c r="W106" s="28"/>
    </row>
    <row r="107" spans="2:23" x14ac:dyDescent="0.2">
      <c r="B107" s="321" t="str">
        <f>B60</f>
        <v>Train</v>
      </c>
      <c r="C107" s="32"/>
      <c r="D107" s="9"/>
      <c r="E107" s="32"/>
      <c r="F107" s="319"/>
      <c r="G107" s="827"/>
      <c r="H107" s="829"/>
      <c r="I107" s="342"/>
      <c r="J107" s="28"/>
      <c r="K107" s="28"/>
      <c r="L107" s="28"/>
      <c r="M107" s="28"/>
      <c r="N107" s="28"/>
      <c r="O107" s="28"/>
      <c r="P107" s="28"/>
      <c r="Q107" s="28"/>
      <c r="R107" s="28"/>
      <c r="S107" s="28"/>
      <c r="T107" s="28"/>
      <c r="U107" s="28"/>
      <c r="V107" s="28"/>
      <c r="W107" s="28"/>
    </row>
    <row r="108" spans="2:23" x14ac:dyDescent="0.2">
      <c r="B108" s="474"/>
      <c r="C108" s="32"/>
      <c r="D108" s="9"/>
      <c r="E108" s="32"/>
      <c r="F108" s="319"/>
      <c r="G108" s="827"/>
      <c r="H108" s="829"/>
      <c r="I108" s="342"/>
      <c r="J108" s="28"/>
      <c r="K108" s="28"/>
      <c r="L108" s="28"/>
      <c r="M108" s="28"/>
      <c r="N108" s="28"/>
      <c r="O108" s="28"/>
      <c r="P108" s="28"/>
      <c r="Q108" s="28"/>
      <c r="R108" s="28"/>
      <c r="S108" s="28"/>
      <c r="T108" s="28"/>
      <c r="U108" s="28"/>
      <c r="V108" s="28"/>
      <c r="W108" s="28"/>
    </row>
    <row r="109" spans="2:23" x14ac:dyDescent="0.2">
      <c r="B109" s="474" t="str">
        <f>B62</f>
        <v>km</v>
      </c>
      <c r="C109" s="32">
        <v>0</v>
      </c>
      <c r="D109" s="9"/>
      <c r="E109" s="32">
        <f t="shared" ref="E109:E127" si="2">C109</f>
        <v>0</v>
      </c>
      <c r="F109" s="319">
        <f>F62*'IPART inputs'!$G$81</f>
        <v>3.943160127253448</v>
      </c>
      <c r="G109" s="827">
        <f>G62</f>
        <v>3.61</v>
      </c>
      <c r="H109" s="829">
        <f>H62/'IPART inputs'!$C$102</f>
        <v>4.0135927387494066</v>
      </c>
      <c r="I109" s="342">
        <f t="shared" ref="I109:I127" si="3">H109/F109-1</f>
        <v>1.7861970912405489E-2</v>
      </c>
      <c r="J109" s="842"/>
    </row>
    <row r="110" spans="2:23" x14ac:dyDescent="0.2">
      <c r="B110" s="324" t="str">
        <f>B63</f>
        <v>(from)</v>
      </c>
      <c r="C110" s="295">
        <v>5</v>
      </c>
      <c r="D110" s="9"/>
      <c r="E110" s="32">
        <f t="shared" si="2"/>
        <v>5</v>
      </c>
      <c r="F110" s="319">
        <f>F63*'IPART inputs'!$G$81</f>
        <v>4.1896076352067881</v>
      </c>
      <c r="G110" s="827">
        <f t="shared" ref="G110:G127" si="4">G63</f>
        <v>3.61</v>
      </c>
      <c r="H110" s="829">
        <f>H63/'IPART inputs'!$C$102</f>
        <v>4.0135927387494066</v>
      </c>
      <c r="I110" s="342">
        <f t="shared" si="3"/>
        <v>-4.2012262670677036E-2</v>
      </c>
      <c r="J110" s="842"/>
      <c r="K110" s="28"/>
      <c r="L110" s="28"/>
      <c r="M110" s="28"/>
      <c r="N110" s="28"/>
      <c r="O110" s="28"/>
      <c r="P110" s="28"/>
      <c r="Q110" s="28"/>
      <c r="R110" s="28"/>
      <c r="S110" s="28"/>
      <c r="T110" s="28"/>
      <c r="U110" s="28"/>
      <c r="V110" s="28"/>
      <c r="W110" s="28"/>
    </row>
    <row r="111" spans="2:23" x14ac:dyDescent="0.2">
      <c r="B111" s="324"/>
      <c r="C111" s="295">
        <v>10</v>
      </c>
      <c r="D111" s="9"/>
      <c r="E111" s="32">
        <f t="shared" si="2"/>
        <v>10</v>
      </c>
      <c r="F111" s="319">
        <f>F64*'IPART inputs'!$G$81</f>
        <v>4.6825026511134693</v>
      </c>
      <c r="G111" s="827">
        <f t="shared" si="4"/>
        <v>4.4800000000000004</v>
      </c>
      <c r="H111" s="829">
        <f>H64/'IPART inputs'!$C$102</f>
        <v>4.9257729066469986</v>
      </c>
      <c r="I111" s="342">
        <f t="shared" si="3"/>
        <v>5.195304170851478E-2</v>
      </c>
      <c r="J111" s="842"/>
    </row>
    <row r="112" spans="2:23" x14ac:dyDescent="0.2">
      <c r="B112" s="324"/>
      <c r="C112" s="295">
        <v>15</v>
      </c>
      <c r="D112" s="9"/>
      <c r="E112" s="32">
        <f t="shared" si="2"/>
        <v>15</v>
      </c>
      <c r="F112" s="319">
        <f>F65*'IPART inputs'!$G$81</f>
        <v>4.9289501590668099</v>
      </c>
      <c r="G112" s="827">
        <f t="shared" si="4"/>
        <v>4.4800000000000004</v>
      </c>
      <c r="H112" s="829">
        <f>H65/'IPART inputs'!$C$102</f>
        <v>4.9257729066469986</v>
      </c>
      <c r="I112" s="342">
        <f t="shared" si="3"/>
        <v>-6.446103769108813E-4</v>
      </c>
      <c r="J112" s="842"/>
      <c r="K112" s="28"/>
      <c r="L112" s="28"/>
      <c r="M112" s="28"/>
      <c r="N112" s="28"/>
      <c r="O112" s="28"/>
      <c r="P112" s="28"/>
      <c r="Q112" s="28"/>
      <c r="R112" s="28"/>
      <c r="S112" s="28"/>
      <c r="T112" s="28"/>
      <c r="U112" s="28"/>
      <c r="V112" s="28"/>
      <c r="W112" s="28"/>
    </row>
    <row r="113" spans="2:23" x14ac:dyDescent="0.2">
      <c r="B113" s="324"/>
      <c r="C113" s="295">
        <v>20</v>
      </c>
      <c r="D113" s="9"/>
      <c r="E113" s="32">
        <f t="shared" si="2"/>
        <v>20</v>
      </c>
      <c r="F113" s="319">
        <f>F66*'IPART inputs'!$G$81</f>
        <v>5.4218451749734911</v>
      </c>
      <c r="G113" s="827">
        <f t="shared" si="4"/>
        <v>5.15</v>
      </c>
      <c r="H113" s="829">
        <f>H66/'IPART inputs'!$C$102</f>
        <v>5.7467350577548313</v>
      </c>
      <c r="I113" s="342">
        <f t="shared" si="3"/>
        <v>5.9922382933579099E-2</v>
      </c>
      <c r="J113" s="842"/>
    </row>
    <row r="114" spans="2:23" x14ac:dyDescent="0.2">
      <c r="B114" s="324"/>
      <c r="C114" s="295">
        <v>25</v>
      </c>
      <c r="D114" s="9"/>
      <c r="E114" s="32">
        <f t="shared" si="2"/>
        <v>25</v>
      </c>
      <c r="F114" s="319">
        <f>F67*'IPART inputs'!$G$81</f>
        <v>5.9147401908801713</v>
      </c>
      <c r="G114" s="827">
        <f t="shared" si="4"/>
        <v>5.15</v>
      </c>
      <c r="H114" s="829">
        <f>H67/'IPART inputs'!$C$102</f>
        <v>5.7467350577548313</v>
      </c>
      <c r="I114" s="342">
        <f t="shared" si="3"/>
        <v>-2.8404482310885659E-2</v>
      </c>
      <c r="J114" s="842"/>
      <c r="K114" s="28"/>
      <c r="L114" s="28"/>
      <c r="M114" s="28"/>
      <c r="N114" s="28"/>
      <c r="O114" s="28"/>
      <c r="P114" s="28"/>
      <c r="Q114" s="28"/>
      <c r="R114" s="28"/>
      <c r="S114" s="28"/>
      <c r="T114" s="28"/>
      <c r="U114" s="28"/>
      <c r="V114" s="28"/>
      <c r="W114" s="28"/>
    </row>
    <row r="115" spans="2:23" x14ac:dyDescent="0.2">
      <c r="B115" s="324"/>
      <c r="C115" s="32">
        <v>30</v>
      </c>
      <c r="D115" s="9"/>
      <c r="E115" s="32">
        <f t="shared" si="2"/>
        <v>30</v>
      </c>
      <c r="F115" s="319">
        <f>F68*'IPART inputs'!$G$81</f>
        <v>6.1611876988335119</v>
      </c>
      <c r="G115" s="827">
        <f t="shared" si="4"/>
        <v>5.15</v>
      </c>
      <c r="H115" s="829">
        <f>H68/'IPART inputs'!$C$102</f>
        <v>5.7467350577548313</v>
      </c>
      <c r="I115" s="342">
        <f t="shared" si="3"/>
        <v>-6.7268303018450215E-2</v>
      </c>
      <c r="J115" s="842"/>
      <c r="K115" s="28"/>
      <c r="L115" s="28"/>
      <c r="M115" s="28"/>
      <c r="N115" s="28"/>
      <c r="O115" s="28"/>
      <c r="P115" s="28"/>
      <c r="Q115" s="28"/>
      <c r="R115" s="28"/>
      <c r="S115" s="28"/>
      <c r="T115" s="28"/>
      <c r="U115" s="28"/>
      <c r="V115" s="28"/>
      <c r="W115" s="28"/>
    </row>
    <row r="116" spans="2:23" x14ac:dyDescent="0.2">
      <c r="B116" s="324"/>
      <c r="C116" s="32">
        <v>35</v>
      </c>
      <c r="D116" s="9"/>
      <c r="E116" s="32">
        <f t="shared" si="2"/>
        <v>35</v>
      </c>
      <c r="F116" s="319">
        <f>F69*'IPART inputs'!$G$81</f>
        <v>6.9005302226935337</v>
      </c>
      <c r="G116" s="827">
        <f t="shared" si="4"/>
        <v>6.89</v>
      </c>
      <c r="H116" s="829">
        <f>H69/'IPART inputs'!$C$102</f>
        <v>7.5710953935500171</v>
      </c>
      <c r="I116" s="342">
        <f t="shared" si="3"/>
        <v>9.7175890723761871E-2</v>
      </c>
      <c r="J116" s="842"/>
    </row>
    <row r="117" spans="2:23" x14ac:dyDescent="0.2">
      <c r="B117" s="324"/>
      <c r="C117" s="32">
        <v>45</v>
      </c>
      <c r="D117" s="9"/>
      <c r="E117" s="32">
        <f t="shared" si="2"/>
        <v>45</v>
      </c>
      <c r="F117" s="319">
        <f>F70*'IPART inputs'!$G$81</f>
        <v>8.1327677624602366</v>
      </c>
      <c r="G117" s="827">
        <f t="shared" si="4"/>
        <v>6.89</v>
      </c>
      <c r="H117" s="829">
        <f>H70/'IPART inputs'!$C$102</f>
        <v>7.5710953935500171</v>
      </c>
      <c r="I117" s="342">
        <f t="shared" si="3"/>
        <v>-6.9062880598020238E-2</v>
      </c>
      <c r="J117" s="842"/>
      <c r="K117" s="28"/>
      <c r="L117" s="28"/>
      <c r="M117" s="28"/>
      <c r="N117" s="28"/>
      <c r="O117" s="28"/>
      <c r="P117" s="28"/>
      <c r="Q117" s="28"/>
      <c r="R117" s="28"/>
      <c r="S117" s="28"/>
      <c r="T117" s="28"/>
      <c r="U117" s="28"/>
      <c r="V117" s="28"/>
      <c r="W117" s="28"/>
    </row>
    <row r="118" spans="2:23" x14ac:dyDescent="0.2">
      <c r="B118" s="324"/>
      <c r="C118" s="32">
        <v>55</v>
      </c>
      <c r="D118" s="9"/>
      <c r="E118" s="32">
        <f t="shared" si="2"/>
        <v>55</v>
      </c>
      <c r="F118" s="319">
        <f>F71*'IPART inputs'!$G$81</f>
        <v>8.8721102863202574</v>
      </c>
      <c r="G118" s="827">
        <f t="shared" si="4"/>
        <v>6.89</v>
      </c>
      <c r="H118" s="829">
        <f>H71/'IPART inputs'!$C$102</f>
        <v>7.5710953935500171</v>
      </c>
      <c r="I118" s="342">
        <f t="shared" si="3"/>
        <v>-0.14664097388151853</v>
      </c>
      <c r="J118" s="842"/>
      <c r="K118" s="28"/>
      <c r="L118" s="28"/>
      <c r="M118" s="28"/>
      <c r="N118" s="28"/>
      <c r="O118" s="28"/>
      <c r="P118" s="28"/>
      <c r="Q118" s="28"/>
      <c r="R118" s="28"/>
      <c r="S118" s="28"/>
      <c r="T118" s="28"/>
      <c r="U118" s="28"/>
      <c r="V118" s="28"/>
      <c r="W118" s="28"/>
    </row>
    <row r="119" spans="2:23" x14ac:dyDescent="0.2">
      <c r="B119" s="324"/>
      <c r="C119" s="32">
        <v>65</v>
      </c>
      <c r="D119" s="9"/>
      <c r="E119" s="32">
        <f t="shared" si="2"/>
        <v>65</v>
      </c>
      <c r="F119" s="319">
        <f>F72*'IPART inputs'!$G$81</f>
        <v>10.597242841993641</v>
      </c>
      <c r="G119" s="827">
        <f t="shared" si="4"/>
        <v>8.86</v>
      </c>
      <c r="H119" s="829">
        <f>H72/'IPART inputs'!$C$102</f>
        <v>9.760327796504237</v>
      </c>
      <c r="I119" s="342">
        <f t="shared" si="3"/>
        <v>-7.8974791647971387E-2</v>
      </c>
      <c r="J119" s="842"/>
    </row>
    <row r="120" spans="2:23" x14ac:dyDescent="0.2">
      <c r="B120" s="324"/>
      <c r="C120" s="32">
        <v>75</v>
      </c>
      <c r="D120" s="9"/>
      <c r="E120" s="32">
        <f t="shared" si="2"/>
        <v>75</v>
      </c>
      <c r="F120" s="319">
        <f>F73*'IPART inputs'!$G$81</f>
        <v>11.829480381760343</v>
      </c>
      <c r="G120" s="827">
        <f t="shared" si="4"/>
        <v>8.86</v>
      </c>
      <c r="H120" s="829">
        <f>H73/'IPART inputs'!$C$102</f>
        <v>9.760327796504237</v>
      </c>
      <c r="I120" s="342">
        <f t="shared" si="3"/>
        <v>-0.17491491751797428</v>
      </c>
      <c r="J120" s="842"/>
      <c r="K120" s="28"/>
      <c r="L120" s="28"/>
      <c r="M120" s="28"/>
      <c r="N120" s="28"/>
      <c r="O120" s="28"/>
      <c r="P120" s="28"/>
      <c r="Q120" s="28"/>
      <c r="R120" s="28"/>
      <c r="S120" s="28"/>
      <c r="T120" s="28"/>
      <c r="U120" s="28"/>
      <c r="V120" s="28"/>
      <c r="W120" s="28"/>
    </row>
    <row r="121" spans="2:23" x14ac:dyDescent="0.2">
      <c r="B121" s="324"/>
      <c r="C121" s="32">
        <v>85</v>
      </c>
      <c r="D121" s="9"/>
      <c r="E121" s="32">
        <f t="shared" si="2"/>
        <v>85</v>
      </c>
      <c r="F121" s="319">
        <f>F74*'IPART inputs'!$G$81</f>
        <v>13.061717921527046</v>
      </c>
      <c r="G121" s="827">
        <f t="shared" si="4"/>
        <v>8.86</v>
      </c>
      <c r="H121" s="829">
        <f>H74/'IPART inputs'!$C$102</f>
        <v>9.760327796504237</v>
      </c>
      <c r="I121" s="342">
        <f t="shared" si="3"/>
        <v>-0.25275313284646739</v>
      </c>
      <c r="J121" s="842"/>
      <c r="K121" s="28"/>
      <c r="L121" s="28"/>
      <c r="M121" s="28"/>
      <c r="N121" s="28"/>
      <c r="O121" s="28"/>
      <c r="P121" s="28"/>
      <c r="Q121" s="28"/>
      <c r="R121" s="28"/>
      <c r="S121" s="28"/>
      <c r="T121" s="28"/>
      <c r="U121" s="28"/>
      <c r="V121" s="28"/>
      <c r="W121" s="28"/>
    </row>
    <row r="122" spans="2:23" x14ac:dyDescent="0.2">
      <c r="B122" s="324"/>
      <c r="C122" s="32">
        <v>95</v>
      </c>
      <c r="D122" s="9"/>
      <c r="E122" s="32">
        <f t="shared" si="2"/>
        <v>95</v>
      </c>
      <c r="F122" s="319">
        <f>F75*'IPART inputs'!$G$81</f>
        <v>13.554612937433728</v>
      </c>
      <c r="G122" s="827">
        <f t="shared" si="4"/>
        <v>8.86</v>
      </c>
      <c r="H122" s="829">
        <f>H75/'IPART inputs'!$C$102</f>
        <v>9.760327796504237</v>
      </c>
      <c r="I122" s="342">
        <f t="shared" si="3"/>
        <v>-0.27992574619750499</v>
      </c>
      <c r="J122" s="842"/>
      <c r="K122" s="28"/>
      <c r="L122" s="28"/>
      <c r="M122" s="28"/>
      <c r="N122" s="28"/>
      <c r="O122" s="28"/>
      <c r="P122" s="28"/>
      <c r="Q122" s="28"/>
      <c r="R122" s="28"/>
      <c r="S122" s="28"/>
      <c r="T122" s="28"/>
      <c r="U122" s="28"/>
      <c r="V122" s="28"/>
      <c r="W122" s="28"/>
    </row>
    <row r="123" spans="2:23" x14ac:dyDescent="0.2">
      <c r="B123" s="324"/>
      <c r="C123" s="32">
        <v>105</v>
      </c>
      <c r="D123" s="9"/>
      <c r="E123" s="32">
        <f t="shared" si="2"/>
        <v>105</v>
      </c>
      <c r="F123" s="319">
        <f>F76*'IPART inputs'!$G$81</f>
        <v>15.033297985153769</v>
      </c>
      <c r="G123" s="827">
        <f t="shared" si="4"/>
        <v>8.86</v>
      </c>
      <c r="H123" s="829">
        <f>H76/'IPART inputs'!$C$102</f>
        <v>9.760327796504237</v>
      </c>
      <c r="I123" s="342">
        <f t="shared" si="3"/>
        <v>-0.35075272198135687</v>
      </c>
      <c r="J123" s="842"/>
      <c r="K123" s="28"/>
      <c r="L123" s="28"/>
      <c r="M123" s="28"/>
      <c r="N123" s="28"/>
      <c r="O123" s="28"/>
      <c r="P123" s="28"/>
      <c r="Q123" s="28"/>
      <c r="R123" s="28"/>
      <c r="S123" s="28"/>
      <c r="T123" s="28"/>
      <c r="U123" s="28"/>
      <c r="V123" s="28"/>
      <c r="W123" s="28"/>
    </row>
    <row r="124" spans="2:23" x14ac:dyDescent="0.2">
      <c r="B124" s="324"/>
      <c r="C124" s="32">
        <v>115</v>
      </c>
      <c r="D124" s="9"/>
      <c r="E124" s="32">
        <f t="shared" si="2"/>
        <v>115</v>
      </c>
      <c r="F124" s="319">
        <f>F77*'IPART inputs'!$G$81</f>
        <v>16.758430540827153</v>
      </c>
      <c r="G124" s="827">
        <f t="shared" si="4"/>
        <v>8.86</v>
      </c>
      <c r="H124" s="829">
        <f>H77/'IPART inputs'!$C$102</f>
        <v>9.760327796504237</v>
      </c>
      <c r="I124" s="342">
        <f t="shared" si="3"/>
        <v>-0.41758700060092302</v>
      </c>
      <c r="J124" s="842"/>
      <c r="K124" s="28"/>
      <c r="L124" s="28"/>
      <c r="M124" s="28"/>
      <c r="N124" s="28"/>
      <c r="O124" s="28"/>
      <c r="P124" s="28"/>
      <c r="Q124" s="28"/>
      <c r="R124" s="28"/>
      <c r="S124" s="28"/>
      <c r="T124" s="28"/>
      <c r="U124" s="28"/>
      <c r="V124" s="28"/>
      <c r="W124" s="28"/>
    </row>
    <row r="125" spans="2:23" x14ac:dyDescent="0.2">
      <c r="B125" s="324"/>
      <c r="C125" s="32">
        <v>125</v>
      </c>
      <c r="D125" s="9"/>
      <c r="E125" s="32">
        <f t="shared" si="2"/>
        <v>125</v>
      </c>
      <c r="F125" s="319">
        <f>F78*'IPART inputs'!$G$81</f>
        <v>17.004878048780494</v>
      </c>
      <c r="G125" s="827">
        <f t="shared" si="4"/>
        <v>8.86</v>
      </c>
      <c r="H125" s="829">
        <f>H78/'IPART inputs'!$C$102</f>
        <v>9.760327796504237</v>
      </c>
      <c r="I125" s="342">
        <f t="shared" si="3"/>
        <v>-0.42602776870815606</v>
      </c>
      <c r="J125" s="842"/>
      <c r="K125" s="28"/>
      <c r="L125" s="28"/>
      <c r="M125" s="28"/>
      <c r="N125" s="28"/>
      <c r="O125" s="28"/>
      <c r="P125" s="28"/>
      <c r="Q125" s="28"/>
      <c r="R125" s="28"/>
      <c r="S125" s="28"/>
      <c r="T125" s="28"/>
      <c r="U125" s="28"/>
      <c r="V125" s="28"/>
      <c r="W125" s="28"/>
    </row>
    <row r="126" spans="2:23" x14ac:dyDescent="0.2">
      <c r="B126" s="324"/>
      <c r="C126" s="32">
        <v>135</v>
      </c>
      <c r="D126" s="9"/>
      <c r="E126" s="32">
        <f t="shared" si="2"/>
        <v>135</v>
      </c>
      <c r="F126" s="319">
        <f>F79*'IPART inputs'!$G$81</f>
        <v>19.469353128313902</v>
      </c>
      <c r="G126" s="827">
        <f t="shared" si="4"/>
        <v>8.86</v>
      </c>
      <c r="H126" s="829">
        <f>H79/'IPART inputs'!$C$102</f>
        <v>9.760327796504237</v>
      </c>
      <c r="I126" s="342">
        <f t="shared" si="3"/>
        <v>-0.49868248152990857</v>
      </c>
      <c r="J126" s="842"/>
      <c r="K126" s="28"/>
      <c r="L126" s="28"/>
      <c r="M126" s="28"/>
      <c r="N126" s="28"/>
      <c r="O126" s="28"/>
      <c r="P126" s="28"/>
      <c r="Q126" s="28"/>
      <c r="R126" s="28"/>
      <c r="S126" s="28"/>
      <c r="T126" s="28"/>
      <c r="U126" s="28"/>
      <c r="V126" s="28"/>
      <c r="W126" s="28"/>
    </row>
    <row r="127" spans="2:23" x14ac:dyDescent="0.2">
      <c r="B127" s="324"/>
      <c r="C127" s="32">
        <v>155</v>
      </c>
      <c r="D127" s="9"/>
      <c r="E127" s="32">
        <f t="shared" si="2"/>
        <v>155</v>
      </c>
      <c r="F127" s="319">
        <f>F80*'IPART inputs'!$G$81</f>
        <v>22.180275715800644</v>
      </c>
      <c r="G127" s="827">
        <f t="shared" si="4"/>
        <v>8.86</v>
      </c>
      <c r="H127" s="829">
        <f>H80/'IPART inputs'!$C$102</f>
        <v>9.760327796504237</v>
      </c>
      <c r="I127" s="342">
        <f t="shared" si="3"/>
        <v>-0.55995462267625307</v>
      </c>
      <c r="J127" s="842"/>
      <c r="K127" s="28"/>
      <c r="L127" s="28"/>
      <c r="M127" s="28"/>
      <c r="N127" s="28"/>
      <c r="O127" s="28"/>
      <c r="P127" s="28"/>
      <c r="Q127" s="28"/>
      <c r="R127" s="28"/>
      <c r="S127" s="28"/>
      <c r="T127" s="28"/>
      <c r="U127" s="28"/>
      <c r="V127" s="28"/>
      <c r="W127" s="28"/>
    </row>
    <row r="128" spans="2:23" x14ac:dyDescent="0.2">
      <c r="B128" s="324"/>
      <c r="C128" s="32">
        <v>175</v>
      </c>
      <c r="D128" s="9"/>
      <c r="E128" s="32"/>
      <c r="F128" s="319"/>
      <c r="G128" s="827"/>
      <c r="H128" s="829"/>
      <c r="I128" s="342"/>
      <c r="J128" s="28"/>
      <c r="K128" s="28"/>
      <c r="L128" s="28"/>
      <c r="M128" s="28"/>
      <c r="N128" s="28"/>
      <c r="O128" s="28"/>
      <c r="P128" s="28"/>
      <c r="Q128" s="28"/>
      <c r="R128" s="28"/>
      <c r="S128" s="28"/>
      <c r="T128" s="28"/>
      <c r="U128" s="28"/>
      <c r="V128" s="28"/>
      <c r="W128" s="28"/>
    </row>
    <row r="129" spans="2:23" x14ac:dyDescent="0.2">
      <c r="B129" s="324"/>
      <c r="C129" s="32"/>
      <c r="D129" s="9"/>
      <c r="E129" s="32"/>
      <c r="F129" s="319"/>
      <c r="G129" s="827"/>
      <c r="H129" s="829"/>
      <c r="I129" s="342"/>
      <c r="J129" s="28"/>
      <c r="K129" s="28"/>
      <c r="L129" s="28"/>
      <c r="M129" s="28"/>
      <c r="N129" s="28"/>
      <c r="O129" s="28"/>
      <c r="P129" s="28"/>
      <c r="Q129" s="28"/>
      <c r="R129" s="28"/>
      <c r="S129" s="28"/>
      <c r="T129" s="28"/>
      <c r="U129" s="28"/>
      <c r="V129" s="28"/>
      <c r="W129" s="28"/>
    </row>
    <row r="130" spans="2:23" x14ac:dyDescent="0.2">
      <c r="B130" s="12" t="str">
        <f>B83</f>
        <v>Bus</v>
      </c>
      <c r="C130" s="9"/>
      <c r="D130" s="9"/>
      <c r="E130" s="32"/>
      <c r="F130" s="319"/>
      <c r="G130" s="827"/>
      <c r="H130" s="829"/>
      <c r="I130" s="342"/>
      <c r="J130" s="28"/>
      <c r="K130" s="28"/>
      <c r="L130" s="28"/>
      <c r="M130" s="28"/>
      <c r="N130" s="28"/>
      <c r="O130" s="28"/>
      <c r="P130" s="28"/>
      <c r="Q130" s="28"/>
      <c r="R130" s="28"/>
      <c r="S130" s="28"/>
      <c r="T130" s="28"/>
      <c r="U130" s="28"/>
      <c r="V130" s="28"/>
      <c r="W130" s="28"/>
    </row>
    <row r="131" spans="2:23" x14ac:dyDescent="0.2">
      <c r="B131" s="474"/>
      <c r="C131" s="9"/>
      <c r="D131" s="9"/>
      <c r="E131" s="32"/>
      <c r="F131" s="319"/>
      <c r="G131" s="827"/>
      <c r="H131" s="829"/>
      <c r="I131" s="342"/>
      <c r="J131" s="28"/>
      <c r="K131" s="28"/>
      <c r="L131" s="28"/>
      <c r="M131" s="28"/>
      <c r="N131" s="28"/>
      <c r="O131" s="28"/>
      <c r="P131" s="28"/>
      <c r="Q131" s="28"/>
      <c r="R131" s="28"/>
      <c r="S131" s="28"/>
      <c r="T131" s="28"/>
      <c r="U131" s="28"/>
      <c r="V131" s="28"/>
      <c r="W131" s="28"/>
    </row>
    <row r="132" spans="2:23" x14ac:dyDescent="0.2">
      <c r="B132" s="324"/>
      <c r="C132" s="843">
        <f t="shared" ref="C132:E137" si="5">C85</f>
        <v>0</v>
      </c>
      <c r="D132" s="32" t="s">
        <v>460</v>
      </c>
      <c r="E132" s="32">
        <f t="shared" si="5"/>
        <v>2</v>
      </c>
      <c r="F132" s="319">
        <f>F85*'IPART inputs'!$G$81</f>
        <v>2.3412513255567347</v>
      </c>
      <c r="G132" s="827">
        <f t="shared" ref="G132:G137" si="6">G85</f>
        <v>2.2400000000000002</v>
      </c>
      <c r="H132" s="829">
        <f>H85/'IPART inputs'!$C$102</f>
        <v>2.9189765372722958</v>
      </c>
      <c r="I132" s="342">
        <f t="shared" ref="I132:I137" si="7">H132/F132-1</f>
        <v>0.24675916054342517</v>
      </c>
    </row>
    <row r="133" spans="2:23" x14ac:dyDescent="0.2">
      <c r="B133" s="324"/>
      <c r="C133" s="32">
        <f t="shared" si="5"/>
        <v>3.2</v>
      </c>
      <c r="D133" s="32" t="s">
        <v>461</v>
      </c>
      <c r="E133" s="32">
        <f t="shared" si="5"/>
        <v>5</v>
      </c>
      <c r="F133" s="319">
        <f>F86*'IPART inputs'!$G$81</f>
        <v>3.943160127253448</v>
      </c>
      <c r="G133" s="827">
        <f t="shared" si="6"/>
        <v>3.73</v>
      </c>
      <c r="H133" s="829">
        <f>H86/'IPART inputs'!$C$102</f>
        <v>4.1960287723289245</v>
      </c>
      <c r="I133" s="342">
        <f t="shared" si="7"/>
        <v>6.4128424135696527E-2</v>
      </c>
    </row>
    <row r="134" spans="2:23" x14ac:dyDescent="0.2">
      <c r="B134" s="324"/>
      <c r="C134" s="32">
        <f t="shared" si="5"/>
        <v>8</v>
      </c>
      <c r="D134" s="32" t="s">
        <v>462</v>
      </c>
      <c r="E134" s="32">
        <f t="shared" si="5"/>
        <v>9</v>
      </c>
      <c r="F134" s="319">
        <f>F87*'IPART inputs'!$G$81</f>
        <v>5.1753976670201505</v>
      </c>
      <c r="G134" s="827">
        <f t="shared" si="6"/>
        <v>4.8</v>
      </c>
      <c r="H134" s="829">
        <f>H87/'IPART inputs'!$C$102</f>
        <v>5.473081007385554</v>
      </c>
      <c r="I134" s="342">
        <f t="shared" si="7"/>
        <v>5.751893081808368E-2</v>
      </c>
    </row>
    <row r="135" spans="2:23" x14ac:dyDescent="0.2">
      <c r="B135" s="324"/>
      <c r="C135" s="32">
        <f t="shared" si="5"/>
        <v>14.4</v>
      </c>
      <c r="D135" s="32" t="s">
        <v>463</v>
      </c>
      <c r="E135" s="32">
        <f t="shared" si="5"/>
        <v>15</v>
      </c>
      <c r="F135" s="319">
        <f>F88*'IPART inputs'!$G$81</f>
        <v>6.1611876988335119</v>
      </c>
      <c r="G135" s="827">
        <f t="shared" si="6"/>
        <v>4.8</v>
      </c>
      <c r="H135" s="829">
        <f>H88/'IPART inputs'!$C$102</f>
        <v>5.8379530745445916</v>
      </c>
      <c r="I135" s="342">
        <f t="shared" si="7"/>
        <v>-5.2463037986996919E-2</v>
      </c>
      <c r="J135" s="28"/>
      <c r="K135" s="28"/>
      <c r="L135" s="28"/>
      <c r="M135" s="28"/>
      <c r="N135" s="28"/>
      <c r="O135" s="28"/>
      <c r="P135" s="28"/>
      <c r="Q135" s="28"/>
      <c r="R135" s="28"/>
      <c r="S135" s="28"/>
      <c r="T135" s="28"/>
      <c r="U135" s="28"/>
      <c r="V135" s="28"/>
      <c r="W135" s="28"/>
    </row>
    <row r="136" spans="2:23" x14ac:dyDescent="0.2">
      <c r="B136" s="324"/>
      <c r="C136" s="32">
        <f t="shared" si="5"/>
        <v>24</v>
      </c>
      <c r="D136" s="32" t="s">
        <v>464</v>
      </c>
      <c r="E136" s="32">
        <f t="shared" si="5"/>
        <v>21</v>
      </c>
      <c r="F136" s="319">
        <f>F89*'IPART inputs'!$G$81</f>
        <v>7.5166489925768847</v>
      </c>
      <c r="G136" s="827">
        <f t="shared" si="6"/>
        <v>4.8</v>
      </c>
      <c r="H136" s="829">
        <f>H89/'IPART inputs'!$C$102</f>
        <v>5.8379530745445916</v>
      </c>
      <c r="I136" s="342">
        <f t="shared" si="7"/>
        <v>-0.22333035900573517</v>
      </c>
      <c r="J136" s="28"/>
      <c r="K136" s="28"/>
      <c r="L136" s="28"/>
      <c r="M136" s="28"/>
      <c r="N136" s="28"/>
      <c r="O136" s="28"/>
      <c r="P136" s="28"/>
      <c r="Q136" s="28"/>
      <c r="R136" s="28"/>
      <c r="S136" s="28"/>
      <c r="T136" s="28"/>
      <c r="U136" s="28"/>
      <c r="V136" s="28"/>
      <c r="W136" s="28"/>
    </row>
    <row r="137" spans="2:23" x14ac:dyDescent="0.2">
      <c r="B137" s="34"/>
      <c r="C137" s="79">
        <f t="shared" si="5"/>
        <v>33.6</v>
      </c>
      <c r="D137" s="79" t="s">
        <v>465</v>
      </c>
      <c r="E137" s="79">
        <f t="shared" si="5"/>
        <v>27</v>
      </c>
      <c r="F137" s="787">
        <f>F90*'IPART inputs'!$G$81</f>
        <v>7.5166489925768847</v>
      </c>
      <c r="G137" s="825">
        <f t="shared" si="6"/>
        <v>4.8</v>
      </c>
      <c r="H137" s="848">
        <f>H90/'IPART inputs'!$C$102</f>
        <v>5.8379530745445916</v>
      </c>
      <c r="I137" s="344">
        <f t="shared" si="7"/>
        <v>-0.22333035900573517</v>
      </c>
      <c r="J137" s="28"/>
      <c r="K137" s="28"/>
      <c r="L137" s="28"/>
      <c r="M137" s="28"/>
      <c r="N137" s="28"/>
      <c r="O137" s="28"/>
      <c r="P137" s="28"/>
      <c r="Q137" s="28"/>
      <c r="R137" s="28"/>
      <c r="S137" s="28"/>
      <c r="T137" s="28"/>
      <c r="U137" s="28"/>
      <c r="V137" s="28"/>
      <c r="W137" s="28"/>
    </row>
    <row r="138" spans="2:23" x14ac:dyDescent="0.2">
      <c r="B138" s="28"/>
      <c r="C138" s="28"/>
      <c r="G138" s="28"/>
      <c r="H138" s="28"/>
      <c r="I138" s="28"/>
      <c r="J138" s="28"/>
      <c r="K138" s="28"/>
      <c r="L138" s="28"/>
      <c r="M138" s="28"/>
      <c r="N138" s="28"/>
      <c r="O138" s="28"/>
      <c r="P138" s="28"/>
      <c r="Q138" s="28"/>
      <c r="R138" s="28"/>
      <c r="S138" s="28"/>
      <c r="T138" s="28"/>
      <c r="U138" s="28"/>
      <c r="V138" s="28"/>
      <c r="W138" s="28"/>
    </row>
    <row r="139" spans="2:23" x14ac:dyDescent="0.2">
      <c r="B139" s="28"/>
      <c r="C139" s="28"/>
      <c r="G139" s="28"/>
      <c r="H139" s="28"/>
      <c r="I139" s="28"/>
      <c r="J139" s="28"/>
      <c r="K139" s="28"/>
      <c r="L139" s="28"/>
      <c r="M139" s="28"/>
      <c r="N139" s="28"/>
      <c r="O139" s="28"/>
      <c r="P139" s="28"/>
      <c r="Q139" s="28"/>
      <c r="R139" s="28"/>
      <c r="S139" s="28"/>
      <c r="T139" s="28"/>
      <c r="U139" s="28"/>
      <c r="V139" s="28"/>
      <c r="W139" s="28"/>
    </row>
    <row r="140" spans="2:23" ht="15" x14ac:dyDescent="0.2">
      <c r="B140" s="161" t="s">
        <v>501</v>
      </c>
      <c r="C140" s="30"/>
      <c r="D140" s="65"/>
      <c r="E140" s="65"/>
      <c r="F140" s="513"/>
      <c r="G140" s="514"/>
      <c r="H140" s="514"/>
      <c r="I140" s="849"/>
      <c r="J140" s="488"/>
      <c r="L140" s="28"/>
      <c r="M140" s="28"/>
      <c r="N140" s="28"/>
      <c r="O140" s="28"/>
      <c r="P140" s="28"/>
      <c r="Q140" s="28"/>
      <c r="R140" s="28"/>
      <c r="S140" s="28"/>
      <c r="T140" s="28"/>
      <c r="U140" s="28"/>
      <c r="V140" s="28"/>
      <c r="W140" s="28"/>
    </row>
    <row r="141" spans="2:23" ht="24" x14ac:dyDescent="0.2">
      <c r="B141" s="824" t="s">
        <v>478</v>
      </c>
      <c r="C141" s="32"/>
      <c r="D141" s="9"/>
      <c r="E141" s="9"/>
      <c r="F141" s="9"/>
      <c r="G141" s="32"/>
      <c r="H141" s="32"/>
      <c r="I141" s="330" t="s">
        <v>499</v>
      </c>
      <c r="J141" s="1235" t="s">
        <v>500</v>
      </c>
      <c r="L141" s="28"/>
      <c r="M141" s="28"/>
      <c r="N141" s="28"/>
      <c r="O141" s="28"/>
      <c r="P141" s="28"/>
      <c r="Q141" s="28"/>
      <c r="R141" s="28"/>
      <c r="S141" s="28"/>
      <c r="T141" s="28"/>
      <c r="U141" s="28"/>
      <c r="V141" s="28"/>
      <c r="W141" s="28"/>
    </row>
    <row r="142" spans="2:23" ht="24" x14ac:dyDescent="0.2">
      <c r="B142" s="823"/>
      <c r="C142" s="32"/>
      <c r="D142" s="9"/>
      <c r="E142" s="9"/>
      <c r="F142" s="329">
        <f>F96</f>
        <v>2009</v>
      </c>
      <c r="G142" s="329">
        <f>G96</f>
        <v>2019</v>
      </c>
      <c r="H142" s="330" t="s">
        <v>702</v>
      </c>
      <c r="I142" s="330" t="s">
        <v>669</v>
      </c>
      <c r="J142" s="56" t="s">
        <v>701</v>
      </c>
    </row>
    <row r="143" spans="2:23" x14ac:dyDescent="0.2">
      <c r="B143" s="169" t="s">
        <v>476</v>
      </c>
      <c r="C143" s="32"/>
      <c r="D143" s="9"/>
      <c r="E143" s="9"/>
      <c r="F143" s="325">
        <f t="shared" ref="F143:F148" si="8">INDEX($F$109:$F$128,MATCH($I143,$C$109:$C$128))</f>
        <v>4.1896076352067881</v>
      </c>
      <c r="G143" s="325">
        <f t="shared" ref="G143:G148" si="9">INDEX($G$109:$G$128,MATCH($I143,$C$109:$C$128))</f>
        <v>3.61</v>
      </c>
      <c r="H143" s="844">
        <f t="shared" ref="H143:H152" si="10">G143/F143-1</f>
        <v>-0.13834413283385671</v>
      </c>
      <c r="I143" s="515">
        <v>6.31</v>
      </c>
      <c r="J143" s="47"/>
    </row>
    <row r="144" spans="2:23" x14ac:dyDescent="0.2">
      <c r="B144" s="169" t="s">
        <v>475</v>
      </c>
      <c r="C144" s="32"/>
      <c r="D144" s="9"/>
      <c r="E144" s="9"/>
      <c r="F144" s="325">
        <f t="shared" si="8"/>
        <v>4.6825026511134693</v>
      </c>
      <c r="G144" s="325">
        <f t="shared" si="9"/>
        <v>4.4800000000000004</v>
      </c>
      <c r="H144" s="844">
        <f t="shared" si="10"/>
        <v>-4.3246670894102945E-2</v>
      </c>
      <c r="I144" s="515">
        <v>14.94</v>
      </c>
      <c r="J144" s="47"/>
    </row>
    <row r="145" spans="2:11" x14ac:dyDescent="0.2">
      <c r="B145" s="169" t="s">
        <v>469</v>
      </c>
      <c r="C145" s="32"/>
      <c r="D145" s="9"/>
      <c r="E145" s="9"/>
      <c r="F145" s="325">
        <f t="shared" si="8"/>
        <v>5.9147401908801713</v>
      </c>
      <c r="G145" s="325">
        <f t="shared" si="9"/>
        <v>5.15</v>
      </c>
      <c r="H145" s="844">
        <f t="shared" si="10"/>
        <v>-0.12929396156052797</v>
      </c>
      <c r="I145" s="515">
        <v>26.41</v>
      </c>
      <c r="J145" s="47"/>
    </row>
    <row r="146" spans="2:11" x14ac:dyDescent="0.2">
      <c r="B146" s="323" t="s">
        <v>474</v>
      </c>
      <c r="C146" s="32"/>
      <c r="D146" s="9"/>
      <c r="E146" s="9"/>
      <c r="F146" s="325">
        <f t="shared" si="8"/>
        <v>10.597242841993641</v>
      </c>
      <c r="G146" s="325">
        <f t="shared" si="9"/>
        <v>8.86</v>
      </c>
      <c r="H146" s="844">
        <f t="shared" si="10"/>
        <v>-0.16393347476283904</v>
      </c>
      <c r="I146" s="515">
        <v>73.5</v>
      </c>
      <c r="J146" s="47"/>
    </row>
    <row r="147" spans="2:11" x14ac:dyDescent="0.2">
      <c r="B147" s="821" t="s">
        <v>473</v>
      </c>
      <c r="C147" s="32"/>
      <c r="D147" s="9"/>
      <c r="E147" s="9"/>
      <c r="F147" s="325">
        <f t="shared" si="8"/>
        <v>15.033297985153769</v>
      </c>
      <c r="G147" s="325">
        <f t="shared" si="9"/>
        <v>8.86</v>
      </c>
      <c r="H147" s="844">
        <f t="shared" si="10"/>
        <v>-0.41064162975085372</v>
      </c>
      <c r="I147" s="327">
        <v>113.13</v>
      </c>
      <c r="J147" s="47"/>
    </row>
    <row r="148" spans="2:11" x14ac:dyDescent="0.2">
      <c r="B148" s="822" t="s">
        <v>472</v>
      </c>
      <c r="C148" s="32"/>
      <c r="D148" s="9"/>
      <c r="E148" s="9"/>
      <c r="F148" s="325">
        <f t="shared" si="8"/>
        <v>22.180275715800644</v>
      </c>
      <c r="G148" s="325">
        <f t="shared" si="9"/>
        <v>8.86</v>
      </c>
      <c r="H148" s="844">
        <f t="shared" si="10"/>
        <v>-0.60054599349780091</v>
      </c>
      <c r="I148" s="515">
        <v>160.71</v>
      </c>
      <c r="J148" s="47"/>
    </row>
    <row r="149" spans="2:11" x14ac:dyDescent="0.2">
      <c r="B149" s="821" t="s">
        <v>496</v>
      </c>
      <c r="C149" s="32"/>
      <c r="D149" s="9"/>
      <c r="E149" s="9"/>
      <c r="F149" s="325">
        <f>INDEX($F$132:$F$137,MATCH(I149,$C$132:$C$137))</f>
        <v>2.3412513255567347</v>
      </c>
      <c r="G149" s="325">
        <f>INDEX($G$132:$G$137,MATCH(J149,$C$132:$C$137))</f>
        <v>2.2400000000000002</v>
      </c>
      <c r="H149" s="844">
        <f t="shared" si="10"/>
        <v>-4.3246670894102945E-2</v>
      </c>
      <c r="I149" s="327">
        <v>3</v>
      </c>
      <c r="J149" s="470">
        <v>2.0499999999999998</v>
      </c>
    </row>
    <row r="150" spans="2:11" x14ac:dyDescent="0.2">
      <c r="B150" s="821" t="s">
        <v>497</v>
      </c>
      <c r="C150" s="32"/>
      <c r="D150" s="9"/>
      <c r="E150" s="9"/>
      <c r="F150" s="325">
        <f>INDEX($F$132:$F$137,MATCH(I150,$C$132:$C$137))</f>
        <v>6.1611876988335119</v>
      </c>
      <c r="G150" s="325">
        <f>INDEX($G$132:$G$137,MATCH(J150,$C$132:$C$137))</f>
        <v>4.8</v>
      </c>
      <c r="H150" s="844">
        <f t="shared" si="10"/>
        <v>-0.22092943201376958</v>
      </c>
      <c r="I150" s="327">
        <v>15.6</v>
      </c>
      <c r="J150" s="328">
        <v>12.34</v>
      </c>
    </row>
    <row r="151" spans="2:11" x14ac:dyDescent="0.2">
      <c r="B151" s="821" t="s">
        <v>502</v>
      </c>
      <c r="C151" s="32"/>
      <c r="D151" s="9"/>
      <c r="E151" s="9"/>
      <c r="F151" s="325">
        <f>F101</f>
        <v>6.4076352067868534</v>
      </c>
      <c r="G151" s="325">
        <f>G101</f>
        <v>6.12</v>
      </c>
      <c r="H151" s="844">
        <f t="shared" si="10"/>
        <v>-4.4889447901496515E-2</v>
      </c>
      <c r="I151" s="9"/>
      <c r="J151" s="47"/>
    </row>
    <row r="152" spans="2:11" x14ac:dyDescent="0.2">
      <c r="B152" s="820" t="s">
        <v>498</v>
      </c>
      <c r="C152" s="79"/>
      <c r="D152" s="472"/>
      <c r="E152" s="472"/>
      <c r="F152" s="326">
        <f>F103</f>
        <v>7.886320254506896</v>
      </c>
      <c r="G152" s="326">
        <f>G103</f>
        <v>7.65</v>
      </c>
      <c r="H152" s="845">
        <f t="shared" si="10"/>
        <v>-2.9965845524957291E-2</v>
      </c>
      <c r="I152" s="472"/>
      <c r="J152" s="49"/>
    </row>
    <row r="153" spans="2:11" x14ac:dyDescent="0.2">
      <c r="B153" s="28"/>
      <c r="C153" s="28"/>
      <c r="F153" s="28"/>
      <c r="G153" s="28"/>
      <c r="H153" s="844"/>
    </row>
    <row r="154" spans="2:11" x14ac:dyDescent="0.2">
      <c r="B154" s="28"/>
      <c r="C154" s="28"/>
      <c r="F154" s="28"/>
      <c r="G154" s="28"/>
      <c r="H154" s="28"/>
      <c r="I154" s="516" t="str">
        <f>"Source: "&amp;M11</f>
        <v>Source: Train Statistics 2014</v>
      </c>
      <c r="J154" s="74"/>
    </row>
    <row r="155" spans="2:11" x14ac:dyDescent="0.2">
      <c r="G155" s="28"/>
    </row>
    <row r="156" spans="2:11" x14ac:dyDescent="0.2">
      <c r="G156" s="28"/>
      <c r="H156" s="28"/>
    </row>
    <row r="157" spans="2:11" x14ac:dyDescent="0.2">
      <c r="H157" s="28"/>
      <c r="K157" s="846"/>
    </row>
    <row r="158" spans="2:11" x14ac:dyDescent="0.2">
      <c r="H158" s="28"/>
    </row>
    <row r="159" spans="2:11" x14ac:dyDescent="0.2">
      <c r="H159" s="28"/>
    </row>
    <row r="160" spans="2:11" x14ac:dyDescent="0.2">
      <c r="H160" s="28"/>
    </row>
    <row r="161" spans="8:8" x14ac:dyDescent="0.2">
      <c r="H161" s="28"/>
    </row>
    <row r="162" spans="8:8" x14ac:dyDescent="0.2">
      <c r="H162" s="28"/>
    </row>
    <row r="164" spans="8:8" x14ac:dyDescent="0.2">
      <c r="H164" s="28"/>
    </row>
    <row r="165" spans="8:8" x14ac:dyDescent="0.2">
      <c r="H165" s="28"/>
    </row>
    <row r="166" spans="8:8" x14ac:dyDescent="0.2">
      <c r="H166" s="28"/>
    </row>
    <row r="167" spans="8:8" x14ac:dyDescent="0.2">
      <c r="H167" s="28"/>
    </row>
    <row r="168" spans="8:8" x14ac:dyDescent="0.2">
      <c r="H168" s="28"/>
    </row>
    <row r="169" spans="8:8" x14ac:dyDescent="0.2">
      <c r="H169" s="28"/>
    </row>
    <row r="170" spans="8:8" x14ac:dyDescent="0.2">
      <c r="H170" s="28"/>
    </row>
    <row r="171" spans="8:8" x14ac:dyDescent="0.2">
      <c r="H171" s="28"/>
    </row>
    <row r="172" spans="8:8" x14ac:dyDescent="0.2">
      <c r="H172" s="28"/>
    </row>
    <row r="173" spans="8:8" x14ac:dyDescent="0.2">
      <c r="H173" s="28"/>
    </row>
    <row r="174" spans="8:8" x14ac:dyDescent="0.2">
      <c r="H174" s="28"/>
    </row>
    <row r="175" spans="8:8" x14ac:dyDescent="0.2">
      <c r="H175" s="28"/>
    </row>
    <row r="176" spans="8:8" x14ac:dyDescent="0.2">
      <c r="H176" s="28"/>
    </row>
    <row r="177" spans="8:8" x14ac:dyDescent="0.2">
      <c r="H177" s="28"/>
    </row>
    <row r="178" spans="8:8" x14ac:dyDescent="0.2">
      <c r="H178" s="28"/>
    </row>
    <row r="179" spans="8:8" x14ac:dyDescent="0.2">
      <c r="H179" s="28"/>
    </row>
    <row r="180" spans="8:8" x14ac:dyDescent="0.2">
      <c r="H180" s="28"/>
    </row>
    <row r="181" spans="8:8" x14ac:dyDescent="0.2">
      <c r="H181" s="28"/>
    </row>
    <row r="182" spans="8:8" x14ac:dyDescent="0.2">
      <c r="H182" s="28"/>
    </row>
    <row r="183" spans="8:8" x14ac:dyDescent="0.2">
      <c r="H183" s="28"/>
    </row>
    <row r="194" spans="2:6" x14ac:dyDescent="0.2">
      <c r="B194" s="28"/>
      <c r="C194" s="28"/>
      <c r="F194" s="28"/>
    </row>
    <row r="195" spans="2:6" x14ac:dyDescent="0.2">
      <c r="B195" s="28"/>
      <c r="C195" s="28"/>
      <c r="F195" s="28"/>
    </row>
    <row r="196" spans="2:6" x14ac:dyDescent="0.2">
      <c r="B196" s="28"/>
      <c r="C196" s="28"/>
      <c r="F196" s="28"/>
    </row>
    <row r="197" spans="2:6" x14ac:dyDescent="0.2">
      <c r="B197" s="28"/>
      <c r="C197" s="28"/>
      <c r="F197" s="28"/>
    </row>
    <row r="198" spans="2:6" x14ac:dyDescent="0.2">
      <c r="B198" s="28"/>
      <c r="C198" s="28"/>
      <c r="F198" s="28"/>
    </row>
    <row r="199" spans="2:6" x14ac:dyDescent="0.2">
      <c r="B199" s="28"/>
      <c r="C199" s="28"/>
      <c r="F199" s="28"/>
    </row>
    <row r="200" spans="2:6" x14ac:dyDescent="0.2">
      <c r="B200" s="28"/>
      <c r="C200" s="28"/>
      <c r="F200" s="28"/>
    </row>
    <row r="201" spans="2:6" x14ac:dyDescent="0.2">
      <c r="B201" s="28"/>
      <c r="C201" s="28"/>
      <c r="F201" s="28"/>
    </row>
    <row r="202" spans="2:6" x14ac:dyDescent="0.2">
      <c r="B202" s="28"/>
      <c r="C202" s="28"/>
      <c r="F202" s="28"/>
    </row>
    <row r="203" spans="2:6" x14ac:dyDescent="0.2">
      <c r="B203" s="28"/>
      <c r="C203" s="28"/>
      <c r="F203" s="28"/>
    </row>
    <row r="204" spans="2:6" x14ac:dyDescent="0.2">
      <c r="B204" s="28"/>
      <c r="C204" s="28"/>
      <c r="F204" s="28"/>
    </row>
    <row r="205" spans="2:6" x14ac:dyDescent="0.2">
      <c r="B205" s="28"/>
      <c r="C205" s="28"/>
      <c r="F205" s="28"/>
    </row>
    <row r="206" spans="2:6" x14ac:dyDescent="0.2">
      <c r="B206" s="28"/>
      <c r="C206" s="28"/>
      <c r="F206" s="28"/>
    </row>
    <row r="207" spans="2:6" x14ac:dyDescent="0.2">
      <c r="B207" s="28"/>
      <c r="C207" s="28"/>
      <c r="F207" s="28"/>
    </row>
    <row r="208" spans="2:6" x14ac:dyDescent="0.2">
      <c r="B208" s="28"/>
      <c r="C208" s="28"/>
      <c r="F208" s="28"/>
    </row>
    <row r="209" spans="2:8" x14ac:dyDescent="0.2">
      <c r="B209" s="28"/>
      <c r="C209" s="28"/>
      <c r="F209" s="28"/>
    </row>
    <row r="210" spans="2:8" x14ac:dyDescent="0.2">
      <c r="B210" s="28"/>
      <c r="C210" s="28"/>
      <c r="F210" s="28"/>
    </row>
    <row r="211" spans="2:8" x14ac:dyDescent="0.2">
      <c r="B211" s="28"/>
      <c r="C211" s="28"/>
      <c r="F211" s="28"/>
    </row>
    <row r="212" spans="2:8" x14ac:dyDescent="0.2">
      <c r="B212" s="28"/>
      <c r="C212" s="28"/>
      <c r="F212" s="28"/>
    </row>
    <row r="213" spans="2:8" x14ac:dyDescent="0.2">
      <c r="B213" s="28"/>
      <c r="C213" s="28"/>
      <c r="F213" s="28"/>
    </row>
    <row r="214" spans="2:8" x14ac:dyDescent="0.2">
      <c r="B214" s="28"/>
      <c r="C214" s="28"/>
      <c r="F214" s="28"/>
      <c r="G214" s="28"/>
      <c r="H214" s="28"/>
    </row>
    <row r="215" spans="2:8" x14ac:dyDescent="0.2">
      <c r="B215" s="28"/>
      <c r="C215" s="28"/>
      <c r="F215" s="28"/>
      <c r="G215" s="28"/>
      <c r="H215" s="28"/>
    </row>
    <row r="216" spans="2:8" x14ac:dyDescent="0.2">
      <c r="B216" s="28"/>
      <c r="C216" s="28"/>
      <c r="F216" s="28"/>
      <c r="G216" s="28"/>
      <c r="H216" s="28"/>
    </row>
    <row r="217" spans="2:8" x14ac:dyDescent="0.2">
      <c r="B217" s="28"/>
      <c r="C217" s="28"/>
      <c r="F217" s="28"/>
      <c r="G217" s="28"/>
      <c r="H217" s="28"/>
    </row>
    <row r="218" spans="2:8" x14ac:dyDescent="0.2">
      <c r="B218" s="28"/>
      <c r="C218" s="28"/>
      <c r="F218" s="28"/>
      <c r="G218" s="28"/>
      <c r="H218" s="28"/>
    </row>
    <row r="219" spans="2:8" x14ac:dyDescent="0.2">
      <c r="B219" s="28"/>
      <c r="C219" s="28"/>
      <c r="F219" s="28"/>
      <c r="G219" s="28"/>
      <c r="H219" s="28"/>
    </row>
    <row r="220" spans="2:8" x14ac:dyDescent="0.2">
      <c r="B220" s="28"/>
      <c r="C220" s="28"/>
      <c r="F220" s="28"/>
      <c r="G220" s="28"/>
      <c r="H220" s="28"/>
    </row>
    <row r="221" spans="2:8" x14ac:dyDescent="0.2">
      <c r="B221" s="28"/>
      <c r="C221" s="28"/>
      <c r="F221" s="28"/>
      <c r="G221" s="28"/>
      <c r="H221" s="28"/>
    </row>
    <row r="222" spans="2:8" x14ac:dyDescent="0.2">
      <c r="B222" s="28"/>
      <c r="C222" s="28"/>
      <c r="F222" s="28"/>
      <c r="G222" s="28"/>
      <c r="H222" s="28"/>
    </row>
    <row r="223" spans="2:8" x14ac:dyDescent="0.2">
      <c r="B223" s="28"/>
      <c r="C223" s="28"/>
      <c r="F223" s="28"/>
      <c r="G223" s="28"/>
      <c r="H223" s="28"/>
    </row>
    <row r="224" spans="2:8" x14ac:dyDescent="0.2">
      <c r="B224" s="28"/>
      <c r="C224" s="28"/>
      <c r="F224" s="28"/>
      <c r="G224" s="28"/>
      <c r="H224" s="28"/>
    </row>
    <row r="225" spans="2:23" x14ac:dyDescent="0.2">
      <c r="B225" s="28"/>
      <c r="C225" s="28"/>
      <c r="F225" s="28"/>
      <c r="G225" s="28"/>
      <c r="H225" s="28"/>
    </row>
    <row r="226" spans="2:23" x14ac:dyDescent="0.2">
      <c r="B226" s="28"/>
      <c r="C226" s="28"/>
      <c r="F226" s="28"/>
      <c r="G226" s="28"/>
      <c r="H226" s="28"/>
    </row>
    <row r="227" spans="2:23" x14ac:dyDescent="0.2">
      <c r="B227" s="28"/>
      <c r="C227" s="28"/>
      <c r="F227" s="28"/>
      <c r="G227" s="28"/>
      <c r="H227" s="28"/>
    </row>
    <row r="228" spans="2:23" x14ac:dyDescent="0.2">
      <c r="B228" s="28"/>
      <c r="C228" s="28"/>
      <c r="F228" s="28"/>
      <c r="G228" s="28"/>
      <c r="H228" s="28"/>
    </row>
    <row r="229" spans="2:23" x14ac:dyDescent="0.2">
      <c r="B229" s="28"/>
      <c r="C229" s="28"/>
      <c r="F229" s="28"/>
      <c r="G229" s="28"/>
      <c r="H229" s="28"/>
    </row>
    <row r="230" spans="2:23" x14ac:dyDescent="0.2">
      <c r="B230" s="28"/>
      <c r="C230" s="28"/>
      <c r="F230" s="28"/>
      <c r="G230" s="28"/>
      <c r="H230" s="28"/>
    </row>
    <row r="231" spans="2:23" x14ac:dyDescent="0.2">
      <c r="B231" s="28"/>
      <c r="C231" s="28"/>
      <c r="F231" s="28"/>
      <c r="G231" s="28"/>
      <c r="H231" s="28"/>
    </row>
    <row r="232" spans="2:23" x14ac:dyDescent="0.2">
      <c r="B232" s="28"/>
      <c r="C232" s="28"/>
      <c r="F232" s="28"/>
      <c r="G232" s="28"/>
      <c r="H232" s="28"/>
    </row>
    <row r="233" spans="2:23" x14ac:dyDescent="0.2">
      <c r="B233" s="28"/>
      <c r="C233" s="28"/>
      <c r="F233" s="28"/>
      <c r="G233" s="28"/>
      <c r="H233" s="28"/>
    </row>
    <row r="234" spans="2:23" x14ac:dyDescent="0.2">
      <c r="B234" s="28"/>
      <c r="C234" s="28"/>
      <c r="F234" s="28"/>
      <c r="G234" s="28"/>
      <c r="H234" s="28"/>
    </row>
    <row r="235" spans="2:23" x14ac:dyDescent="0.2">
      <c r="B235" s="28"/>
      <c r="C235" s="28"/>
      <c r="F235" s="28"/>
      <c r="G235" s="28"/>
      <c r="H235" s="28"/>
    </row>
    <row r="236" spans="2:23" x14ac:dyDescent="0.2">
      <c r="B236" s="28"/>
      <c r="C236" s="28"/>
      <c r="F236" s="28"/>
      <c r="G236" s="28"/>
      <c r="H236" s="28"/>
    </row>
    <row r="237" spans="2:23" x14ac:dyDescent="0.2">
      <c r="B237" s="28"/>
      <c r="C237" s="28"/>
    </row>
    <row r="238" spans="2:23" x14ac:dyDescent="0.2">
      <c r="B238" s="28"/>
      <c r="C238" s="28"/>
    </row>
    <row r="239" spans="2:23" x14ac:dyDescent="0.2">
      <c r="B239" s="28"/>
      <c r="C239" s="28"/>
      <c r="V239" s="28"/>
      <c r="W239" s="28"/>
    </row>
    <row r="240" spans="2:23" x14ac:dyDescent="0.2">
      <c r="B240" s="28"/>
      <c r="C240" s="28"/>
    </row>
    <row r="241" spans="2:3" x14ac:dyDescent="0.2">
      <c r="B241" s="28"/>
      <c r="C241" s="28"/>
    </row>
    <row r="242" spans="2:3" x14ac:dyDescent="0.2">
      <c r="B242" s="28"/>
      <c r="C242" s="28"/>
    </row>
    <row r="243" spans="2:3" x14ac:dyDescent="0.2">
      <c r="B243" s="28"/>
      <c r="C243" s="28"/>
    </row>
    <row r="244" spans="2:3" x14ac:dyDescent="0.2">
      <c r="B244" s="28"/>
      <c r="C244" s="28"/>
    </row>
    <row r="245" spans="2:3" x14ac:dyDescent="0.2">
      <c r="B245" s="28"/>
      <c r="C245" s="28"/>
    </row>
  </sheetData>
  <mergeCells count="3">
    <mergeCell ref="K54:K58"/>
    <mergeCell ref="L54:L90"/>
    <mergeCell ref="K61:K81"/>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D837AF4D90244EBB7BF4FC0E080314" ma:contentTypeVersion="0" ma:contentTypeDescription="Create a new document." ma:contentTypeScope="" ma:versionID="6b18c3ef351336bd42494718ca00a354">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86B-109C-4C2E-9EB9-58A7DA8EFFF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7324545-89A4-45ED-9194-47AEDC4BF9A7}">
  <ds:schemaRefs>
    <ds:schemaRef ds:uri="http://schemas.microsoft.com/sharepoint/v3/contenttype/forms"/>
  </ds:schemaRefs>
</ds:datastoreItem>
</file>

<file path=customXml/itemProps3.xml><?xml version="1.0" encoding="utf-8"?>
<ds:datastoreItem xmlns:ds="http://schemas.openxmlformats.org/officeDocument/2006/customXml" ds:itemID="{15FC8A10-DF64-4D31-9D29-5023948F9F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Read me</vt:lpstr>
      <vt:lpstr>Contents, list of sources</vt:lpstr>
      <vt:lpstr>Change in average single fare</vt:lpstr>
      <vt:lpstr>Change in operating costs</vt:lpstr>
      <vt:lpstr>Mode of travel</vt:lpstr>
      <vt:lpstr>Taxpayer spending</vt:lpstr>
      <vt:lpstr>Determined fares</vt:lpstr>
      <vt:lpstr>Subscription worked example</vt:lpstr>
      <vt:lpstr>Historical fare comparison</vt:lpstr>
      <vt:lpstr>Demand by time of day</vt:lpstr>
      <vt:lpstr>Peak and off peak journeys</vt:lpstr>
      <vt:lpstr>Cost by mode</vt:lpstr>
      <vt:lpstr>Ferry patronage by day</vt:lpstr>
      <vt:lpstr>Relativities between fares</vt:lpstr>
      <vt:lpstr>Distance travelled distribution</vt:lpstr>
      <vt:lpstr>Fare change index</vt:lpstr>
      <vt:lpstr>Patronage since 2011-12</vt:lpstr>
      <vt:lpstr>External benefits</vt:lpstr>
      <vt:lpstr>Revenue growth</vt:lpstr>
      <vt:lpstr>Rail - capacity and crowding</vt:lpstr>
      <vt:lpstr>Rail - Punctuality</vt:lpstr>
      <vt:lpstr>Bus2009 average fare</vt:lpstr>
      <vt:lpstr>IPART inputs</vt:lpstr>
      <vt:lpstr>CPI calculations</vt:lpstr>
      <vt:lpstr>TfNSW cost revenue data</vt:lpstr>
      <vt:lpstr>LGA Dwellings</vt:lpstr>
      <vt:lpstr>Household travel survey - Mode</vt:lpstr>
      <vt:lpstr>Journey distribution (all)</vt:lpstr>
      <vt:lpstr>Journey distribution (ex Gold)</vt:lpstr>
    </vt:vector>
  </TitlesOfParts>
  <Company>IPART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Robinson</dc:creator>
  <cp:lastModifiedBy>Denise Reid</cp:lastModifiedBy>
  <cp:lastPrinted>2019-10-30T02:51:01Z</cp:lastPrinted>
  <dcterms:created xsi:type="dcterms:W3CDTF">2014-05-19T07:21:06Z</dcterms:created>
  <dcterms:modified xsi:type="dcterms:W3CDTF">2020-06-18T08:42:06Z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0x010100FBD837AF4D90244EBB7BF4FC0E080314</vt:lpwstr>
  </property>
</Properties>
</file>