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part.local\ipart\FolderRedirection\MariaT\Desktop\"/>
    </mc:Choice>
  </mc:AlternateContent>
  <bookViews>
    <workbookView xWindow="0" yWindow="0" windowWidth="12740" windowHeight="11700" tabRatio="787" activeTab="8"/>
  </bookViews>
  <sheets>
    <sheet name="Cover" sheetId="36" r:id="rId1"/>
    <sheet name="Inputs&gt;&gt;" sheetId="26" r:id="rId2"/>
    <sheet name="Updated Volumes" sheetId="24" r:id="rId3"/>
    <sheet name="2017 Determination - Revenue" sheetId="14" r:id="rId4"/>
    <sheet name="2017 Determination - charges" sheetId="25" r:id="rId5"/>
    <sheet name="Outputs" sheetId="19" r:id="rId6"/>
    <sheet name=" Calculations&gt;&gt;" sheetId="20" r:id="rId7"/>
    <sheet name="MDB calcs" sheetId="17" r:id="rId8"/>
    <sheet name="FRWS calcs" sheetId="33" r:id="rId9"/>
  </sheets>
  <calcPr calcId="152511"/>
</workbook>
</file>

<file path=xl/calcChain.xml><?xml version="1.0" encoding="utf-8"?>
<calcChain xmlns="http://schemas.openxmlformats.org/spreadsheetml/2006/main">
  <c r="I247" i="19" l="1"/>
  <c r="H247" i="19"/>
  <c r="I208" i="19"/>
  <c r="H208" i="19"/>
  <c r="I169" i="19"/>
  <c r="H169" i="19"/>
  <c r="P146" i="19"/>
  <c r="O146" i="19"/>
  <c r="N146" i="19"/>
  <c r="P106" i="19"/>
  <c r="O106" i="19"/>
  <c r="N106" i="19"/>
  <c r="P66" i="19"/>
  <c r="O66" i="19"/>
  <c r="N66" i="19"/>
  <c r="H336" i="19" l="1"/>
  <c r="N159" i="19" l="1"/>
  <c r="N160" i="19"/>
  <c r="N158" i="19"/>
  <c r="N154" i="19"/>
  <c r="N155" i="19"/>
  <c r="N153" i="19"/>
  <c r="N149" i="19"/>
  <c r="N150" i="19"/>
  <c r="N148" i="19"/>
  <c r="N137" i="19"/>
  <c r="N136" i="19"/>
  <c r="N130" i="19"/>
  <c r="N126" i="19"/>
  <c r="N125" i="19"/>
  <c r="N119" i="19"/>
  <c r="N115" i="19"/>
  <c r="N114" i="19"/>
  <c r="N108" i="19"/>
  <c r="N144" i="19"/>
  <c r="N138" i="19"/>
  <c r="P138" i="19" s="1"/>
  <c r="N135" i="19"/>
  <c r="N134" i="19"/>
  <c r="P134" i="19" s="1"/>
  <c r="N133" i="19"/>
  <c r="P133" i="19" s="1"/>
  <c r="N132" i="19"/>
  <c r="N131" i="19"/>
  <c r="N127" i="19"/>
  <c r="P127" i="19" s="1"/>
  <c r="N116" i="19"/>
  <c r="P116" i="19" s="1"/>
  <c r="N124" i="19"/>
  <c r="N123" i="19"/>
  <c r="N122" i="19"/>
  <c r="P122" i="19" s="1"/>
  <c r="N121" i="19"/>
  <c r="P121" i="19" s="1"/>
  <c r="N120" i="19"/>
  <c r="P120" i="19" s="1"/>
  <c r="N110" i="19"/>
  <c r="N111" i="19"/>
  <c r="P111" i="19" s="1"/>
  <c r="N112" i="19"/>
  <c r="P112" i="19" s="1"/>
  <c r="N113" i="19"/>
  <c r="P113" i="19" s="1"/>
  <c r="N109" i="19"/>
  <c r="P109" i="19" s="1"/>
  <c r="P135" i="19"/>
  <c r="P132" i="19"/>
  <c r="P131" i="19"/>
  <c r="P124" i="19"/>
  <c r="P123" i="19"/>
  <c r="P110" i="19"/>
  <c r="N104" i="19"/>
  <c r="P104" i="19"/>
  <c r="P144" i="19" s="1"/>
  <c r="P98" i="19"/>
  <c r="N64" i="19"/>
  <c r="P64" i="19"/>
  <c r="P65" i="19"/>
  <c r="P105" i="19" s="1"/>
  <c r="P145" i="19" s="1"/>
  <c r="N91" i="19"/>
  <c r="N50" i="19" s="1"/>
  <c r="N92" i="19"/>
  <c r="N93" i="19"/>
  <c r="N52" i="19" s="1"/>
  <c r="N94" i="19"/>
  <c r="N95" i="19"/>
  <c r="N54" i="19" s="1"/>
  <c r="N96" i="19"/>
  <c r="N97" i="19"/>
  <c r="N98" i="19"/>
  <c r="O98" i="19"/>
  <c r="N90" i="19"/>
  <c r="N80" i="19"/>
  <c r="N39" i="19" s="1"/>
  <c r="N81" i="19"/>
  <c r="N82" i="19"/>
  <c r="N83" i="19"/>
  <c r="N84" i="19"/>
  <c r="N43" i="19" s="1"/>
  <c r="N85" i="19"/>
  <c r="N86" i="19"/>
  <c r="N87" i="19"/>
  <c r="N46" i="19" s="1"/>
  <c r="N79" i="19"/>
  <c r="N69" i="19"/>
  <c r="N70" i="19"/>
  <c r="N71" i="19"/>
  <c r="N72" i="19"/>
  <c r="N31" i="19" s="1"/>
  <c r="N73" i="19"/>
  <c r="N74" i="19"/>
  <c r="N75" i="19"/>
  <c r="N76" i="19"/>
  <c r="N35" i="19" s="1"/>
  <c r="P35" i="19" s="1"/>
  <c r="N68" i="19"/>
  <c r="N27" i="19" s="1"/>
  <c r="K25" i="19"/>
  <c r="N28" i="19" l="1"/>
  <c r="N51" i="19"/>
  <c r="N41" i="19"/>
  <c r="N40" i="19"/>
  <c r="P76" i="19"/>
  <c r="N57" i="19"/>
  <c r="P57" i="19" s="1"/>
  <c r="N53" i="19"/>
  <c r="N42" i="19"/>
  <c r="N30" i="19"/>
  <c r="N29" i="19"/>
  <c r="N32" i="19"/>
  <c r="N44" i="19"/>
  <c r="N33" i="19"/>
  <c r="N38" i="19"/>
  <c r="N45" i="19"/>
  <c r="N56" i="19"/>
  <c r="N34" i="19"/>
  <c r="N55" i="19"/>
  <c r="N49" i="19"/>
  <c r="H23" i="14"/>
  <c r="G23" i="14"/>
  <c r="N47" i="19" l="1"/>
  <c r="N36" i="19"/>
  <c r="N58" i="19"/>
  <c r="G101" i="25" l="1"/>
  <c r="F101" i="25"/>
  <c r="F103" i="25"/>
  <c r="J18" i="25" l="1"/>
  <c r="K98" i="19"/>
  <c r="L18" i="25"/>
  <c r="K18" i="25"/>
  <c r="L98" i="25"/>
  <c r="K98" i="25"/>
  <c r="J98" i="25"/>
  <c r="L97" i="25"/>
  <c r="K97" i="25"/>
  <c r="J97" i="25"/>
  <c r="L96" i="25"/>
  <c r="K96" i="25"/>
  <c r="J96" i="25"/>
  <c r="L93" i="25"/>
  <c r="L103" i="25" s="1"/>
  <c r="K93" i="25"/>
  <c r="K103" i="25" s="1"/>
  <c r="J93" i="25"/>
  <c r="L92" i="25"/>
  <c r="K92" i="25"/>
  <c r="K102" i="25" s="1"/>
  <c r="J92" i="25"/>
  <c r="J102" i="25" s="1"/>
  <c r="L91" i="25"/>
  <c r="L101" i="25" s="1"/>
  <c r="J158" i="19" s="1"/>
  <c r="K91" i="25"/>
  <c r="J91" i="25"/>
  <c r="J101" i="25" s="1"/>
  <c r="J87" i="25"/>
  <c r="J88" i="25"/>
  <c r="L81" i="25"/>
  <c r="K81" i="25"/>
  <c r="J81" i="25"/>
  <c r="L80" i="25"/>
  <c r="K80" i="25"/>
  <c r="J80" i="25"/>
  <c r="L79" i="25"/>
  <c r="K79" i="25"/>
  <c r="J79" i="25"/>
  <c r="L76" i="25"/>
  <c r="K76" i="25"/>
  <c r="J76" i="25"/>
  <c r="L75" i="25"/>
  <c r="K75" i="25"/>
  <c r="J75" i="25"/>
  <c r="L74" i="25"/>
  <c r="K74" i="25"/>
  <c r="J74" i="25"/>
  <c r="J70" i="25"/>
  <c r="K70" i="25"/>
  <c r="L70" i="25"/>
  <c r="J71" i="25"/>
  <c r="K71" i="25"/>
  <c r="L71" i="25"/>
  <c r="L69" i="25"/>
  <c r="K69" i="25"/>
  <c r="J69" i="25"/>
  <c r="J65" i="25"/>
  <c r="J66" i="25"/>
  <c r="J54" i="25"/>
  <c r="K54" i="25"/>
  <c r="L54" i="25"/>
  <c r="J55" i="25"/>
  <c r="K55" i="25"/>
  <c r="L55" i="25"/>
  <c r="J56" i="25"/>
  <c r="K56" i="25"/>
  <c r="L56" i="25"/>
  <c r="J57" i="25"/>
  <c r="K57" i="25"/>
  <c r="L57" i="25"/>
  <c r="J58" i="25"/>
  <c r="K58" i="25"/>
  <c r="L58" i="25"/>
  <c r="J59" i="25"/>
  <c r="K59" i="25"/>
  <c r="L59" i="25"/>
  <c r="J60" i="25"/>
  <c r="K60" i="25"/>
  <c r="L60" i="25"/>
  <c r="H179" i="19" s="1"/>
  <c r="J53" i="25"/>
  <c r="K53" i="25"/>
  <c r="L53" i="25"/>
  <c r="L52" i="25"/>
  <c r="K52" i="25"/>
  <c r="J52" i="25"/>
  <c r="J49" i="25"/>
  <c r="J48" i="25"/>
  <c r="J38" i="25"/>
  <c r="K38" i="25"/>
  <c r="L38" i="25"/>
  <c r="J39" i="25"/>
  <c r="K39" i="25"/>
  <c r="L39" i="25"/>
  <c r="J40" i="25"/>
  <c r="K40" i="25"/>
  <c r="L40" i="25"/>
  <c r="J41" i="25"/>
  <c r="K41" i="25"/>
  <c r="L41" i="25"/>
  <c r="J42" i="25"/>
  <c r="K42" i="25"/>
  <c r="L42" i="25"/>
  <c r="J43" i="25"/>
  <c r="K43" i="25"/>
  <c r="L43" i="25"/>
  <c r="J36" i="25"/>
  <c r="K36" i="25"/>
  <c r="L36" i="25"/>
  <c r="J37" i="25"/>
  <c r="K37" i="25"/>
  <c r="L37" i="25"/>
  <c r="L35" i="25"/>
  <c r="K35" i="25"/>
  <c r="J35" i="25"/>
  <c r="J32" i="25"/>
  <c r="J31" i="25"/>
  <c r="J19" i="25"/>
  <c r="K19" i="25"/>
  <c r="L19" i="25"/>
  <c r="J20" i="25"/>
  <c r="K20" i="25"/>
  <c r="L20" i="25"/>
  <c r="J21" i="25"/>
  <c r="K21" i="25"/>
  <c r="L21" i="25"/>
  <c r="J22" i="25"/>
  <c r="K22" i="25"/>
  <c r="L22" i="25"/>
  <c r="J23" i="25"/>
  <c r="K23" i="25"/>
  <c r="L23" i="25"/>
  <c r="J24" i="25"/>
  <c r="K24" i="25"/>
  <c r="L24" i="25"/>
  <c r="J25" i="25"/>
  <c r="K25" i="25"/>
  <c r="L25" i="25"/>
  <c r="J26" i="25"/>
  <c r="K26" i="25"/>
  <c r="L26" i="25"/>
  <c r="H22" i="14"/>
  <c r="G22" i="14"/>
  <c r="G15" i="14"/>
  <c r="H15" i="14" s="1"/>
  <c r="E16" i="14"/>
  <c r="F15" i="14"/>
  <c r="K101" i="25" l="1"/>
  <c r="L102" i="25"/>
  <c r="J103" i="25"/>
  <c r="J284" i="19"/>
  <c r="J247" i="19"/>
  <c r="J208" i="19"/>
  <c r="J169" i="19"/>
  <c r="L146" i="19"/>
  <c r="L145" i="19"/>
  <c r="L144" i="19"/>
  <c r="L106" i="19"/>
  <c r="L105" i="19"/>
  <c r="L104" i="19"/>
  <c r="L66" i="19" l="1"/>
  <c r="L65" i="19"/>
  <c r="L64" i="19"/>
  <c r="B21" i="33" l="1"/>
  <c r="J64" i="19" l="1"/>
  <c r="G20" i="33" l="1"/>
  <c r="F148" i="19" l="1"/>
  <c r="AB117" i="24" l="1"/>
  <c r="AB77" i="24"/>
  <c r="AC76" i="24" l="1"/>
  <c r="AC38" i="24"/>
  <c r="AC39" i="24"/>
  <c r="AC77" i="24" s="1"/>
  <c r="AC15" i="24"/>
  <c r="AB15" i="24"/>
  <c r="H15" i="33" l="1"/>
  <c r="H16" i="33"/>
  <c r="H14" i="33"/>
  <c r="G365" i="19" l="1"/>
  <c r="G366" i="19"/>
  <c r="G364" i="19"/>
  <c r="H350" i="19"/>
  <c r="H351" i="19"/>
  <c r="H349" i="19"/>
  <c r="G337" i="19"/>
  <c r="G338" i="19"/>
  <c r="G339" i="19"/>
  <c r="G340" i="19"/>
  <c r="G341" i="19"/>
  <c r="G342" i="19"/>
  <c r="G343" i="19"/>
  <c r="G344" i="19"/>
  <c r="G336" i="19"/>
  <c r="G369" i="19" l="1"/>
  <c r="H283" i="19"/>
  <c r="I283" i="19"/>
  <c r="C274" i="19"/>
  <c r="C269" i="19"/>
  <c r="C264" i="19"/>
  <c r="C258" i="19"/>
  <c r="C253" i="19"/>
  <c r="C248" i="19"/>
  <c r="C231" i="19"/>
  <c r="C220" i="19"/>
  <c r="C209" i="19"/>
  <c r="C192" i="19"/>
  <c r="C181" i="19"/>
  <c r="C170" i="19"/>
  <c r="G145" i="19"/>
  <c r="G105" i="19"/>
  <c r="G65" i="19"/>
  <c r="I246" i="19"/>
  <c r="H246" i="19"/>
  <c r="I207" i="19"/>
  <c r="H207" i="19"/>
  <c r="C60" i="33" l="1"/>
  <c r="B60" i="33"/>
  <c r="C59" i="33"/>
  <c r="B59" i="33"/>
  <c r="C58" i="33"/>
  <c r="B58" i="33"/>
  <c r="C55" i="33"/>
  <c r="B55" i="33"/>
  <c r="C54" i="33"/>
  <c r="B54" i="33"/>
  <c r="C53" i="33"/>
  <c r="B53" i="33"/>
  <c r="C50" i="33"/>
  <c r="B50" i="33"/>
  <c r="C49" i="33"/>
  <c r="B49" i="33"/>
  <c r="C48" i="33"/>
  <c r="B48" i="33"/>
  <c r="C45" i="33"/>
  <c r="B45" i="33"/>
  <c r="C44" i="33"/>
  <c r="B44" i="33"/>
  <c r="C43" i="33"/>
  <c r="B43" i="33"/>
  <c r="B40" i="33"/>
  <c r="C32" i="33"/>
  <c r="B32" i="33"/>
  <c r="C31" i="33"/>
  <c r="B31" i="33"/>
  <c r="C30" i="33"/>
  <c r="B30" i="33"/>
  <c r="C27" i="33"/>
  <c r="B27" i="33"/>
  <c r="C26" i="33"/>
  <c r="B26" i="33"/>
  <c r="C25" i="33"/>
  <c r="B25" i="33"/>
  <c r="H22" i="33"/>
  <c r="G22" i="33"/>
  <c r="F22" i="33"/>
  <c r="C22" i="33"/>
  <c r="B22" i="33"/>
  <c r="H21" i="33"/>
  <c r="G21" i="33"/>
  <c r="F21" i="33"/>
  <c r="C21" i="33"/>
  <c r="H20" i="33"/>
  <c r="F20" i="33"/>
  <c r="B20" i="33"/>
  <c r="G16" i="33"/>
  <c r="F16" i="33"/>
  <c r="C16" i="33"/>
  <c r="B16" i="33"/>
  <c r="G15" i="33"/>
  <c r="F15" i="33"/>
  <c r="C15" i="33"/>
  <c r="B15" i="33"/>
  <c r="G14" i="33"/>
  <c r="F14" i="33"/>
  <c r="C14" i="33"/>
  <c r="B14" i="33"/>
  <c r="B11" i="33"/>
  <c r="E7" i="33"/>
  <c r="B7" i="33"/>
  <c r="E6" i="33"/>
  <c r="B6" i="33"/>
  <c r="H210" i="17"/>
  <c r="G210" i="17"/>
  <c r="F210" i="17"/>
  <c r="C210" i="17"/>
  <c r="B210" i="17"/>
  <c r="H209" i="17"/>
  <c r="G209" i="17"/>
  <c r="F209" i="17"/>
  <c r="C209" i="17"/>
  <c r="B209" i="17"/>
  <c r="H208" i="17"/>
  <c r="G208" i="17"/>
  <c r="F208" i="17"/>
  <c r="C208" i="17"/>
  <c r="B208" i="17"/>
  <c r="H207" i="17"/>
  <c r="G207" i="17"/>
  <c r="F207" i="17"/>
  <c r="C207" i="17"/>
  <c r="B207" i="17"/>
  <c r="H206" i="17"/>
  <c r="G206" i="17"/>
  <c r="F206" i="17"/>
  <c r="C206" i="17"/>
  <c r="B206" i="17"/>
  <c r="H205" i="17"/>
  <c r="G205" i="17"/>
  <c r="F205" i="17"/>
  <c r="C205" i="17"/>
  <c r="B205" i="17"/>
  <c r="H204" i="17"/>
  <c r="G204" i="17"/>
  <c r="F204" i="17"/>
  <c r="C204" i="17"/>
  <c r="B204" i="17"/>
  <c r="H203" i="17"/>
  <c r="G203" i="17"/>
  <c r="G109" i="19" s="1"/>
  <c r="F203" i="17"/>
  <c r="C203" i="17"/>
  <c r="B203" i="17"/>
  <c r="H202" i="17"/>
  <c r="G202" i="17"/>
  <c r="F202" i="17"/>
  <c r="C202" i="17"/>
  <c r="B202" i="17"/>
  <c r="H198" i="17"/>
  <c r="G198" i="17"/>
  <c r="F198" i="17"/>
  <c r="C198" i="17"/>
  <c r="B198" i="17"/>
  <c r="H197" i="17"/>
  <c r="G197" i="17"/>
  <c r="F197" i="17"/>
  <c r="C197" i="17"/>
  <c r="B197" i="17"/>
  <c r="H196" i="17"/>
  <c r="G196" i="17"/>
  <c r="F196" i="17"/>
  <c r="C196" i="17"/>
  <c r="B196" i="17"/>
  <c r="H195" i="17"/>
  <c r="G195" i="17"/>
  <c r="F195" i="17"/>
  <c r="C195" i="17"/>
  <c r="B195" i="17"/>
  <c r="H194" i="17"/>
  <c r="G194" i="17"/>
  <c r="F194" i="17"/>
  <c r="C194" i="17"/>
  <c r="B194" i="17"/>
  <c r="H193" i="17"/>
  <c r="G193" i="17"/>
  <c r="F193" i="17"/>
  <c r="C193" i="17"/>
  <c r="B193" i="17"/>
  <c r="H192" i="17"/>
  <c r="G192" i="17"/>
  <c r="F192" i="17"/>
  <c r="C192" i="17"/>
  <c r="B192" i="17"/>
  <c r="H191" i="17"/>
  <c r="G191" i="17"/>
  <c r="F191" i="17"/>
  <c r="C191" i="17"/>
  <c r="B191" i="17"/>
  <c r="H190" i="17"/>
  <c r="G190" i="17"/>
  <c r="F190" i="17"/>
  <c r="C190" i="17"/>
  <c r="B190" i="17"/>
  <c r="C187" i="17"/>
  <c r="B187" i="17"/>
  <c r="C180" i="17"/>
  <c r="B180" i="17"/>
  <c r="C179" i="17"/>
  <c r="B179" i="17"/>
  <c r="C178" i="17"/>
  <c r="B178" i="17"/>
  <c r="C177" i="17"/>
  <c r="B177" i="17"/>
  <c r="C176" i="17"/>
  <c r="B176" i="17"/>
  <c r="C175" i="17"/>
  <c r="B175" i="17"/>
  <c r="C174" i="17"/>
  <c r="B174" i="17"/>
  <c r="C173" i="17"/>
  <c r="B173" i="17"/>
  <c r="C172" i="17"/>
  <c r="B172" i="17"/>
  <c r="C168" i="17"/>
  <c r="B168" i="17"/>
  <c r="C167" i="17"/>
  <c r="B167" i="17"/>
  <c r="C166" i="17"/>
  <c r="B166" i="17"/>
  <c r="C165" i="17"/>
  <c r="B165" i="17"/>
  <c r="C164" i="17"/>
  <c r="B164" i="17"/>
  <c r="C163" i="17"/>
  <c r="B163" i="17"/>
  <c r="C162" i="17"/>
  <c r="B162" i="17"/>
  <c r="C161" i="17"/>
  <c r="B161" i="17"/>
  <c r="C160" i="17"/>
  <c r="B160" i="17"/>
  <c r="H156" i="17"/>
  <c r="G156" i="17"/>
  <c r="G180" i="17" s="1"/>
  <c r="F156" i="17"/>
  <c r="C156" i="17"/>
  <c r="B156" i="17"/>
  <c r="H155" i="17"/>
  <c r="G155" i="17"/>
  <c r="F155" i="17"/>
  <c r="C155" i="17"/>
  <c r="B155" i="17"/>
  <c r="H154" i="17"/>
  <c r="G154" i="17"/>
  <c r="F154" i="17"/>
  <c r="C154" i="17"/>
  <c r="B154" i="17"/>
  <c r="H153" i="17"/>
  <c r="G153" i="17"/>
  <c r="F153" i="17"/>
  <c r="C153" i="17"/>
  <c r="B153" i="17"/>
  <c r="H152" i="17"/>
  <c r="G152" i="17"/>
  <c r="F152" i="17"/>
  <c r="C152" i="17"/>
  <c r="B152" i="17"/>
  <c r="H151" i="17"/>
  <c r="G151" i="17"/>
  <c r="F151" i="17"/>
  <c r="C151" i="17"/>
  <c r="B151" i="17"/>
  <c r="H150" i="17"/>
  <c r="G150" i="17"/>
  <c r="F150" i="17"/>
  <c r="C150" i="17"/>
  <c r="B150" i="17"/>
  <c r="H149" i="17"/>
  <c r="G149" i="17"/>
  <c r="F149" i="17"/>
  <c r="F161" i="17" s="1"/>
  <c r="C149" i="17"/>
  <c r="B149" i="17"/>
  <c r="H148" i="17"/>
  <c r="G148" i="17"/>
  <c r="F148" i="17"/>
  <c r="C148" i="17"/>
  <c r="B148" i="17"/>
  <c r="C145" i="17"/>
  <c r="B145" i="17"/>
  <c r="C139" i="17"/>
  <c r="B139" i="17"/>
  <c r="C138" i="17"/>
  <c r="B138" i="17"/>
  <c r="C137" i="17"/>
  <c r="B137" i="17"/>
  <c r="C136" i="17"/>
  <c r="B136" i="17"/>
  <c r="C135" i="17"/>
  <c r="B135" i="17"/>
  <c r="C134" i="17"/>
  <c r="B134" i="17"/>
  <c r="C133" i="17"/>
  <c r="B133" i="17"/>
  <c r="C132" i="17"/>
  <c r="B132" i="17"/>
  <c r="C131" i="17"/>
  <c r="B131" i="17"/>
  <c r="C128" i="17"/>
  <c r="B128" i="17"/>
  <c r="C122" i="17"/>
  <c r="B122" i="17"/>
  <c r="C121" i="17"/>
  <c r="B121" i="17"/>
  <c r="C120" i="17"/>
  <c r="B120" i="17"/>
  <c r="C119" i="17"/>
  <c r="B119" i="17"/>
  <c r="C118" i="17"/>
  <c r="B118" i="17"/>
  <c r="C117" i="17"/>
  <c r="B117" i="17"/>
  <c r="C116" i="17"/>
  <c r="B116" i="17"/>
  <c r="C115" i="17"/>
  <c r="B115" i="17"/>
  <c r="C114" i="17"/>
  <c r="B114" i="17"/>
  <c r="C110" i="17"/>
  <c r="B110" i="17"/>
  <c r="C109" i="17"/>
  <c r="B109" i="17"/>
  <c r="C108" i="17"/>
  <c r="B108" i="17"/>
  <c r="C107" i="17"/>
  <c r="B107" i="17"/>
  <c r="C106" i="17"/>
  <c r="B106" i="17"/>
  <c r="C105" i="17"/>
  <c r="B105" i="17"/>
  <c r="C104" i="17"/>
  <c r="B104" i="17"/>
  <c r="C103" i="17"/>
  <c r="B103" i="17"/>
  <c r="B102" i="17"/>
  <c r="C98" i="17"/>
  <c r="B98" i="17"/>
  <c r="H92" i="17"/>
  <c r="G92" i="17"/>
  <c r="F92" i="17"/>
  <c r="B92" i="17"/>
  <c r="H91" i="17"/>
  <c r="G91" i="17"/>
  <c r="F91" i="17"/>
  <c r="B91" i="17"/>
  <c r="H90" i="17"/>
  <c r="G90" i="17"/>
  <c r="F90" i="17"/>
  <c r="B90" i="17"/>
  <c r="H89" i="17"/>
  <c r="G89" i="17"/>
  <c r="F89" i="17"/>
  <c r="B89" i="17"/>
  <c r="H88" i="17"/>
  <c r="G88" i="17"/>
  <c r="F88" i="17"/>
  <c r="B88" i="17"/>
  <c r="H87" i="17"/>
  <c r="G87" i="17"/>
  <c r="F87" i="17"/>
  <c r="B87" i="17"/>
  <c r="H86" i="17"/>
  <c r="G86" i="17"/>
  <c r="F86" i="17"/>
  <c r="B86" i="17"/>
  <c r="H85" i="17"/>
  <c r="G85" i="17"/>
  <c r="F85" i="17"/>
  <c r="B85" i="17"/>
  <c r="H84" i="17"/>
  <c r="G84" i="17"/>
  <c r="F84" i="17"/>
  <c r="B84" i="17"/>
  <c r="B83" i="17"/>
  <c r="H81" i="17"/>
  <c r="G81" i="17"/>
  <c r="F81" i="17"/>
  <c r="B81" i="17"/>
  <c r="H80" i="17"/>
  <c r="G80" i="17"/>
  <c r="F80" i="17"/>
  <c r="B80" i="17"/>
  <c r="H79" i="17"/>
  <c r="G79" i="17"/>
  <c r="F79" i="17"/>
  <c r="B79" i="17"/>
  <c r="H78" i="17"/>
  <c r="G78" i="17"/>
  <c r="F78" i="17"/>
  <c r="B78" i="17"/>
  <c r="H77" i="17"/>
  <c r="G77" i="17"/>
  <c r="F77" i="17"/>
  <c r="B77" i="17"/>
  <c r="H76" i="17"/>
  <c r="G76" i="17"/>
  <c r="F76" i="17"/>
  <c r="B76" i="17"/>
  <c r="H75" i="17"/>
  <c r="G75" i="17"/>
  <c r="F75" i="17"/>
  <c r="B75" i="17"/>
  <c r="H74" i="17"/>
  <c r="G74" i="17"/>
  <c r="F74" i="17"/>
  <c r="B74" i="17"/>
  <c r="H73" i="17"/>
  <c r="G73" i="17"/>
  <c r="F73" i="17"/>
  <c r="B73" i="17"/>
  <c r="B72" i="17"/>
  <c r="B70" i="17"/>
  <c r="H69" i="17"/>
  <c r="G69" i="17"/>
  <c r="F69" i="17"/>
  <c r="B69" i="17"/>
  <c r="H68" i="17"/>
  <c r="G68" i="17"/>
  <c r="F68" i="17"/>
  <c r="B68" i="17"/>
  <c r="H67" i="17"/>
  <c r="G67" i="17"/>
  <c r="F67" i="17"/>
  <c r="B67" i="17"/>
  <c r="H66" i="17"/>
  <c r="G66" i="17"/>
  <c r="F66" i="17"/>
  <c r="B66" i="17"/>
  <c r="H65" i="17"/>
  <c r="G65" i="17"/>
  <c r="F65" i="17"/>
  <c r="B65" i="17"/>
  <c r="H64" i="17"/>
  <c r="G64" i="17"/>
  <c r="F64" i="17"/>
  <c r="B64" i="17"/>
  <c r="H63" i="17"/>
  <c r="G63" i="17"/>
  <c r="F63" i="17"/>
  <c r="B63" i="17"/>
  <c r="H62" i="17"/>
  <c r="G62" i="17"/>
  <c r="F62" i="17"/>
  <c r="B62" i="17"/>
  <c r="B61" i="17"/>
  <c r="C58" i="17"/>
  <c r="B58" i="17"/>
  <c r="H53" i="17"/>
  <c r="G53" i="17"/>
  <c r="F53" i="17"/>
  <c r="C53" i="17"/>
  <c r="B53" i="17"/>
  <c r="H52" i="17"/>
  <c r="G52" i="17"/>
  <c r="F52" i="17"/>
  <c r="C52" i="17"/>
  <c r="B52" i="17"/>
  <c r="H51" i="17"/>
  <c r="G51" i="17"/>
  <c r="F51" i="17"/>
  <c r="C51" i="17"/>
  <c r="B51" i="17"/>
  <c r="H50" i="17"/>
  <c r="G50" i="17"/>
  <c r="F50" i="17"/>
  <c r="C50" i="17"/>
  <c r="B50" i="17"/>
  <c r="H49" i="17"/>
  <c r="G49" i="17"/>
  <c r="F49" i="17"/>
  <c r="C49" i="17"/>
  <c r="B49" i="17"/>
  <c r="H48" i="17"/>
  <c r="G48" i="17"/>
  <c r="F48" i="17"/>
  <c r="C48" i="17"/>
  <c r="B48" i="17"/>
  <c r="H47" i="17"/>
  <c r="G47" i="17"/>
  <c r="F47" i="17"/>
  <c r="C47" i="17"/>
  <c r="B47" i="17"/>
  <c r="H46" i="17"/>
  <c r="G46" i="17"/>
  <c r="F46" i="17"/>
  <c r="C46" i="17"/>
  <c r="B46" i="17"/>
  <c r="H45" i="17"/>
  <c r="G45" i="17"/>
  <c r="F45" i="17"/>
  <c r="C45" i="17"/>
  <c r="B45" i="17"/>
  <c r="B43" i="17"/>
  <c r="H41" i="17"/>
  <c r="G41" i="17"/>
  <c r="F41" i="17"/>
  <c r="C41" i="17"/>
  <c r="B41" i="17"/>
  <c r="H40" i="17"/>
  <c r="G40" i="17"/>
  <c r="F40" i="17"/>
  <c r="C40" i="17"/>
  <c r="B40" i="17"/>
  <c r="H39" i="17"/>
  <c r="G39" i="17"/>
  <c r="F39" i="17"/>
  <c r="C39" i="17"/>
  <c r="B39" i="17"/>
  <c r="H38" i="17"/>
  <c r="G38" i="17"/>
  <c r="F38" i="17"/>
  <c r="C38" i="17"/>
  <c r="B38" i="17"/>
  <c r="H37" i="17"/>
  <c r="G37" i="17"/>
  <c r="F37" i="17"/>
  <c r="C37" i="17"/>
  <c r="B37" i="17"/>
  <c r="H36" i="17"/>
  <c r="G36" i="17"/>
  <c r="F36" i="17"/>
  <c r="C36" i="17"/>
  <c r="B36" i="17"/>
  <c r="H35" i="17"/>
  <c r="G35" i="17"/>
  <c r="F35" i="17"/>
  <c r="C35" i="17"/>
  <c r="B35" i="17"/>
  <c r="H34" i="17"/>
  <c r="G34" i="17"/>
  <c r="F34" i="17"/>
  <c r="C34" i="17"/>
  <c r="B34" i="17"/>
  <c r="H33" i="17"/>
  <c r="G33" i="17"/>
  <c r="F33" i="17"/>
  <c r="C33" i="17"/>
  <c r="B33" i="17"/>
  <c r="H29" i="17"/>
  <c r="G29" i="17"/>
  <c r="F29" i="17"/>
  <c r="C29" i="17"/>
  <c r="B29" i="17"/>
  <c r="H28" i="17"/>
  <c r="G28" i="17"/>
  <c r="F28" i="17"/>
  <c r="C28" i="17"/>
  <c r="B28" i="17"/>
  <c r="H27" i="17"/>
  <c r="G27" i="17"/>
  <c r="F27" i="17"/>
  <c r="C27" i="17"/>
  <c r="B27" i="17"/>
  <c r="H26" i="17"/>
  <c r="G26" i="17"/>
  <c r="F26" i="17"/>
  <c r="C26" i="17"/>
  <c r="B26" i="17"/>
  <c r="H25" i="17"/>
  <c r="G25" i="17"/>
  <c r="F25" i="17"/>
  <c r="C25" i="17"/>
  <c r="B25" i="17"/>
  <c r="H24" i="17"/>
  <c r="H111" i="19" s="1"/>
  <c r="G24" i="17"/>
  <c r="F24" i="17"/>
  <c r="C24" i="17"/>
  <c r="B24" i="17"/>
  <c r="H23" i="17"/>
  <c r="G23" i="17"/>
  <c r="F23" i="17"/>
  <c r="C23" i="17"/>
  <c r="B23" i="17"/>
  <c r="H22" i="17"/>
  <c r="G22" i="17"/>
  <c r="F22" i="17"/>
  <c r="C22" i="17"/>
  <c r="B22" i="17"/>
  <c r="H21" i="17"/>
  <c r="H108" i="19" s="1"/>
  <c r="G21" i="17"/>
  <c r="G108" i="19" s="1"/>
  <c r="F21" i="17"/>
  <c r="C21" i="17"/>
  <c r="B21" i="17"/>
  <c r="C17" i="17"/>
  <c r="B17" i="17"/>
  <c r="G11" i="17"/>
  <c r="B11" i="17"/>
  <c r="G10" i="17"/>
  <c r="B10" i="17"/>
  <c r="G9" i="17"/>
  <c r="B9" i="17"/>
  <c r="G8" i="17"/>
  <c r="B8" i="17"/>
  <c r="G7" i="17"/>
  <c r="B7" i="17"/>
  <c r="G6" i="17"/>
  <c r="B6" i="17"/>
  <c r="C366" i="19"/>
  <c r="B366" i="19"/>
  <c r="C365" i="19"/>
  <c r="B365" i="19"/>
  <c r="C364" i="19"/>
  <c r="B364" i="19"/>
  <c r="C361" i="19"/>
  <c r="B361" i="19"/>
  <c r="C360" i="19"/>
  <c r="B360" i="19"/>
  <c r="C359" i="19"/>
  <c r="B359" i="19"/>
  <c r="C356" i="19"/>
  <c r="B356" i="19"/>
  <c r="C355" i="19"/>
  <c r="B355" i="19"/>
  <c r="C354" i="19"/>
  <c r="B354" i="19"/>
  <c r="C351" i="19"/>
  <c r="B351" i="19"/>
  <c r="C350" i="19"/>
  <c r="B350" i="19"/>
  <c r="C349" i="19"/>
  <c r="B349" i="19"/>
  <c r="C344" i="19"/>
  <c r="B344" i="19"/>
  <c r="C343" i="19"/>
  <c r="B343" i="19"/>
  <c r="C342" i="19"/>
  <c r="B342" i="19"/>
  <c r="C341" i="19"/>
  <c r="B341" i="19"/>
  <c r="C340" i="19"/>
  <c r="B340" i="19"/>
  <c r="C339" i="19"/>
  <c r="B339" i="19"/>
  <c r="C338" i="19"/>
  <c r="B338" i="19"/>
  <c r="C337" i="19"/>
  <c r="B337" i="19"/>
  <c r="C336" i="19"/>
  <c r="B336" i="19"/>
  <c r="C332" i="19"/>
  <c r="B332" i="19"/>
  <c r="C331" i="19"/>
  <c r="B331" i="19"/>
  <c r="C330" i="19"/>
  <c r="B330" i="19"/>
  <c r="C329" i="19"/>
  <c r="B329" i="19"/>
  <c r="C328" i="19"/>
  <c r="B328" i="19"/>
  <c r="C327" i="19"/>
  <c r="B327" i="19"/>
  <c r="C326" i="19"/>
  <c r="B326" i="19"/>
  <c r="C325" i="19"/>
  <c r="B325" i="19"/>
  <c r="C324" i="19"/>
  <c r="B324" i="19"/>
  <c r="C321" i="19"/>
  <c r="B321" i="19"/>
  <c r="C320" i="19"/>
  <c r="B320" i="19"/>
  <c r="C319" i="19"/>
  <c r="B319" i="19"/>
  <c r="C318" i="19"/>
  <c r="B318" i="19"/>
  <c r="C317" i="19"/>
  <c r="B317" i="19"/>
  <c r="C316" i="19"/>
  <c r="B316" i="19"/>
  <c r="C315" i="19"/>
  <c r="B315" i="19"/>
  <c r="C314" i="19"/>
  <c r="B314" i="19"/>
  <c r="C313" i="19"/>
  <c r="B313" i="19"/>
  <c r="C310" i="19"/>
  <c r="B310" i="19"/>
  <c r="C309" i="19"/>
  <c r="B309" i="19"/>
  <c r="C308" i="19"/>
  <c r="B308" i="19"/>
  <c r="C307" i="19"/>
  <c r="B307" i="19"/>
  <c r="C306" i="19"/>
  <c r="B306" i="19"/>
  <c r="C305" i="19"/>
  <c r="B305" i="19"/>
  <c r="C304" i="19"/>
  <c r="B304" i="19"/>
  <c r="C303" i="19"/>
  <c r="B303" i="19"/>
  <c r="C302" i="19"/>
  <c r="B302" i="19"/>
  <c r="C295" i="19"/>
  <c r="B295" i="19"/>
  <c r="C288" i="19"/>
  <c r="C287" i="19"/>
  <c r="C286" i="19"/>
  <c r="J283" i="19"/>
  <c r="C282" i="19"/>
  <c r="B282" i="19"/>
  <c r="C277" i="19"/>
  <c r="B277" i="19"/>
  <c r="C276" i="19"/>
  <c r="B276" i="19"/>
  <c r="C275" i="19"/>
  <c r="B275" i="19"/>
  <c r="B274" i="19"/>
  <c r="C272" i="19"/>
  <c r="B272" i="19"/>
  <c r="C271" i="19"/>
  <c r="B271" i="19"/>
  <c r="C270" i="19"/>
  <c r="B270" i="19"/>
  <c r="B269" i="19"/>
  <c r="C267" i="19"/>
  <c r="B267" i="19"/>
  <c r="C266" i="19"/>
  <c r="B266" i="19"/>
  <c r="C265" i="19"/>
  <c r="B265" i="19"/>
  <c r="B264" i="19"/>
  <c r="C261" i="19"/>
  <c r="B261" i="19"/>
  <c r="C260" i="19"/>
  <c r="B260" i="19"/>
  <c r="C259" i="19"/>
  <c r="B259" i="19"/>
  <c r="B258" i="19"/>
  <c r="C256" i="19"/>
  <c r="B256" i="19"/>
  <c r="C255" i="19"/>
  <c r="B255" i="19"/>
  <c r="C254" i="19"/>
  <c r="B254" i="19"/>
  <c r="B253" i="19"/>
  <c r="C251" i="19"/>
  <c r="B251" i="19"/>
  <c r="C250" i="19"/>
  <c r="B250" i="19"/>
  <c r="C249" i="19"/>
  <c r="B249" i="19"/>
  <c r="B248" i="19"/>
  <c r="J246" i="19"/>
  <c r="C245" i="19"/>
  <c r="B245" i="19"/>
  <c r="C240" i="19"/>
  <c r="B240" i="19"/>
  <c r="C239" i="19"/>
  <c r="B239" i="19"/>
  <c r="C238" i="19"/>
  <c r="B238" i="19"/>
  <c r="C237" i="19"/>
  <c r="B237" i="19"/>
  <c r="C236" i="19"/>
  <c r="B236" i="19"/>
  <c r="C235" i="19"/>
  <c r="B235" i="19"/>
  <c r="C234" i="19"/>
  <c r="B234" i="19"/>
  <c r="C233" i="19"/>
  <c r="B233" i="19"/>
  <c r="C232" i="19"/>
  <c r="B232" i="19"/>
  <c r="B231" i="19"/>
  <c r="C229" i="19"/>
  <c r="B229" i="19"/>
  <c r="C228" i="19"/>
  <c r="B228" i="19"/>
  <c r="C227" i="19"/>
  <c r="B227" i="19"/>
  <c r="C226" i="19"/>
  <c r="B226" i="19"/>
  <c r="C225" i="19"/>
  <c r="B225" i="19"/>
  <c r="C224" i="19"/>
  <c r="B224" i="19"/>
  <c r="C223" i="19"/>
  <c r="B223" i="19"/>
  <c r="C222" i="19"/>
  <c r="B222" i="19"/>
  <c r="C221" i="19"/>
  <c r="B221" i="19"/>
  <c r="B220" i="19"/>
  <c r="C218" i="19"/>
  <c r="B218" i="19"/>
  <c r="C217" i="19"/>
  <c r="B217" i="19"/>
  <c r="C216" i="19"/>
  <c r="B216" i="19"/>
  <c r="C215" i="19"/>
  <c r="B215" i="19"/>
  <c r="C214" i="19"/>
  <c r="B214" i="19"/>
  <c r="C213" i="19"/>
  <c r="B213" i="19"/>
  <c r="C212" i="19"/>
  <c r="B212" i="19"/>
  <c r="C211" i="19"/>
  <c r="B211" i="19"/>
  <c r="C210" i="19"/>
  <c r="B210" i="19"/>
  <c r="B209" i="19"/>
  <c r="C206" i="19"/>
  <c r="B206" i="19"/>
  <c r="C201" i="19"/>
  <c r="B201" i="19"/>
  <c r="C200" i="19"/>
  <c r="B200" i="19"/>
  <c r="C199" i="19"/>
  <c r="B199" i="19"/>
  <c r="C198" i="19"/>
  <c r="B198" i="19"/>
  <c r="C197" i="19"/>
  <c r="B197" i="19"/>
  <c r="C196" i="19"/>
  <c r="B196" i="19"/>
  <c r="C195" i="19"/>
  <c r="B195" i="19"/>
  <c r="C194" i="19"/>
  <c r="B194" i="19"/>
  <c r="C193" i="19"/>
  <c r="B193" i="19"/>
  <c r="B192" i="19"/>
  <c r="C190" i="19"/>
  <c r="B190" i="19"/>
  <c r="C189" i="19"/>
  <c r="B189" i="19"/>
  <c r="C188" i="19"/>
  <c r="B188" i="19"/>
  <c r="C187" i="19"/>
  <c r="B187" i="19"/>
  <c r="C186" i="19"/>
  <c r="B186" i="19"/>
  <c r="C185" i="19"/>
  <c r="B185" i="19"/>
  <c r="C184" i="19"/>
  <c r="B184" i="19"/>
  <c r="C183" i="19"/>
  <c r="B183" i="19"/>
  <c r="C182" i="19"/>
  <c r="B182" i="19"/>
  <c r="B181" i="19"/>
  <c r="C179" i="19"/>
  <c r="B179" i="19"/>
  <c r="C178" i="19"/>
  <c r="B178" i="19"/>
  <c r="C177" i="19"/>
  <c r="B177" i="19"/>
  <c r="C176" i="19"/>
  <c r="B176" i="19"/>
  <c r="C175" i="19"/>
  <c r="B175" i="19"/>
  <c r="C174" i="19"/>
  <c r="B174" i="19"/>
  <c r="C173" i="19"/>
  <c r="B173" i="19"/>
  <c r="C172" i="19"/>
  <c r="B172" i="19"/>
  <c r="B171" i="19"/>
  <c r="B170" i="19"/>
  <c r="C167" i="19"/>
  <c r="B167" i="19"/>
  <c r="C160" i="19"/>
  <c r="B160" i="19"/>
  <c r="C159" i="19"/>
  <c r="B159" i="19"/>
  <c r="C158" i="19"/>
  <c r="B158" i="19"/>
  <c r="F155" i="19"/>
  <c r="C155" i="19"/>
  <c r="B155" i="19"/>
  <c r="F154" i="19"/>
  <c r="C154" i="19"/>
  <c r="B154" i="19"/>
  <c r="F153" i="19"/>
  <c r="C153" i="19"/>
  <c r="B153" i="19"/>
  <c r="F150" i="19"/>
  <c r="C150" i="19"/>
  <c r="B150" i="19"/>
  <c r="F149" i="19"/>
  <c r="F44" i="33" s="1"/>
  <c r="C149" i="19"/>
  <c r="B149" i="19"/>
  <c r="B148" i="19"/>
  <c r="K146" i="19"/>
  <c r="H146" i="19"/>
  <c r="G146" i="19"/>
  <c r="F146" i="19"/>
  <c r="K145" i="19"/>
  <c r="H145" i="19"/>
  <c r="F145" i="19"/>
  <c r="J144" i="19"/>
  <c r="C144" i="19"/>
  <c r="B144" i="19"/>
  <c r="L138" i="19"/>
  <c r="C138" i="19"/>
  <c r="B138" i="19"/>
  <c r="F137" i="19"/>
  <c r="C137" i="19"/>
  <c r="B137" i="19"/>
  <c r="F136" i="19"/>
  <c r="C136" i="19"/>
  <c r="B136" i="19"/>
  <c r="L135" i="19"/>
  <c r="C135" i="19"/>
  <c r="B135" i="19"/>
  <c r="L134" i="19"/>
  <c r="C134" i="19"/>
  <c r="B134" i="19"/>
  <c r="L133" i="19"/>
  <c r="C133" i="19"/>
  <c r="B133" i="19"/>
  <c r="L132" i="19"/>
  <c r="C132" i="19"/>
  <c r="B132" i="19"/>
  <c r="L131" i="19"/>
  <c r="C131" i="19"/>
  <c r="B131" i="19"/>
  <c r="F130" i="19"/>
  <c r="C130" i="19"/>
  <c r="B130" i="19"/>
  <c r="B129" i="19"/>
  <c r="L127" i="19"/>
  <c r="C127" i="19"/>
  <c r="B127" i="19"/>
  <c r="F126" i="19"/>
  <c r="C126" i="19"/>
  <c r="B126" i="19"/>
  <c r="F125" i="19"/>
  <c r="C125" i="19"/>
  <c r="B125" i="19"/>
  <c r="L124" i="19"/>
  <c r="C124" i="19"/>
  <c r="B124" i="19"/>
  <c r="L123" i="19"/>
  <c r="C123" i="19"/>
  <c r="B123" i="19"/>
  <c r="L122" i="19"/>
  <c r="C122" i="19"/>
  <c r="B122" i="19"/>
  <c r="L121" i="19"/>
  <c r="C121" i="19"/>
  <c r="B121" i="19"/>
  <c r="L120" i="19"/>
  <c r="C120" i="19"/>
  <c r="B120" i="19"/>
  <c r="F119" i="19"/>
  <c r="C119" i="19"/>
  <c r="B119" i="19"/>
  <c r="B118" i="19"/>
  <c r="J116" i="19"/>
  <c r="L116" i="19" s="1"/>
  <c r="G116" i="19"/>
  <c r="C116" i="19"/>
  <c r="B116" i="19"/>
  <c r="F115" i="19"/>
  <c r="C115" i="19"/>
  <c r="B115" i="19"/>
  <c r="F114" i="19"/>
  <c r="C114" i="19"/>
  <c r="B114" i="19"/>
  <c r="L113" i="19"/>
  <c r="C113" i="19"/>
  <c r="B113" i="19"/>
  <c r="L112" i="19"/>
  <c r="C112" i="19"/>
  <c r="B112" i="19"/>
  <c r="L111" i="19"/>
  <c r="C111" i="19"/>
  <c r="B111" i="19"/>
  <c r="L110" i="19"/>
  <c r="C110" i="19"/>
  <c r="B110" i="19"/>
  <c r="L109" i="19"/>
  <c r="C109" i="19"/>
  <c r="B109" i="19"/>
  <c r="F108" i="19"/>
  <c r="C108" i="19"/>
  <c r="B108" i="19"/>
  <c r="B107" i="19"/>
  <c r="K106" i="19"/>
  <c r="H106" i="19"/>
  <c r="G106" i="19"/>
  <c r="F106" i="19"/>
  <c r="K105" i="19"/>
  <c r="H105" i="19"/>
  <c r="F105" i="19"/>
  <c r="J105" i="19" s="1"/>
  <c r="J104" i="19"/>
  <c r="C104" i="19"/>
  <c r="B104" i="19"/>
  <c r="C98" i="19"/>
  <c r="B98" i="19"/>
  <c r="F97" i="19"/>
  <c r="C97" i="19"/>
  <c r="B97" i="19"/>
  <c r="F96" i="19"/>
  <c r="C96" i="19"/>
  <c r="B96" i="19"/>
  <c r="F95" i="19"/>
  <c r="F54" i="19" s="1"/>
  <c r="C95" i="19"/>
  <c r="B95" i="19"/>
  <c r="F94" i="19"/>
  <c r="F53" i="19" s="1"/>
  <c r="C94" i="19"/>
  <c r="B94" i="19"/>
  <c r="F93" i="19"/>
  <c r="F52" i="19" s="1"/>
  <c r="C93" i="19"/>
  <c r="B93" i="19"/>
  <c r="F92" i="19"/>
  <c r="F51" i="19" s="1"/>
  <c r="C92" i="19"/>
  <c r="B92" i="19"/>
  <c r="F91" i="19"/>
  <c r="F50" i="19" s="1"/>
  <c r="C91" i="19"/>
  <c r="B91" i="19"/>
  <c r="F90" i="19"/>
  <c r="C90" i="19"/>
  <c r="B90" i="19"/>
  <c r="B89" i="19"/>
  <c r="F87" i="19"/>
  <c r="F46" i="19" s="1"/>
  <c r="C87" i="19"/>
  <c r="B87" i="19"/>
  <c r="F86" i="19"/>
  <c r="C86" i="19"/>
  <c r="B86" i="19"/>
  <c r="F85" i="19"/>
  <c r="C85" i="19"/>
  <c r="B85" i="19"/>
  <c r="F84" i="19"/>
  <c r="F43" i="19" s="1"/>
  <c r="C84" i="19"/>
  <c r="B84" i="19"/>
  <c r="F83" i="19"/>
  <c r="F42" i="19" s="1"/>
  <c r="C83" i="19"/>
  <c r="B83" i="19"/>
  <c r="F82" i="19"/>
  <c r="F41" i="19" s="1"/>
  <c r="C82" i="19"/>
  <c r="B82" i="19"/>
  <c r="F81" i="19"/>
  <c r="F40" i="19" s="1"/>
  <c r="C81" i="19"/>
  <c r="B81" i="19"/>
  <c r="F80" i="19"/>
  <c r="F39" i="19" s="1"/>
  <c r="C80" i="19"/>
  <c r="B80" i="19"/>
  <c r="F79" i="19"/>
  <c r="C79" i="19"/>
  <c r="B79" i="19"/>
  <c r="B78" i="19"/>
  <c r="C76" i="19"/>
  <c r="B76" i="19"/>
  <c r="F75" i="19"/>
  <c r="C75" i="19"/>
  <c r="B75" i="19"/>
  <c r="F74" i="19"/>
  <c r="C74" i="19"/>
  <c r="B74" i="19"/>
  <c r="F73" i="19"/>
  <c r="F32" i="19" s="1"/>
  <c r="C73" i="19"/>
  <c r="B73" i="19"/>
  <c r="F72" i="19"/>
  <c r="F31" i="19" s="1"/>
  <c r="C72" i="19"/>
  <c r="B72" i="19"/>
  <c r="F71" i="19"/>
  <c r="F30" i="19" s="1"/>
  <c r="C71" i="19"/>
  <c r="B71" i="19"/>
  <c r="F70" i="19"/>
  <c r="F29" i="19" s="1"/>
  <c r="C70" i="19"/>
  <c r="B70" i="19"/>
  <c r="F69" i="19"/>
  <c r="F28" i="19" s="1"/>
  <c r="C69" i="19"/>
  <c r="B69" i="19"/>
  <c r="F68" i="19"/>
  <c r="C68" i="19"/>
  <c r="B68" i="19"/>
  <c r="B67" i="19"/>
  <c r="K66" i="19"/>
  <c r="H66" i="19"/>
  <c r="G66" i="19"/>
  <c r="F66" i="19"/>
  <c r="K65" i="19"/>
  <c r="H65" i="19"/>
  <c r="F65" i="19"/>
  <c r="J65" i="19" s="1"/>
  <c r="C64" i="19"/>
  <c r="B64" i="19"/>
  <c r="F57" i="19"/>
  <c r="C57" i="19"/>
  <c r="B57" i="19"/>
  <c r="C56" i="19"/>
  <c r="B56" i="19"/>
  <c r="C55" i="19"/>
  <c r="B55" i="19"/>
  <c r="C54" i="19"/>
  <c r="B54" i="19"/>
  <c r="C53" i="19"/>
  <c r="B53" i="19"/>
  <c r="C52" i="19"/>
  <c r="B52" i="19"/>
  <c r="C51" i="19"/>
  <c r="B51" i="19"/>
  <c r="C50" i="19"/>
  <c r="B50" i="19"/>
  <c r="C49" i="19"/>
  <c r="B49" i="19"/>
  <c r="C46" i="19"/>
  <c r="B46" i="19"/>
  <c r="C45" i="19"/>
  <c r="B45" i="19"/>
  <c r="C44" i="19"/>
  <c r="B44" i="19"/>
  <c r="C43" i="19"/>
  <c r="B43" i="19"/>
  <c r="C42" i="19"/>
  <c r="B42" i="19"/>
  <c r="C41" i="19"/>
  <c r="B41" i="19"/>
  <c r="C40" i="19"/>
  <c r="B40" i="19"/>
  <c r="C39" i="19"/>
  <c r="B39" i="19"/>
  <c r="C38" i="19"/>
  <c r="B38" i="19"/>
  <c r="F35" i="19"/>
  <c r="C35" i="19"/>
  <c r="B35" i="19"/>
  <c r="C34" i="19"/>
  <c r="B34" i="19"/>
  <c r="C33" i="19"/>
  <c r="B33" i="19"/>
  <c r="C32" i="19"/>
  <c r="B32" i="19"/>
  <c r="C31" i="19"/>
  <c r="B31" i="19"/>
  <c r="C30" i="19"/>
  <c r="B30" i="19"/>
  <c r="C29" i="19"/>
  <c r="B29" i="19"/>
  <c r="C28" i="19"/>
  <c r="B28" i="19"/>
  <c r="B27" i="19"/>
  <c r="H25" i="19"/>
  <c r="G25" i="19"/>
  <c r="F25" i="19"/>
  <c r="N25" i="19" s="1"/>
  <c r="O25" i="19" s="1"/>
  <c r="K24" i="19"/>
  <c r="O24" i="19" s="1"/>
  <c r="O65" i="19" s="1"/>
  <c r="O105" i="19" s="1"/>
  <c r="O145" i="19" s="1"/>
  <c r="J24" i="19"/>
  <c r="N24" i="19" s="1"/>
  <c r="N65" i="19" s="1"/>
  <c r="N105" i="19" s="1"/>
  <c r="N145" i="19" s="1"/>
  <c r="C23" i="19"/>
  <c r="B23" i="19"/>
  <c r="J17" i="19"/>
  <c r="B17" i="19"/>
  <c r="B16" i="19"/>
  <c r="J15" i="19"/>
  <c r="B15" i="19"/>
  <c r="J14" i="19"/>
  <c r="B14" i="19"/>
  <c r="J13" i="19"/>
  <c r="B13" i="19"/>
  <c r="J12" i="19"/>
  <c r="B12" i="19"/>
  <c r="B11" i="19"/>
  <c r="J10" i="19"/>
  <c r="B10" i="19"/>
  <c r="J9" i="19"/>
  <c r="B9" i="19"/>
  <c r="J8" i="19"/>
  <c r="B8" i="19"/>
  <c r="J7" i="19"/>
  <c r="B7" i="19"/>
  <c r="B6" i="19"/>
  <c r="H103" i="25"/>
  <c r="G103" i="25"/>
  <c r="C103" i="25"/>
  <c r="B103" i="25"/>
  <c r="H102" i="25"/>
  <c r="G102" i="25"/>
  <c r="F102" i="25"/>
  <c r="C102" i="25"/>
  <c r="B102" i="25"/>
  <c r="H101" i="25"/>
  <c r="C101" i="25"/>
  <c r="B101" i="25"/>
  <c r="C98" i="25"/>
  <c r="B98" i="25"/>
  <c r="C97" i="25"/>
  <c r="B97" i="25"/>
  <c r="C96" i="25"/>
  <c r="B96" i="25"/>
  <c r="C93" i="25"/>
  <c r="B93" i="25"/>
  <c r="C92" i="25"/>
  <c r="B92" i="25"/>
  <c r="C91" i="25"/>
  <c r="B91" i="25"/>
  <c r="L88" i="25"/>
  <c r="K88" i="25"/>
  <c r="H88" i="25"/>
  <c r="G88" i="25"/>
  <c r="F88" i="25"/>
  <c r="L87" i="25"/>
  <c r="C87" i="25"/>
  <c r="B87" i="25"/>
  <c r="C81" i="25"/>
  <c r="B81" i="25"/>
  <c r="C80" i="25"/>
  <c r="B80" i="25"/>
  <c r="C79" i="25"/>
  <c r="B79" i="25"/>
  <c r="C76" i="25"/>
  <c r="B76" i="25"/>
  <c r="C75" i="25"/>
  <c r="B75" i="25"/>
  <c r="C74" i="25"/>
  <c r="B74" i="25"/>
  <c r="C71" i="25"/>
  <c r="B71" i="25"/>
  <c r="C70" i="25"/>
  <c r="B70" i="25"/>
  <c r="C69" i="25"/>
  <c r="B69" i="25"/>
  <c r="L66" i="25"/>
  <c r="K66" i="25"/>
  <c r="H66" i="25"/>
  <c r="G66" i="25"/>
  <c r="F66" i="25"/>
  <c r="L65" i="25"/>
  <c r="K65" i="25"/>
  <c r="C65" i="25"/>
  <c r="B65" i="25"/>
  <c r="C60" i="25"/>
  <c r="B60" i="25"/>
  <c r="C59" i="25"/>
  <c r="B59" i="25"/>
  <c r="C58" i="25"/>
  <c r="B58" i="25"/>
  <c r="C57" i="25"/>
  <c r="B57" i="25"/>
  <c r="C56" i="25"/>
  <c r="B56" i="25"/>
  <c r="C55" i="25"/>
  <c r="B55" i="25"/>
  <c r="C54" i="25"/>
  <c r="B54" i="25"/>
  <c r="C53" i="25"/>
  <c r="B53" i="25"/>
  <c r="C52" i="25"/>
  <c r="B52" i="25"/>
  <c r="L49" i="25"/>
  <c r="K49" i="25"/>
  <c r="H49" i="25"/>
  <c r="G49" i="25"/>
  <c r="F49" i="25"/>
  <c r="L48" i="25"/>
  <c r="K48" i="25"/>
  <c r="K87" i="25" s="1"/>
  <c r="C48" i="25"/>
  <c r="B48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L32" i="25"/>
  <c r="K32" i="25"/>
  <c r="H32" i="25"/>
  <c r="G32" i="25"/>
  <c r="F32" i="25"/>
  <c r="L31" i="25"/>
  <c r="K31" i="25"/>
  <c r="C31" i="25"/>
  <c r="B31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F15" i="25"/>
  <c r="G15" i="25" s="1"/>
  <c r="H15" i="25" s="1"/>
  <c r="C14" i="25"/>
  <c r="B14" i="25"/>
  <c r="E10" i="25"/>
  <c r="B10" i="25"/>
  <c r="E9" i="25"/>
  <c r="B9" i="25"/>
  <c r="E8" i="25"/>
  <c r="B8" i="25"/>
  <c r="E7" i="25"/>
  <c r="B7" i="25"/>
  <c r="E6" i="25"/>
  <c r="B6" i="25"/>
  <c r="C147" i="14"/>
  <c r="B147" i="14"/>
  <c r="C146" i="14"/>
  <c r="B146" i="14"/>
  <c r="C145" i="14"/>
  <c r="B145" i="14"/>
  <c r="C142" i="14"/>
  <c r="B142" i="14"/>
  <c r="C141" i="14"/>
  <c r="B141" i="14"/>
  <c r="C140" i="14"/>
  <c r="B140" i="14"/>
  <c r="C137" i="14"/>
  <c r="B137" i="14"/>
  <c r="C136" i="14"/>
  <c r="B136" i="14"/>
  <c r="C135" i="14"/>
  <c r="B135" i="14"/>
  <c r="C132" i="14"/>
  <c r="C131" i="14"/>
  <c r="C130" i="14"/>
  <c r="C125" i="14"/>
  <c r="B125" i="14"/>
  <c r="C119" i="14"/>
  <c r="B119" i="14"/>
  <c r="C118" i="14"/>
  <c r="B118" i="14"/>
  <c r="C117" i="14"/>
  <c r="B117" i="14"/>
  <c r="C116" i="14"/>
  <c r="B116" i="14"/>
  <c r="C115" i="14"/>
  <c r="B115" i="14"/>
  <c r="C114" i="14"/>
  <c r="B114" i="14"/>
  <c r="C113" i="14"/>
  <c r="B113" i="14"/>
  <c r="C112" i="14"/>
  <c r="B112" i="14"/>
  <c r="B111" i="14"/>
  <c r="C106" i="14"/>
  <c r="B106" i="14"/>
  <c r="C100" i="14"/>
  <c r="B100" i="14"/>
  <c r="C99" i="14"/>
  <c r="B99" i="14"/>
  <c r="C98" i="14"/>
  <c r="B98" i="14"/>
  <c r="C97" i="14"/>
  <c r="B97" i="14"/>
  <c r="C96" i="14"/>
  <c r="B96" i="14"/>
  <c r="C95" i="14"/>
  <c r="B95" i="14"/>
  <c r="C94" i="14"/>
  <c r="B94" i="14"/>
  <c r="C93" i="14"/>
  <c r="B93" i="14"/>
  <c r="C92" i="14"/>
  <c r="B92" i="14"/>
  <c r="C88" i="14"/>
  <c r="B88" i="14"/>
  <c r="C87" i="14"/>
  <c r="B87" i="14"/>
  <c r="C86" i="14"/>
  <c r="B86" i="14"/>
  <c r="C85" i="14"/>
  <c r="B85" i="14"/>
  <c r="C84" i="14"/>
  <c r="B84" i="14"/>
  <c r="C83" i="14"/>
  <c r="B83" i="14"/>
  <c r="C82" i="14"/>
  <c r="B82" i="14"/>
  <c r="C81" i="14"/>
  <c r="B81" i="14"/>
  <c r="C80" i="14"/>
  <c r="B80" i="14"/>
  <c r="H77" i="14"/>
  <c r="G77" i="14"/>
  <c r="F77" i="14"/>
  <c r="C76" i="14"/>
  <c r="B76" i="14"/>
  <c r="C71" i="14"/>
  <c r="B71" i="14"/>
  <c r="C70" i="14"/>
  <c r="B70" i="14"/>
  <c r="C69" i="14"/>
  <c r="B69" i="14"/>
  <c r="C65" i="14"/>
  <c r="B65" i="14"/>
  <c r="C64" i="14"/>
  <c r="B64" i="14"/>
  <c r="C63" i="14"/>
  <c r="B63" i="14"/>
  <c r="C62" i="14"/>
  <c r="B62" i="14"/>
  <c r="C61" i="14"/>
  <c r="B61" i="14"/>
  <c r="C60" i="14"/>
  <c r="B60" i="14"/>
  <c r="C59" i="14"/>
  <c r="B59" i="14"/>
  <c r="C58" i="14"/>
  <c r="B58" i="14"/>
  <c r="C57" i="14"/>
  <c r="B57" i="14"/>
  <c r="C53" i="14"/>
  <c r="B53" i="14"/>
  <c r="C52" i="14"/>
  <c r="B52" i="14"/>
  <c r="C51" i="14"/>
  <c r="B51" i="14"/>
  <c r="C50" i="14"/>
  <c r="B50" i="14"/>
  <c r="C49" i="14"/>
  <c r="B49" i="14"/>
  <c r="C48" i="14"/>
  <c r="B48" i="14"/>
  <c r="C47" i="14"/>
  <c r="B47" i="14"/>
  <c r="C46" i="14"/>
  <c r="B46" i="14"/>
  <c r="C45" i="14"/>
  <c r="B45" i="14"/>
  <c r="C41" i="14"/>
  <c r="C40" i="14"/>
  <c r="C39" i="14"/>
  <c r="C38" i="14"/>
  <c r="C37" i="14"/>
  <c r="C36" i="14"/>
  <c r="C35" i="14"/>
  <c r="C34" i="14"/>
  <c r="H29" i="14"/>
  <c r="G29" i="14"/>
  <c r="B28" i="14"/>
  <c r="H16" i="14"/>
  <c r="G16" i="14"/>
  <c r="F16" i="14"/>
  <c r="C15" i="14"/>
  <c r="C40" i="33" s="1"/>
  <c r="F10" i="14"/>
  <c r="B10" i="14"/>
  <c r="F9" i="14"/>
  <c r="B9" i="14"/>
  <c r="F8" i="14"/>
  <c r="B8" i="14"/>
  <c r="F7" i="14"/>
  <c r="B7" i="14"/>
  <c r="F6" i="14"/>
  <c r="B6" i="14"/>
  <c r="C126" i="24"/>
  <c r="B126" i="24"/>
  <c r="C125" i="24"/>
  <c r="B125" i="24"/>
  <c r="C124" i="24"/>
  <c r="B124" i="24"/>
  <c r="C121" i="24"/>
  <c r="B121" i="24"/>
  <c r="C120" i="24"/>
  <c r="B120" i="24"/>
  <c r="AA117" i="24"/>
  <c r="C116" i="24"/>
  <c r="B116" i="24"/>
  <c r="C110" i="24"/>
  <c r="B110" i="24"/>
  <c r="C109" i="24"/>
  <c r="B109" i="24"/>
  <c r="C108" i="24"/>
  <c r="B108" i="24"/>
  <c r="C107" i="24"/>
  <c r="B107" i="24"/>
  <c r="C106" i="24"/>
  <c r="B106" i="24"/>
  <c r="C105" i="24"/>
  <c r="B105" i="24"/>
  <c r="C104" i="24"/>
  <c r="B104" i="24"/>
  <c r="C103" i="24"/>
  <c r="B103" i="24"/>
  <c r="C102" i="24"/>
  <c r="B102" i="24"/>
  <c r="C99" i="24"/>
  <c r="B99" i="24"/>
  <c r="C98" i="24"/>
  <c r="B98" i="24"/>
  <c r="C97" i="24"/>
  <c r="B97" i="24"/>
  <c r="C96" i="24"/>
  <c r="B96" i="24"/>
  <c r="C95" i="24"/>
  <c r="B95" i="24"/>
  <c r="C94" i="24"/>
  <c r="B94" i="24"/>
  <c r="C93" i="24"/>
  <c r="B93" i="24"/>
  <c r="C92" i="24"/>
  <c r="B92" i="24"/>
  <c r="C91" i="24"/>
  <c r="B91" i="24"/>
  <c r="C88" i="24"/>
  <c r="B88" i="24"/>
  <c r="C87" i="24"/>
  <c r="B87" i="24"/>
  <c r="C86" i="24"/>
  <c r="B86" i="24"/>
  <c r="C85" i="24"/>
  <c r="B85" i="24"/>
  <c r="C84" i="24"/>
  <c r="B84" i="24"/>
  <c r="C83" i="24"/>
  <c r="B83" i="24"/>
  <c r="C82" i="24"/>
  <c r="B82" i="24"/>
  <c r="C81" i="24"/>
  <c r="B81" i="24"/>
  <c r="C80" i="24"/>
  <c r="C91" i="17" s="1"/>
  <c r="B80" i="24"/>
  <c r="AB76" i="24"/>
  <c r="C76" i="24"/>
  <c r="B76" i="24"/>
  <c r="C71" i="24"/>
  <c r="B71" i="24"/>
  <c r="C70" i="24"/>
  <c r="B70" i="24"/>
  <c r="C69" i="24"/>
  <c r="B69" i="24"/>
  <c r="C68" i="24"/>
  <c r="B68" i="24"/>
  <c r="C67" i="24"/>
  <c r="B67" i="24"/>
  <c r="C66" i="24"/>
  <c r="B66" i="24"/>
  <c r="C65" i="24"/>
  <c r="B65" i="24"/>
  <c r="C64" i="24"/>
  <c r="B64" i="24"/>
  <c r="C63" i="24"/>
  <c r="B63" i="24"/>
  <c r="C60" i="24"/>
  <c r="B60" i="24"/>
  <c r="C59" i="24"/>
  <c r="B59" i="24"/>
  <c r="C58" i="24"/>
  <c r="B58" i="24"/>
  <c r="C57" i="24"/>
  <c r="B57" i="24"/>
  <c r="C56" i="24"/>
  <c r="B56" i="24"/>
  <c r="C55" i="24"/>
  <c r="B55" i="24"/>
  <c r="C54" i="24"/>
  <c r="B54" i="24"/>
  <c r="C53" i="24"/>
  <c r="B53" i="24"/>
  <c r="C52" i="24"/>
  <c r="B52" i="24"/>
  <c r="C49" i="24"/>
  <c r="B49" i="24"/>
  <c r="C48" i="24"/>
  <c r="B48" i="24"/>
  <c r="C47" i="24"/>
  <c r="B47" i="24"/>
  <c r="C46" i="24"/>
  <c r="B46" i="24"/>
  <c r="C45" i="24"/>
  <c r="B45" i="24"/>
  <c r="C44" i="24"/>
  <c r="B44" i="24"/>
  <c r="C43" i="24"/>
  <c r="B43" i="24"/>
  <c r="C42" i="24"/>
  <c r="B42" i="24"/>
  <c r="C41" i="24"/>
  <c r="B41" i="24"/>
  <c r="AB39" i="24"/>
  <c r="AA39" i="24"/>
  <c r="AA77" i="24" s="1"/>
  <c r="N39" i="24"/>
  <c r="N77" i="24" s="1"/>
  <c r="F39" i="24"/>
  <c r="F77" i="24" s="1"/>
  <c r="AB38" i="24"/>
  <c r="C38" i="24"/>
  <c r="B38" i="24"/>
  <c r="C33" i="24"/>
  <c r="C32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B20" i="24"/>
  <c r="Z17" i="24"/>
  <c r="Z39" i="24" s="1"/>
  <c r="Z77" i="24" s="1"/>
  <c r="Y17" i="24"/>
  <c r="Y39" i="24" s="1"/>
  <c r="Y77" i="24" s="1"/>
  <c r="X17" i="24"/>
  <c r="X39" i="24" s="1"/>
  <c r="X77" i="24" s="1"/>
  <c r="W17" i="24"/>
  <c r="W39" i="24" s="1"/>
  <c r="W77" i="24" s="1"/>
  <c r="V17" i="24"/>
  <c r="V39" i="24" s="1"/>
  <c r="V77" i="24" s="1"/>
  <c r="U17" i="24"/>
  <c r="U39" i="24" s="1"/>
  <c r="U77" i="24" s="1"/>
  <c r="T17" i="24"/>
  <c r="T39" i="24" s="1"/>
  <c r="T77" i="24" s="1"/>
  <c r="S17" i="24"/>
  <c r="S39" i="24" s="1"/>
  <c r="S77" i="24" s="1"/>
  <c r="R17" i="24"/>
  <c r="R39" i="24" s="1"/>
  <c r="R77" i="24" s="1"/>
  <c r="Q17" i="24"/>
  <c r="Q39" i="24" s="1"/>
  <c r="Q77" i="24" s="1"/>
  <c r="P17" i="24"/>
  <c r="P39" i="24" s="1"/>
  <c r="P77" i="24" s="1"/>
  <c r="O17" i="24"/>
  <c r="O39" i="24" s="1"/>
  <c r="O77" i="24" s="1"/>
  <c r="N17" i="24"/>
  <c r="M17" i="24"/>
  <c r="M39" i="24" s="1"/>
  <c r="M77" i="24" s="1"/>
  <c r="L17" i="24"/>
  <c r="L39" i="24" s="1"/>
  <c r="L77" i="24" s="1"/>
  <c r="K17" i="24"/>
  <c r="K39" i="24" s="1"/>
  <c r="K77" i="24" s="1"/>
  <c r="J17" i="24"/>
  <c r="J39" i="24" s="1"/>
  <c r="J77" i="24" s="1"/>
  <c r="I17" i="24"/>
  <c r="I39" i="24" s="1"/>
  <c r="I77" i="24" s="1"/>
  <c r="H17" i="24"/>
  <c r="H39" i="24" s="1"/>
  <c r="H77" i="24" s="1"/>
  <c r="G17" i="24"/>
  <c r="G39" i="24" s="1"/>
  <c r="G77" i="24" s="1"/>
  <c r="AA15" i="24"/>
  <c r="Z15" i="24" s="1"/>
  <c r="Z11" i="24"/>
  <c r="B11" i="24"/>
  <c r="Z10" i="24"/>
  <c r="B10" i="24"/>
  <c r="Z9" i="24"/>
  <c r="B9" i="24"/>
  <c r="Z8" i="24"/>
  <c r="B8" i="24"/>
  <c r="K111" i="19" l="1"/>
  <c r="O111" i="19"/>
  <c r="J146" i="19"/>
  <c r="K108" i="19"/>
  <c r="O108" i="19"/>
  <c r="P108" i="19" s="1"/>
  <c r="H144" i="19"/>
  <c r="AC116" i="24"/>
  <c r="F44" i="19"/>
  <c r="H211" i="17"/>
  <c r="H112" i="19"/>
  <c r="F55" i="19"/>
  <c r="F23" i="19"/>
  <c r="F64" i="19"/>
  <c r="H125" i="14"/>
  <c r="J68" i="19"/>
  <c r="J70" i="19"/>
  <c r="J29" i="19" s="1"/>
  <c r="J72" i="19"/>
  <c r="J31" i="19" s="1"/>
  <c r="J74" i="19"/>
  <c r="J76" i="19"/>
  <c r="L76" i="19" s="1"/>
  <c r="J91" i="19"/>
  <c r="J50" i="19" s="1"/>
  <c r="J93" i="19"/>
  <c r="J52" i="19" s="1"/>
  <c r="J95" i="19"/>
  <c r="J54" i="19" s="1"/>
  <c r="G76" i="19"/>
  <c r="F172" i="17"/>
  <c r="G175" i="17"/>
  <c r="G71" i="19" s="1"/>
  <c r="H166" i="17"/>
  <c r="F180" i="17"/>
  <c r="G23" i="19"/>
  <c r="G64" i="19"/>
  <c r="H48" i="25"/>
  <c r="J96" i="19"/>
  <c r="G160" i="17"/>
  <c r="H163" i="17"/>
  <c r="F165" i="17"/>
  <c r="G168" i="17"/>
  <c r="H128" i="17"/>
  <c r="H64" i="19"/>
  <c r="H23" i="19"/>
  <c r="H76" i="14"/>
  <c r="J80" i="19"/>
  <c r="J39" i="19" s="1"/>
  <c r="J108" i="19"/>
  <c r="J115" i="19"/>
  <c r="J125" i="19"/>
  <c r="J130" i="19"/>
  <c r="J137" i="19"/>
  <c r="H172" i="17"/>
  <c r="H68" i="19" s="1"/>
  <c r="F174" i="17"/>
  <c r="G165" i="17"/>
  <c r="H168" i="17"/>
  <c r="H31" i="25"/>
  <c r="J149" i="19"/>
  <c r="J153" i="19"/>
  <c r="J155" i="19"/>
  <c r="G162" i="17"/>
  <c r="H165" i="17"/>
  <c r="F167" i="17"/>
  <c r="H106" i="14"/>
  <c r="J69" i="19"/>
  <c r="J28" i="19" s="1"/>
  <c r="J71" i="19"/>
  <c r="J30" i="19" s="1"/>
  <c r="J73" i="19"/>
  <c r="J32" i="19" s="1"/>
  <c r="J75" i="19"/>
  <c r="J34" i="19" s="1"/>
  <c r="J90" i="19"/>
  <c r="J92" i="19"/>
  <c r="J51" i="19" s="1"/>
  <c r="J94" i="19"/>
  <c r="J53" i="19" s="1"/>
  <c r="J98" i="19"/>
  <c r="J57" i="19" s="1"/>
  <c r="L57" i="19" s="1"/>
  <c r="H162" i="17"/>
  <c r="F176" i="17"/>
  <c r="G167" i="17"/>
  <c r="H87" i="25"/>
  <c r="F173" i="17"/>
  <c r="G164" i="17"/>
  <c r="H167" i="17"/>
  <c r="J79" i="19"/>
  <c r="J81" i="19"/>
  <c r="J40" i="19" s="1"/>
  <c r="J85" i="19"/>
  <c r="J44" i="19" s="1"/>
  <c r="J87" i="19"/>
  <c r="J46" i="19" s="1"/>
  <c r="J114" i="19"/>
  <c r="J33" i="19" s="1"/>
  <c r="J119" i="19"/>
  <c r="J126" i="19"/>
  <c r="J136" i="19"/>
  <c r="J83" i="19"/>
  <c r="J42" i="19" s="1"/>
  <c r="G173" i="17"/>
  <c r="H164" i="17"/>
  <c r="F178" i="17"/>
  <c r="H65" i="25"/>
  <c r="J148" i="19"/>
  <c r="J150" i="19"/>
  <c r="J154" i="19"/>
  <c r="F163" i="17"/>
  <c r="G166" i="17"/>
  <c r="F49" i="33"/>
  <c r="G49" i="33" s="1"/>
  <c r="AA16" i="24"/>
  <c r="AA38" i="24" s="1"/>
  <c r="H116" i="19"/>
  <c r="H113" i="19"/>
  <c r="H110" i="19"/>
  <c r="G114" i="19"/>
  <c r="H114" i="19"/>
  <c r="G110" i="19"/>
  <c r="F45" i="33"/>
  <c r="G45" i="33" s="1"/>
  <c r="F48" i="33"/>
  <c r="G48" i="33" s="1"/>
  <c r="G111" i="19"/>
  <c r="G113" i="19"/>
  <c r="F32" i="33"/>
  <c r="F50" i="33"/>
  <c r="G50" i="33" s="1"/>
  <c r="H306" i="19"/>
  <c r="H316" i="19"/>
  <c r="H329" i="19"/>
  <c r="F104" i="17"/>
  <c r="F106" i="17"/>
  <c r="F108" i="17"/>
  <c r="F139" i="17"/>
  <c r="G26" i="33"/>
  <c r="H303" i="19"/>
  <c r="H313" i="19"/>
  <c r="H321" i="19"/>
  <c r="H326" i="19"/>
  <c r="F102" i="17"/>
  <c r="G104" i="17"/>
  <c r="G106" i="17"/>
  <c r="G108" i="17"/>
  <c r="G139" i="17"/>
  <c r="H25" i="33"/>
  <c r="F30" i="33"/>
  <c r="H32" i="33"/>
  <c r="H308" i="19"/>
  <c r="H318" i="19"/>
  <c r="H331" i="19"/>
  <c r="H139" i="17"/>
  <c r="F26" i="33"/>
  <c r="G30" i="33"/>
  <c r="H305" i="19"/>
  <c r="H315" i="19"/>
  <c r="H328" i="19"/>
  <c r="G115" i="19"/>
  <c r="H302" i="19"/>
  <c r="H310" i="19"/>
  <c r="H320" i="19"/>
  <c r="H325" i="19"/>
  <c r="F103" i="17"/>
  <c r="F105" i="17"/>
  <c r="F107" i="17"/>
  <c r="F109" i="17"/>
  <c r="G32" i="33"/>
  <c r="H307" i="19"/>
  <c r="H317" i="19"/>
  <c r="H330" i="19"/>
  <c r="G102" i="17"/>
  <c r="G103" i="17"/>
  <c r="G105" i="17"/>
  <c r="G107" i="17"/>
  <c r="G109" i="17"/>
  <c r="G69" i="19"/>
  <c r="F27" i="33"/>
  <c r="F31" i="33"/>
  <c r="F53" i="33"/>
  <c r="H304" i="19"/>
  <c r="H314" i="19"/>
  <c r="H327" i="19"/>
  <c r="H102" i="17"/>
  <c r="H104" i="17"/>
  <c r="H106" i="17"/>
  <c r="H108" i="17"/>
  <c r="G112" i="19"/>
  <c r="H26" i="33"/>
  <c r="H355" i="19" s="1"/>
  <c r="F25" i="33"/>
  <c r="H27" i="33"/>
  <c r="H309" i="19"/>
  <c r="H319" i="19"/>
  <c r="H324" i="19"/>
  <c r="I332" i="19"/>
  <c r="H332" i="19"/>
  <c r="G25" i="33"/>
  <c r="G27" i="33"/>
  <c r="G31" i="33"/>
  <c r="H103" i="17"/>
  <c r="H105" i="17"/>
  <c r="H107" i="17"/>
  <c r="H109" i="17"/>
  <c r="Y15" i="24"/>
  <c r="Z16" i="24"/>
  <c r="F17" i="17"/>
  <c r="F144" i="19"/>
  <c r="F28" i="14"/>
  <c r="F106" i="14"/>
  <c r="F87" i="25"/>
  <c r="F65" i="25"/>
  <c r="F48" i="25"/>
  <c r="F31" i="25"/>
  <c r="F125" i="14"/>
  <c r="F128" i="17"/>
  <c r="F98" i="17"/>
  <c r="F40" i="33"/>
  <c r="F11" i="33"/>
  <c r="F58" i="17"/>
  <c r="F76" i="14"/>
  <c r="F145" i="17"/>
  <c r="F104" i="19"/>
  <c r="F14" i="25"/>
  <c r="F187" i="17"/>
  <c r="G144" i="19"/>
  <c r="G104" i="19"/>
  <c r="G17" i="17"/>
  <c r="G106" i="14"/>
  <c r="H17" i="17"/>
  <c r="G161" i="17"/>
  <c r="G176" i="17"/>
  <c r="G199" i="17"/>
  <c r="F168" i="17"/>
  <c r="F179" i="17"/>
  <c r="G187" i="17"/>
  <c r="G14" i="25"/>
  <c r="H104" i="19"/>
  <c r="H115" i="19"/>
  <c r="H187" i="17"/>
  <c r="F211" i="17"/>
  <c r="C11" i="33"/>
  <c r="G28" i="14"/>
  <c r="H14" i="25"/>
  <c r="G145" i="17"/>
  <c r="G174" i="17"/>
  <c r="H28" i="14"/>
  <c r="G76" i="14"/>
  <c r="G58" i="17"/>
  <c r="H145" i="17"/>
  <c r="F160" i="17"/>
  <c r="F166" i="17"/>
  <c r="G11" i="33"/>
  <c r="G40" i="33"/>
  <c r="AB116" i="24"/>
  <c r="H58" i="17"/>
  <c r="G98" i="17"/>
  <c r="G128" i="17"/>
  <c r="G163" i="17"/>
  <c r="G172" i="17"/>
  <c r="F199" i="17"/>
  <c r="G211" i="17"/>
  <c r="H11" i="33"/>
  <c r="H40" i="33"/>
  <c r="G125" i="14"/>
  <c r="G31" i="25"/>
  <c r="G48" i="25"/>
  <c r="G65" i="25"/>
  <c r="G87" i="25"/>
  <c r="H98" i="17"/>
  <c r="G178" i="17"/>
  <c r="C63" i="17"/>
  <c r="C75" i="17"/>
  <c r="C88" i="17"/>
  <c r="F162" i="17"/>
  <c r="F164" i="17"/>
  <c r="F175" i="17"/>
  <c r="F177" i="17"/>
  <c r="H235" i="19"/>
  <c r="H224" i="19"/>
  <c r="H213" i="19"/>
  <c r="C68" i="17"/>
  <c r="C80" i="17"/>
  <c r="C85" i="17"/>
  <c r="G177" i="17"/>
  <c r="G179" i="17"/>
  <c r="C65" i="17"/>
  <c r="C77" i="17"/>
  <c r="C90" i="17"/>
  <c r="H226" i="19"/>
  <c r="H237" i="19"/>
  <c r="H215" i="19"/>
  <c r="H183" i="19"/>
  <c r="H194" i="19"/>
  <c r="H172" i="19"/>
  <c r="H270" i="19"/>
  <c r="H265" i="19"/>
  <c r="H275" i="19"/>
  <c r="H250" i="19"/>
  <c r="H260" i="19"/>
  <c r="H255" i="19"/>
  <c r="C62" i="17"/>
  <c r="C70" i="17"/>
  <c r="C74" i="17"/>
  <c r="C87" i="17"/>
  <c r="H228" i="19"/>
  <c r="H239" i="19"/>
  <c r="H217" i="19"/>
  <c r="H174" i="19"/>
  <c r="H196" i="19"/>
  <c r="H185" i="19"/>
  <c r="H277" i="19"/>
  <c r="H267" i="19"/>
  <c r="H272" i="19"/>
  <c r="J84" i="19"/>
  <c r="J43" i="19" s="1"/>
  <c r="F45" i="19"/>
  <c r="H87" i="19"/>
  <c r="C67" i="17"/>
  <c r="C79" i="17"/>
  <c r="C84" i="17"/>
  <c r="C92" i="17"/>
  <c r="F157" i="17"/>
  <c r="H198" i="19"/>
  <c r="H187" i="19"/>
  <c r="H176" i="19"/>
  <c r="C64" i="17"/>
  <c r="C76" i="17"/>
  <c r="C89" i="17"/>
  <c r="G157" i="17"/>
  <c r="H199" i="17"/>
  <c r="H200" i="19"/>
  <c r="H189" i="19"/>
  <c r="H178" i="19"/>
  <c r="C69" i="17"/>
  <c r="C73" i="17"/>
  <c r="C81" i="17"/>
  <c r="C86" i="17"/>
  <c r="H180" i="17"/>
  <c r="H222" i="19"/>
  <c r="H211" i="19"/>
  <c r="H233" i="19"/>
  <c r="H221" i="19"/>
  <c r="H210" i="19"/>
  <c r="H232" i="19"/>
  <c r="H234" i="19"/>
  <c r="H223" i="19"/>
  <c r="H212" i="19"/>
  <c r="H214" i="19"/>
  <c r="H236" i="19"/>
  <c r="H225" i="19"/>
  <c r="H216" i="19"/>
  <c r="H238" i="19"/>
  <c r="H227" i="19"/>
  <c r="H218" i="19"/>
  <c r="H229" i="19"/>
  <c r="H240" i="19"/>
  <c r="H171" i="19"/>
  <c r="H193" i="19"/>
  <c r="H182" i="19"/>
  <c r="H173" i="19"/>
  <c r="H195" i="19"/>
  <c r="H184" i="19"/>
  <c r="H175" i="19"/>
  <c r="H197" i="19"/>
  <c r="H186" i="19"/>
  <c r="H199" i="19"/>
  <c r="H188" i="19"/>
  <c r="H177" i="19"/>
  <c r="H190" i="19"/>
  <c r="H201" i="19"/>
  <c r="H266" i="19"/>
  <c r="H276" i="19"/>
  <c r="H271" i="19"/>
  <c r="H254" i="19"/>
  <c r="H249" i="19"/>
  <c r="H259" i="19"/>
  <c r="H256" i="19"/>
  <c r="H251" i="19"/>
  <c r="H261" i="19"/>
  <c r="J82" i="19"/>
  <c r="J41" i="19" s="1"/>
  <c r="J86" i="19"/>
  <c r="J97" i="19"/>
  <c r="C66" i="17"/>
  <c r="C78" i="17"/>
  <c r="H30" i="33"/>
  <c r="H31" i="33"/>
  <c r="H109" i="19"/>
  <c r="H175" i="17"/>
  <c r="H177" i="17"/>
  <c r="H178" i="17"/>
  <c r="H157" i="17"/>
  <c r="H161" i="17"/>
  <c r="H174" i="17"/>
  <c r="H179" i="17"/>
  <c r="H176" i="17"/>
  <c r="H160" i="17"/>
  <c r="H173" i="17"/>
  <c r="H361" i="19"/>
  <c r="F158" i="19"/>
  <c r="F27" i="19"/>
  <c r="F49" i="19"/>
  <c r="F38" i="19"/>
  <c r="F33" i="19"/>
  <c r="F34" i="19"/>
  <c r="J145" i="19"/>
  <c r="F160" i="19"/>
  <c r="F55" i="33" s="1"/>
  <c r="F56" i="19"/>
  <c r="J66" i="19"/>
  <c r="J106" i="19"/>
  <c r="F43" i="33"/>
  <c r="F159" i="19"/>
  <c r="F54" i="33" s="1"/>
  <c r="G44" i="33"/>
  <c r="K113" i="19" l="1"/>
  <c r="O113" i="19"/>
  <c r="K68" i="19"/>
  <c r="O68" i="19"/>
  <c r="K115" i="19"/>
  <c r="O115" i="19"/>
  <c r="P115" i="19" s="1"/>
  <c r="K116" i="19"/>
  <c r="O116" i="19"/>
  <c r="K87" i="19"/>
  <c r="O87" i="19"/>
  <c r="P87" i="19" s="1"/>
  <c r="K110" i="19"/>
  <c r="O110" i="19"/>
  <c r="K112" i="19"/>
  <c r="O112" i="19"/>
  <c r="K109" i="19"/>
  <c r="O109" i="19"/>
  <c r="K114" i="19"/>
  <c r="O114" i="19"/>
  <c r="P114" i="19" s="1"/>
  <c r="AA116" i="24"/>
  <c r="AA76" i="24"/>
  <c r="L98" i="19"/>
  <c r="J27" i="19"/>
  <c r="J35" i="19"/>
  <c r="L35" i="19" s="1"/>
  <c r="J38" i="19"/>
  <c r="L108" i="19"/>
  <c r="J45" i="19"/>
  <c r="J49" i="19"/>
  <c r="J55" i="19"/>
  <c r="J56" i="19"/>
  <c r="G35" i="19"/>
  <c r="H71" i="19"/>
  <c r="H76" i="19"/>
  <c r="O76" i="19" s="1"/>
  <c r="O35" i="19" s="1"/>
  <c r="G75" i="19"/>
  <c r="G34" i="19" s="1"/>
  <c r="H72" i="19"/>
  <c r="G73" i="19"/>
  <c r="G32" i="19" s="1"/>
  <c r="J159" i="19"/>
  <c r="J160" i="19"/>
  <c r="H75" i="19"/>
  <c r="O75" i="19" s="1"/>
  <c r="G68" i="19"/>
  <c r="G72" i="19"/>
  <c r="G31" i="19" s="1"/>
  <c r="G74" i="19"/>
  <c r="G70" i="19"/>
  <c r="G29" i="19" s="1"/>
  <c r="H70" i="19"/>
  <c r="O70" i="19" s="1"/>
  <c r="H74" i="19"/>
  <c r="H69" i="19"/>
  <c r="I303" i="19" s="1"/>
  <c r="H73" i="19"/>
  <c r="H354" i="19"/>
  <c r="H127" i="19"/>
  <c r="F47" i="19"/>
  <c r="I302" i="19"/>
  <c r="H288" i="19"/>
  <c r="H287" i="19"/>
  <c r="G28" i="19"/>
  <c r="H343" i="19"/>
  <c r="J343" i="19" s="1"/>
  <c r="H45" i="33"/>
  <c r="H150" i="19" s="1"/>
  <c r="G30" i="19"/>
  <c r="G117" i="19"/>
  <c r="G150" i="19"/>
  <c r="H338" i="19"/>
  <c r="J338" i="19" s="1"/>
  <c r="F34" i="33"/>
  <c r="G127" i="19"/>
  <c r="G87" i="19"/>
  <c r="H120" i="17"/>
  <c r="G114" i="17"/>
  <c r="H49" i="33"/>
  <c r="G120" i="17"/>
  <c r="H35" i="33"/>
  <c r="H121" i="17"/>
  <c r="G118" i="17"/>
  <c r="F120" i="17"/>
  <c r="H340" i="19"/>
  <c r="J340" i="19" s="1"/>
  <c r="G55" i="33"/>
  <c r="H33" i="33"/>
  <c r="H119" i="17"/>
  <c r="F33" i="33"/>
  <c r="H118" i="17"/>
  <c r="F121" i="17"/>
  <c r="F35" i="33"/>
  <c r="H342" i="19"/>
  <c r="J342" i="19" s="1"/>
  <c r="G116" i="17"/>
  <c r="F118" i="17"/>
  <c r="H356" i="19"/>
  <c r="H366" i="19" s="1"/>
  <c r="J366" i="19" s="1"/>
  <c r="H117" i="17"/>
  <c r="G121" i="17"/>
  <c r="F119" i="17"/>
  <c r="H344" i="19"/>
  <c r="J344" i="19" s="1"/>
  <c r="H34" i="33"/>
  <c r="F114" i="17"/>
  <c r="H337" i="19"/>
  <c r="J337" i="19" s="1"/>
  <c r="F116" i="17"/>
  <c r="G54" i="33"/>
  <c r="H115" i="17"/>
  <c r="H116" i="17"/>
  <c r="G119" i="17"/>
  <c r="F117" i="17"/>
  <c r="H48" i="33"/>
  <c r="G33" i="33"/>
  <c r="G53" i="33"/>
  <c r="G117" i="17"/>
  <c r="F115" i="17"/>
  <c r="J336" i="19"/>
  <c r="H114" i="17"/>
  <c r="G115" i="17"/>
  <c r="H341" i="19"/>
  <c r="J341" i="19" s="1"/>
  <c r="H339" i="19"/>
  <c r="J339" i="19" s="1"/>
  <c r="H50" i="33"/>
  <c r="G34" i="33"/>
  <c r="H360" i="19"/>
  <c r="H365" i="19" s="1"/>
  <c r="J365" i="19" s="1"/>
  <c r="G35" i="33"/>
  <c r="H286" i="19"/>
  <c r="H27" i="19"/>
  <c r="F181" i="17"/>
  <c r="H117" i="19"/>
  <c r="Z116" i="24"/>
  <c r="Z76" i="24"/>
  <c r="Z38" i="24"/>
  <c r="X15" i="24"/>
  <c r="Y16" i="24"/>
  <c r="I321" i="19"/>
  <c r="H33" i="19"/>
  <c r="G181" i="17"/>
  <c r="F36" i="19"/>
  <c r="H359" i="19"/>
  <c r="I308" i="19"/>
  <c r="H181" i="17"/>
  <c r="F60" i="33"/>
  <c r="F58" i="19"/>
  <c r="F59" i="33"/>
  <c r="F58" i="33"/>
  <c r="G43" i="33"/>
  <c r="G149" i="19"/>
  <c r="H44" i="33"/>
  <c r="I304" i="19" l="1"/>
  <c r="H28" i="19"/>
  <c r="O34" i="19"/>
  <c r="P34" i="19" s="1"/>
  <c r="P75" i="19"/>
  <c r="O27" i="19"/>
  <c r="P27" i="19" s="1"/>
  <c r="P68" i="19"/>
  <c r="O29" i="19"/>
  <c r="P29" i="19" s="1"/>
  <c r="P70" i="19"/>
  <c r="K73" i="19"/>
  <c r="L73" i="19" s="1"/>
  <c r="O73" i="19"/>
  <c r="K127" i="19"/>
  <c r="O127" i="19"/>
  <c r="O46" i="19" s="1"/>
  <c r="P46" i="19" s="1"/>
  <c r="K69" i="19"/>
  <c r="O69" i="19"/>
  <c r="K150" i="19"/>
  <c r="O150" i="19"/>
  <c r="P150" i="19" s="1"/>
  <c r="K74" i="19"/>
  <c r="O74" i="19"/>
  <c r="K71" i="19"/>
  <c r="O71" i="19"/>
  <c r="K72" i="19"/>
  <c r="O72" i="19"/>
  <c r="H35" i="19"/>
  <c r="K76" i="19"/>
  <c r="I240" i="19" s="1"/>
  <c r="H34" i="19"/>
  <c r="K75" i="19"/>
  <c r="H29" i="19"/>
  <c r="K70" i="19"/>
  <c r="J36" i="19"/>
  <c r="J47" i="19"/>
  <c r="J58" i="19"/>
  <c r="K27" i="19"/>
  <c r="I306" i="19"/>
  <c r="K46" i="19"/>
  <c r="L115" i="19"/>
  <c r="L114" i="19"/>
  <c r="I307" i="19"/>
  <c r="I309" i="19"/>
  <c r="H77" i="19"/>
  <c r="I305" i="19"/>
  <c r="I310" i="19"/>
  <c r="I344" i="19" s="1"/>
  <c r="K344" i="19" s="1"/>
  <c r="H364" i="19"/>
  <c r="H369" i="19" s="1"/>
  <c r="J369" i="19" s="1"/>
  <c r="H30" i="19"/>
  <c r="H32" i="19"/>
  <c r="G33" i="19"/>
  <c r="G27" i="19"/>
  <c r="G77" i="19"/>
  <c r="H31" i="19"/>
  <c r="H46" i="19"/>
  <c r="H138" i="19"/>
  <c r="L87" i="19"/>
  <c r="F135" i="17"/>
  <c r="G136" i="17"/>
  <c r="F133" i="17"/>
  <c r="F136" i="17"/>
  <c r="H137" i="17"/>
  <c r="H53" i="33"/>
  <c r="H54" i="33"/>
  <c r="G133" i="17"/>
  <c r="H135" i="17"/>
  <c r="G137" i="17"/>
  <c r="G60" i="33"/>
  <c r="G155" i="19" s="1"/>
  <c r="G132" i="17"/>
  <c r="F132" i="17"/>
  <c r="G138" i="17"/>
  <c r="G46" i="19"/>
  <c r="H133" i="17"/>
  <c r="F131" i="17"/>
  <c r="H55" i="33"/>
  <c r="G138" i="19"/>
  <c r="G134" i="17"/>
  <c r="G135" i="17"/>
  <c r="G59" i="33"/>
  <c r="G63" i="33" s="1"/>
  <c r="H131" i="17"/>
  <c r="H132" i="17"/>
  <c r="H134" i="17"/>
  <c r="H136" i="17"/>
  <c r="F137" i="17"/>
  <c r="F134" i="17"/>
  <c r="F138" i="17"/>
  <c r="H138" i="17"/>
  <c r="G131" i="17"/>
  <c r="L68" i="19"/>
  <c r="F62" i="33"/>
  <c r="Y116" i="24"/>
  <c r="Y76" i="24"/>
  <c r="Y38" i="24"/>
  <c r="X16" i="24"/>
  <c r="W15" i="24"/>
  <c r="I351" i="19"/>
  <c r="F63" i="33"/>
  <c r="G58" i="33"/>
  <c r="F61" i="33"/>
  <c r="H43" i="33"/>
  <c r="G148" i="19"/>
  <c r="H149" i="19"/>
  <c r="I229" i="19" l="1"/>
  <c r="I218" i="19"/>
  <c r="O31" i="19"/>
  <c r="P31" i="19" s="1"/>
  <c r="P72" i="19"/>
  <c r="O28" i="19"/>
  <c r="P28" i="19" s="1"/>
  <c r="P69" i="19"/>
  <c r="O30" i="19"/>
  <c r="P30" i="19" s="1"/>
  <c r="P71" i="19"/>
  <c r="O33" i="19"/>
  <c r="P33" i="19" s="1"/>
  <c r="P74" i="19"/>
  <c r="O32" i="19"/>
  <c r="P32" i="19" s="1"/>
  <c r="P73" i="19"/>
  <c r="L71" i="19"/>
  <c r="K30" i="19"/>
  <c r="L69" i="19"/>
  <c r="K28" i="19"/>
  <c r="L72" i="19"/>
  <c r="K138" i="19"/>
  <c r="K57" i="19" s="1"/>
  <c r="O138" i="19"/>
  <c r="O57" i="19" s="1"/>
  <c r="K31" i="19"/>
  <c r="K33" i="19"/>
  <c r="J229" i="19"/>
  <c r="K32" i="19"/>
  <c r="L70" i="19"/>
  <c r="J218" i="19"/>
  <c r="L74" i="19"/>
  <c r="K149" i="19"/>
  <c r="O149" i="19"/>
  <c r="P149" i="19" s="1"/>
  <c r="K29" i="19"/>
  <c r="J240" i="19"/>
  <c r="L27" i="19"/>
  <c r="I179" i="19"/>
  <c r="J179" i="19" s="1"/>
  <c r="I201" i="19"/>
  <c r="J201" i="19" s="1"/>
  <c r="I190" i="19"/>
  <c r="J190" i="19" s="1"/>
  <c r="K35" i="19"/>
  <c r="J364" i="19"/>
  <c r="L46" i="19"/>
  <c r="K34" i="19"/>
  <c r="L150" i="19"/>
  <c r="L75" i="19"/>
  <c r="G36" i="19"/>
  <c r="H57" i="19"/>
  <c r="H36" i="19"/>
  <c r="G62" i="33"/>
  <c r="G154" i="19"/>
  <c r="H86" i="19"/>
  <c r="H126" i="19"/>
  <c r="G121" i="19"/>
  <c r="G81" i="19"/>
  <c r="H124" i="19"/>
  <c r="H84" i="19"/>
  <c r="H59" i="33"/>
  <c r="H154" i="19" s="1"/>
  <c r="G126" i="19"/>
  <c r="G86" i="19"/>
  <c r="H119" i="19"/>
  <c r="H79" i="19"/>
  <c r="H60" i="33"/>
  <c r="H122" i="19"/>
  <c r="H82" i="19"/>
  <c r="G123" i="19"/>
  <c r="G83" i="19"/>
  <c r="G125" i="19"/>
  <c r="G85" i="19"/>
  <c r="G84" i="19"/>
  <c r="G124" i="19"/>
  <c r="H120" i="19"/>
  <c r="H80" i="19"/>
  <c r="G122" i="19"/>
  <c r="G82" i="19"/>
  <c r="H121" i="19"/>
  <c r="H81" i="19"/>
  <c r="G119" i="19"/>
  <c r="G79" i="19"/>
  <c r="G57" i="19"/>
  <c r="G120" i="19"/>
  <c r="G80" i="19"/>
  <c r="H123" i="19"/>
  <c r="H83" i="19"/>
  <c r="H125" i="19"/>
  <c r="H85" i="19"/>
  <c r="G160" i="19"/>
  <c r="X116" i="24"/>
  <c r="X76" i="24"/>
  <c r="X38" i="24"/>
  <c r="V15" i="24"/>
  <c r="W16" i="24"/>
  <c r="L28" i="19"/>
  <c r="I350" i="19"/>
  <c r="G153" i="19"/>
  <c r="G158" i="19" s="1"/>
  <c r="H58" i="33"/>
  <c r="G61" i="33"/>
  <c r="H148" i="19"/>
  <c r="O36" i="19" l="1"/>
  <c r="L30" i="19"/>
  <c r="L31" i="19"/>
  <c r="L33" i="19"/>
  <c r="K154" i="19"/>
  <c r="O154" i="19"/>
  <c r="P154" i="19" s="1"/>
  <c r="K36" i="19"/>
  <c r="K80" i="19"/>
  <c r="O80" i="19"/>
  <c r="P80" i="19" s="1"/>
  <c r="K82" i="19"/>
  <c r="O82" i="19"/>
  <c r="P82" i="19" s="1"/>
  <c r="K84" i="19"/>
  <c r="O84" i="19"/>
  <c r="P84" i="19" s="1"/>
  <c r="K122" i="19"/>
  <c r="O122" i="19"/>
  <c r="K79" i="19"/>
  <c r="O79" i="19"/>
  <c r="K120" i="19"/>
  <c r="O120" i="19"/>
  <c r="K124" i="19"/>
  <c r="O124" i="19"/>
  <c r="K85" i="19"/>
  <c r="O85" i="19"/>
  <c r="P85" i="19" s="1"/>
  <c r="K125" i="19"/>
  <c r="O125" i="19"/>
  <c r="P125" i="19" s="1"/>
  <c r="K81" i="19"/>
  <c r="O81" i="19"/>
  <c r="P81" i="19" s="1"/>
  <c r="K119" i="19"/>
  <c r="O119" i="19"/>
  <c r="P119" i="19" s="1"/>
  <c r="K126" i="19"/>
  <c r="O126" i="19"/>
  <c r="P126" i="19" s="1"/>
  <c r="L29" i="19"/>
  <c r="K148" i="19"/>
  <c r="O148" i="19"/>
  <c r="P148" i="19" s="1"/>
  <c r="K83" i="19"/>
  <c r="O83" i="19"/>
  <c r="P83" i="19" s="1"/>
  <c r="K121" i="19"/>
  <c r="O121" i="19"/>
  <c r="K86" i="19"/>
  <c r="O86" i="19"/>
  <c r="P86" i="19" s="1"/>
  <c r="K123" i="19"/>
  <c r="O123" i="19"/>
  <c r="L32" i="19"/>
  <c r="L34" i="19"/>
  <c r="I349" i="19"/>
  <c r="H159" i="19"/>
  <c r="G159" i="19"/>
  <c r="H131" i="19"/>
  <c r="H135" i="19"/>
  <c r="H132" i="19"/>
  <c r="H133" i="19"/>
  <c r="H134" i="19"/>
  <c r="I317" i="19"/>
  <c r="H42" i="19"/>
  <c r="H94" i="19"/>
  <c r="H39" i="19"/>
  <c r="I314" i="19"/>
  <c r="H91" i="19"/>
  <c r="G136" i="19"/>
  <c r="H62" i="33"/>
  <c r="H155" i="19"/>
  <c r="H63" i="33"/>
  <c r="G130" i="19"/>
  <c r="G94" i="19"/>
  <c r="G42" i="19"/>
  <c r="H90" i="19"/>
  <c r="I313" i="19"/>
  <c r="H38" i="19"/>
  <c r="H95" i="19"/>
  <c r="H43" i="19"/>
  <c r="I318" i="19"/>
  <c r="G90" i="19"/>
  <c r="G38" i="19"/>
  <c r="G91" i="19"/>
  <c r="G39" i="19"/>
  <c r="H40" i="19"/>
  <c r="I315" i="19"/>
  <c r="H92" i="19"/>
  <c r="H130" i="19"/>
  <c r="G135" i="19"/>
  <c r="G134" i="19"/>
  <c r="I319" i="19"/>
  <c r="H44" i="19"/>
  <c r="H96" i="19"/>
  <c r="G131" i="19"/>
  <c r="G43" i="19"/>
  <c r="G95" i="19"/>
  <c r="I316" i="19"/>
  <c r="H93" i="19"/>
  <c r="H41" i="19"/>
  <c r="G45" i="19"/>
  <c r="G97" i="19"/>
  <c r="G40" i="19"/>
  <c r="G92" i="19"/>
  <c r="H45" i="19"/>
  <c r="H137" i="19"/>
  <c r="H61" i="33"/>
  <c r="G93" i="19"/>
  <c r="G41" i="19"/>
  <c r="H136" i="19"/>
  <c r="G133" i="19"/>
  <c r="G96" i="19"/>
  <c r="G44" i="19"/>
  <c r="G137" i="19"/>
  <c r="G132" i="19"/>
  <c r="H97" i="19"/>
  <c r="I320" i="19"/>
  <c r="W116" i="24"/>
  <c r="W38" i="24"/>
  <c r="W76" i="24"/>
  <c r="U15" i="24"/>
  <c r="V16" i="24"/>
  <c r="I355" i="19"/>
  <c r="H153" i="19"/>
  <c r="L149" i="19"/>
  <c r="O38" i="19" l="1"/>
  <c r="P79" i="19"/>
  <c r="O45" i="19"/>
  <c r="P45" i="19" s="1"/>
  <c r="O40" i="19"/>
  <c r="P40" i="19" s="1"/>
  <c r="O41" i="19"/>
  <c r="P41" i="19" s="1"/>
  <c r="O42" i="19"/>
  <c r="P42" i="19" s="1"/>
  <c r="K134" i="19"/>
  <c r="O134" i="19"/>
  <c r="P38" i="19"/>
  <c r="O39" i="19"/>
  <c r="P39" i="19" s="1"/>
  <c r="K130" i="19"/>
  <c r="O130" i="19"/>
  <c r="P130" i="19" s="1"/>
  <c r="K95" i="19"/>
  <c r="O95" i="19"/>
  <c r="P95" i="19" s="1"/>
  <c r="K133" i="19"/>
  <c r="O133" i="19"/>
  <c r="K94" i="19"/>
  <c r="O94" i="19"/>
  <c r="K153" i="19"/>
  <c r="O153" i="19"/>
  <c r="P153" i="19" s="1"/>
  <c r="K97" i="19"/>
  <c r="O97" i="19"/>
  <c r="P97" i="19" s="1"/>
  <c r="K90" i="19"/>
  <c r="O90" i="19"/>
  <c r="P90" i="19" s="1"/>
  <c r="K91" i="19"/>
  <c r="O91" i="19"/>
  <c r="P91" i="19" s="1"/>
  <c r="K132" i="19"/>
  <c r="O132" i="19"/>
  <c r="O44" i="19"/>
  <c r="P44" i="19" s="1"/>
  <c r="K155" i="19"/>
  <c r="O155" i="19"/>
  <c r="P155" i="19" s="1"/>
  <c r="K96" i="19"/>
  <c r="O96" i="19"/>
  <c r="P96" i="19" s="1"/>
  <c r="K135" i="19"/>
  <c r="O135" i="19"/>
  <c r="K92" i="19"/>
  <c r="O92" i="19"/>
  <c r="P92" i="19" s="1"/>
  <c r="K159" i="19"/>
  <c r="O159" i="19"/>
  <c r="P159" i="19" s="1"/>
  <c r="K136" i="19"/>
  <c r="O136" i="19"/>
  <c r="P136" i="19" s="1"/>
  <c r="K93" i="19"/>
  <c r="O93" i="19"/>
  <c r="P93" i="19" s="1"/>
  <c r="K137" i="19"/>
  <c r="O137" i="19"/>
  <c r="P137" i="19" s="1"/>
  <c r="K131" i="19"/>
  <c r="O131" i="19"/>
  <c r="O43" i="19"/>
  <c r="P43" i="19" s="1"/>
  <c r="L154" i="19"/>
  <c r="I354" i="19"/>
  <c r="I360" i="19"/>
  <c r="I365" i="19" s="1"/>
  <c r="K365" i="19" s="1"/>
  <c r="K41" i="19"/>
  <c r="I224" i="19"/>
  <c r="I213" i="19"/>
  <c r="I235" i="19"/>
  <c r="L82" i="19"/>
  <c r="G50" i="19"/>
  <c r="I324" i="19"/>
  <c r="I336" i="19" s="1"/>
  <c r="K336" i="19" s="1"/>
  <c r="H49" i="19"/>
  <c r="I327" i="19"/>
  <c r="I339" i="19" s="1"/>
  <c r="K339" i="19" s="1"/>
  <c r="H52" i="19"/>
  <c r="I330" i="19"/>
  <c r="I342" i="19" s="1"/>
  <c r="K342" i="19" s="1"/>
  <c r="H55" i="19"/>
  <c r="H139" i="19"/>
  <c r="L80" i="19"/>
  <c r="I211" i="19"/>
  <c r="I222" i="19"/>
  <c r="K39" i="19"/>
  <c r="I233" i="19"/>
  <c r="G51" i="19"/>
  <c r="I275" i="19"/>
  <c r="L119" i="19"/>
  <c r="I265" i="19"/>
  <c r="I270" i="19"/>
  <c r="H54" i="19"/>
  <c r="I329" i="19"/>
  <c r="I341" i="19" s="1"/>
  <c r="K341" i="19" s="1"/>
  <c r="I356" i="19"/>
  <c r="H160" i="19"/>
  <c r="G52" i="19"/>
  <c r="G56" i="19"/>
  <c r="K44" i="19"/>
  <c r="I216" i="19"/>
  <c r="I227" i="19"/>
  <c r="L85" i="19"/>
  <c r="I238" i="19"/>
  <c r="H51" i="19"/>
  <c r="I326" i="19"/>
  <c r="I338" i="19" s="1"/>
  <c r="K338" i="19" s="1"/>
  <c r="G99" i="19"/>
  <c r="K43" i="19"/>
  <c r="I226" i="19"/>
  <c r="I215" i="19"/>
  <c r="L84" i="19"/>
  <c r="I237" i="19"/>
  <c r="I328" i="19"/>
  <c r="I340" i="19" s="1"/>
  <c r="K340" i="19" s="1"/>
  <c r="H53" i="19"/>
  <c r="I271" i="19"/>
  <c r="I276" i="19"/>
  <c r="I266" i="19"/>
  <c r="L125" i="19"/>
  <c r="G54" i="19"/>
  <c r="G47" i="19"/>
  <c r="H99" i="19"/>
  <c r="G53" i="19"/>
  <c r="K42" i="19"/>
  <c r="I225" i="19"/>
  <c r="I214" i="19"/>
  <c r="L83" i="19"/>
  <c r="I236" i="19"/>
  <c r="I325" i="19"/>
  <c r="I337" i="19" s="1"/>
  <c r="K337" i="19" s="1"/>
  <c r="H50" i="19"/>
  <c r="I331" i="19"/>
  <c r="I343" i="19" s="1"/>
  <c r="K343" i="19" s="1"/>
  <c r="H56" i="19"/>
  <c r="L126" i="19"/>
  <c r="I272" i="19"/>
  <c r="I267" i="19"/>
  <c r="I277" i="19"/>
  <c r="K38" i="19"/>
  <c r="L79" i="19"/>
  <c r="I210" i="19"/>
  <c r="I232" i="19"/>
  <c r="I221" i="19"/>
  <c r="G139" i="19"/>
  <c r="L86" i="19"/>
  <c r="I228" i="19"/>
  <c r="I217" i="19"/>
  <c r="I239" i="19"/>
  <c r="K45" i="19"/>
  <c r="G55" i="19"/>
  <c r="K40" i="19"/>
  <c r="L81" i="19"/>
  <c r="I212" i="19"/>
  <c r="I234" i="19"/>
  <c r="I223" i="19"/>
  <c r="G49" i="19"/>
  <c r="H47" i="19"/>
  <c r="V38" i="24"/>
  <c r="V76" i="24"/>
  <c r="V116" i="24"/>
  <c r="T15" i="24"/>
  <c r="U16" i="24"/>
  <c r="H158" i="19"/>
  <c r="I287" i="19"/>
  <c r="J287" i="19" s="1"/>
  <c r="L148" i="19"/>
  <c r="O53" i="19" l="1"/>
  <c r="P53" i="19" s="1"/>
  <c r="P94" i="19"/>
  <c r="L159" i="19"/>
  <c r="O52" i="19"/>
  <c r="P52" i="19" s="1"/>
  <c r="O50" i="19"/>
  <c r="P50" i="19" s="1"/>
  <c r="J277" i="19"/>
  <c r="J212" i="19"/>
  <c r="J267" i="19"/>
  <c r="J215" i="19"/>
  <c r="J227" i="19"/>
  <c r="J222" i="19"/>
  <c r="J228" i="19"/>
  <c r="J266" i="19"/>
  <c r="J221" i="19"/>
  <c r="J225" i="19"/>
  <c r="J276" i="19"/>
  <c r="J265" i="19"/>
  <c r="O55" i="19"/>
  <c r="P55" i="19" s="1"/>
  <c r="O47" i="19"/>
  <c r="J226" i="19"/>
  <c r="J211" i="19"/>
  <c r="J232" i="19"/>
  <c r="J271" i="19"/>
  <c r="O49" i="19"/>
  <c r="P49" i="19" s="1"/>
  <c r="J214" i="19"/>
  <c r="J270" i="19"/>
  <c r="J210" i="19"/>
  <c r="J275" i="19"/>
  <c r="J235" i="19"/>
  <c r="J234" i="19"/>
  <c r="J272" i="19"/>
  <c r="J216" i="19"/>
  <c r="J239" i="19"/>
  <c r="K160" i="19"/>
  <c r="O160" i="19"/>
  <c r="P160" i="19" s="1"/>
  <c r="J213" i="19"/>
  <c r="O56" i="19"/>
  <c r="P56" i="19" s="1"/>
  <c r="O54" i="19"/>
  <c r="P54" i="19" s="1"/>
  <c r="J236" i="19"/>
  <c r="K158" i="19"/>
  <c r="O158" i="19"/>
  <c r="P158" i="19" s="1"/>
  <c r="J223" i="19"/>
  <c r="J217" i="19"/>
  <c r="J237" i="19"/>
  <c r="J238" i="19"/>
  <c r="J233" i="19"/>
  <c r="J224" i="19"/>
  <c r="O51" i="19"/>
  <c r="P51" i="19" s="1"/>
  <c r="L41" i="19"/>
  <c r="L45" i="19"/>
  <c r="L153" i="19"/>
  <c r="L42" i="19"/>
  <c r="L43" i="19"/>
  <c r="L39" i="19"/>
  <c r="L40" i="19"/>
  <c r="L155" i="19"/>
  <c r="L44" i="19"/>
  <c r="I259" i="19"/>
  <c r="I254" i="19"/>
  <c r="I261" i="19"/>
  <c r="I256" i="19"/>
  <c r="I250" i="19"/>
  <c r="I260" i="19"/>
  <c r="L136" i="19"/>
  <c r="I255" i="19"/>
  <c r="I359" i="19"/>
  <c r="I364" i="19" s="1"/>
  <c r="K364" i="19" s="1"/>
  <c r="I251" i="19"/>
  <c r="L137" i="19"/>
  <c r="G58" i="19"/>
  <c r="K53" i="19"/>
  <c r="L94" i="19"/>
  <c r="I175" i="19"/>
  <c r="I197" i="19"/>
  <c r="I186" i="19"/>
  <c r="K52" i="19"/>
  <c r="I174" i="19"/>
  <c r="I185" i="19"/>
  <c r="L93" i="19"/>
  <c r="I196" i="19"/>
  <c r="I172" i="19"/>
  <c r="L91" i="19"/>
  <c r="K50" i="19"/>
  <c r="I183" i="19"/>
  <c r="I194" i="19"/>
  <c r="L38" i="19"/>
  <c r="K47" i="19"/>
  <c r="L130" i="19"/>
  <c r="I249" i="19"/>
  <c r="I184" i="19"/>
  <c r="K51" i="19"/>
  <c r="L92" i="19"/>
  <c r="I195" i="19"/>
  <c r="I173" i="19"/>
  <c r="I361" i="19"/>
  <c r="I366" i="19" s="1"/>
  <c r="K366" i="19" s="1"/>
  <c r="H58" i="19"/>
  <c r="K54" i="19"/>
  <c r="I187" i="19"/>
  <c r="L95" i="19"/>
  <c r="I176" i="19"/>
  <c r="I198" i="19"/>
  <c r="K55" i="19"/>
  <c r="I199" i="19"/>
  <c r="L96" i="19"/>
  <c r="I188" i="19"/>
  <c r="I177" i="19"/>
  <c r="K49" i="19"/>
  <c r="L90" i="19"/>
  <c r="I182" i="19"/>
  <c r="I193" i="19"/>
  <c r="I171" i="19"/>
  <c r="J171" i="19" s="1"/>
  <c r="L97" i="19"/>
  <c r="I189" i="19"/>
  <c r="I200" i="19"/>
  <c r="I178" i="19"/>
  <c r="K56" i="19"/>
  <c r="U76" i="24"/>
  <c r="U116" i="24"/>
  <c r="U38" i="24"/>
  <c r="S15" i="24"/>
  <c r="T16" i="24"/>
  <c r="J197" i="19" l="1"/>
  <c r="J189" i="19"/>
  <c r="J249" i="19"/>
  <c r="J172" i="19"/>
  <c r="J175" i="19"/>
  <c r="J186" i="19"/>
  <c r="J200" i="19"/>
  <c r="J188" i="19"/>
  <c r="J196" i="19"/>
  <c r="J260" i="19"/>
  <c r="J255" i="19"/>
  <c r="J199" i="19"/>
  <c r="J250" i="19"/>
  <c r="J259" i="19"/>
  <c r="J184" i="19"/>
  <c r="J185" i="19"/>
  <c r="J256" i="19"/>
  <c r="J178" i="19"/>
  <c r="J187" i="19"/>
  <c r="J193" i="19"/>
  <c r="J182" i="19"/>
  <c r="J195" i="19"/>
  <c r="J194" i="19"/>
  <c r="J174" i="19"/>
  <c r="J261" i="19"/>
  <c r="J177" i="19"/>
  <c r="J173" i="19"/>
  <c r="J198" i="19"/>
  <c r="J176" i="19"/>
  <c r="J183" i="19"/>
  <c r="J251" i="19"/>
  <c r="J254" i="19"/>
  <c r="O58" i="19"/>
  <c r="L54" i="19"/>
  <c r="L50" i="19"/>
  <c r="L55" i="19"/>
  <c r="L52" i="19"/>
  <c r="L53" i="19"/>
  <c r="L158" i="19"/>
  <c r="L56" i="19"/>
  <c r="L51" i="19"/>
  <c r="L49" i="19"/>
  <c r="K58" i="19"/>
  <c r="I369" i="19"/>
  <c r="K369" i="19" s="1"/>
  <c r="I288" i="19"/>
  <c r="J288" i="19" s="1"/>
  <c r="L160" i="19"/>
  <c r="T76" i="24"/>
  <c r="T38" i="24"/>
  <c r="T116" i="24"/>
  <c r="R15" i="24"/>
  <c r="S16" i="24"/>
  <c r="I286" i="19"/>
  <c r="J286" i="19" s="1"/>
  <c r="S76" i="24" l="1"/>
  <c r="S116" i="24"/>
  <c r="S38" i="24"/>
  <c r="Q15" i="24"/>
  <c r="R16" i="24"/>
  <c r="R76" i="24" l="1"/>
  <c r="R116" i="24"/>
  <c r="R38" i="24"/>
  <c r="Q16" i="24"/>
  <c r="P15" i="24"/>
  <c r="Q116" i="24" l="1"/>
  <c r="Q38" i="24"/>
  <c r="Q76" i="24"/>
  <c r="O15" i="24"/>
  <c r="P16" i="24"/>
  <c r="P38" i="24" l="1"/>
  <c r="P116" i="24"/>
  <c r="P76" i="24"/>
  <c r="N15" i="24"/>
  <c r="O16" i="24"/>
  <c r="O38" i="24" l="1"/>
  <c r="O116" i="24"/>
  <c r="O76" i="24"/>
  <c r="N16" i="24"/>
  <c r="M15" i="24"/>
  <c r="M16" i="24" l="1"/>
  <c r="L15" i="24"/>
  <c r="N38" i="24"/>
  <c r="N76" i="24"/>
  <c r="N116" i="24"/>
  <c r="K15" i="24" l="1"/>
  <c r="L16" i="24"/>
  <c r="M116" i="24"/>
  <c r="M38" i="24"/>
  <c r="M76" i="24"/>
  <c r="L76" i="24" l="1"/>
  <c r="L38" i="24"/>
  <c r="L116" i="24"/>
  <c r="K16" i="24"/>
  <c r="J15" i="24"/>
  <c r="K76" i="24" l="1"/>
  <c r="K116" i="24"/>
  <c r="K38" i="24"/>
  <c r="I15" i="24"/>
  <c r="J16" i="24"/>
  <c r="J38" i="24" l="1"/>
  <c r="J76" i="24"/>
  <c r="J116" i="24"/>
  <c r="H15" i="24"/>
  <c r="I16" i="24"/>
  <c r="G15" i="24" l="1"/>
  <c r="H16" i="24"/>
  <c r="I38" i="24"/>
  <c r="I116" i="24"/>
  <c r="I76" i="24"/>
  <c r="H38" i="24" l="1"/>
  <c r="H116" i="24"/>
  <c r="H76" i="24"/>
  <c r="F15" i="24"/>
  <c r="F16" i="24" s="1"/>
  <c r="G16" i="24"/>
  <c r="G38" i="24" l="1"/>
  <c r="G116" i="24"/>
  <c r="G76" i="24"/>
  <c r="F76" i="24"/>
  <c r="F116" i="24"/>
  <c r="F38" i="24"/>
</calcChain>
</file>

<file path=xl/sharedStrings.xml><?xml version="1.0" encoding="utf-8"?>
<sst xmlns="http://schemas.openxmlformats.org/spreadsheetml/2006/main" count="461" uniqueCount="243">
  <si>
    <t>Key outputs</t>
  </si>
  <si>
    <t>%</t>
  </si>
  <si>
    <t>MODELLER:</t>
  </si>
  <si>
    <t>email</t>
  </si>
  <si>
    <t>WHAT IS THE PURPOSE OF MODEL?</t>
  </si>
  <si>
    <t>This model uses standard IPART colour coding:</t>
  </si>
  <si>
    <t>Blue cells indicate inputs</t>
  </si>
  <si>
    <t>Blue font indicates IPART hard-coded values used that should not be changed</t>
  </si>
  <si>
    <t>Pink font indicates calculation checks</t>
  </si>
  <si>
    <t>Red indicates assumptions made in calculations</t>
  </si>
  <si>
    <t>red double line means formula changes across row</t>
  </si>
  <si>
    <t>$/ML</t>
  </si>
  <si>
    <t>Revenue requirement</t>
  </si>
  <si>
    <t>$'000</t>
  </si>
  <si>
    <t>Misc revenue</t>
  </si>
  <si>
    <t>ML</t>
  </si>
  <si>
    <t>#</t>
  </si>
  <si>
    <t>Border</t>
  </si>
  <si>
    <t>Gwydir</t>
  </si>
  <si>
    <t>Namoi</t>
  </si>
  <si>
    <t>Peel</t>
  </si>
  <si>
    <t>Lachlan</t>
  </si>
  <si>
    <t>Macquarie</t>
  </si>
  <si>
    <t>Murray</t>
  </si>
  <si>
    <t>Murrumbidgee</t>
  </si>
  <si>
    <t>Financial year ending 30 June</t>
  </si>
  <si>
    <t>Financial year</t>
  </si>
  <si>
    <t>Units</t>
  </si>
  <si>
    <t>List of tables</t>
  </si>
  <si>
    <t>Row number</t>
  </si>
  <si>
    <t>General security entitlements</t>
  </si>
  <si>
    <t>High security entitlements</t>
  </si>
  <si>
    <t>Supplementary entitlements</t>
  </si>
  <si>
    <t>Revenue to be recovered from entitlement charges</t>
  </si>
  <si>
    <t>Check=0</t>
  </si>
  <si>
    <t>Revenue recovered from entitlement charges</t>
  </si>
  <si>
    <t>Usage Volume</t>
  </si>
  <si>
    <t>High Security Premium</t>
  </si>
  <si>
    <t>This worksheet produces the model outputs ie. Water tariffs for usage and entitlements.</t>
  </si>
  <si>
    <t>$/KL</t>
  </si>
  <si>
    <t>Fish River Water Supply Scheme</t>
  </si>
  <si>
    <t xml:space="preserve">High Security Entitlement (fixed) </t>
  </si>
  <si>
    <t>General Security Entitlement (fixed)</t>
  </si>
  <si>
    <t xml:space="preserve">Usage Charge </t>
  </si>
  <si>
    <t xml:space="preserve">Energy Australia </t>
  </si>
  <si>
    <t xml:space="preserve">MAQ </t>
  </si>
  <si>
    <t xml:space="preserve">Usage up to MAQ </t>
  </si>
  <si>
    <t xml:space="preserve">Usage in excess of MAQ </t>
  </si>
  <si>
    <t>Lowbidgee</t>
  </si>
  <si>
    <t>Revenue to be recovered from MAQ (fixed) charge</t>
  </si>
  <si>
    <t>Revenue to be recovered from Usage up to MAQ</t>
  </si>
  <si>
    <t>Revenue to be recovered in excess of MAQ</t>
  </si>
  <si>
    <t>Total usage</t>
  </si>
  <si>
    <t xml:space="preserve">Minor customers (raw) </t>
  </si>
  <si>
    <t>Fish River revenue requirement</t>
  </si>
  <si>
    <t>Usage Volume (20-yr average)</t>
  </si>
  <si>
    <t>MAQ Level</t>
  </si>
  <si>
    <t>Total revenue to be recovered</t>
  </si>
  <si>
    <t xml:space="preserve">Minor customers (filtered) </t>
  </si>
  <si>
    <t>3  2017 DETERMINATION CHARGES</t>
  </si>
  <si>
    <t>$2016-17</t>
  </si>
  <si>
    <t>TABLE 1.1 - USAGE VOLUMES</t>
  </si>
  <si>
    <t>TABLE 1.2 - ENTITLEMENT VOLUMES</t>
  </si>
  <si>
    <t xml:space="preserve">TABLE 2.2 - REVENUE REQUIREMENT EXCLUDING MDBA/BRC REVENUE </t>
  </si>
  <si>
    <t xml:space="preserve">COLOUR CODE  </t>
  </si>
  <si>
    <t>General security and supplementary entitlements</t>
  </si>
  <si>
    <t xml:space="preserve">MODEL STRUCTURE  </t>
  </si>
  <si>
    <t xml:space="preserve">HOW DOES THE MODEL WORK? </t>
  </si>
  <si>
    <t>Small consumption customers</t>
  </si>
  <si>
    <t>Medium consumption customers</t>
  </si>
  <si>
    <t>Large consumption customers</t>
  </si>
  <si>
    <t>High Security entitlement level</t>
  </si>
  <si>
    <t>High security usage rate</t>
  </si>
  <si>
    <t>General Security entitlement level</t>
  </si>
  <si>
    <t>General Security usage rate</t>
  </si>
  <si>
    <t>Usage up to MAQ</t>
  </si>
  <si>
    <t>Usage In excess of MAQ</t>
  </si>
  <si>
    <t>$</t>
  </si>
  <si>
    <t>HIGH SECURITY</t>
  </si>
  <si>
    <t>GENERAL SECURITY</t>
  </si>
  <si>
    <t>Forecast revenue from usage charges</t>
  </si>
  <si>
    <t>Forecast revenue from GS entitlement charges</t>
  </si>
  <si>
    <t>Forecast revenue from HS entitlement charges</t>
  </si>
  <si>
    <t>Forecast revenue for MAQ charges</t>
  </si>
  <si>
    <t>Forecast revenue for usage &lt; MAQ charges</t>
  </si>
  <si>
    <t>Forecast revenue for usage &gt; MAQ charges</t>
  </si>
  <si>
    <t>General security entitlement</t>
  </si>
  <si>
    <t>High security entitlement</t>
  </si>
  <si>
    <t>Usage charges</t>
  </si>
  <si>
    <t>TABLE 3.4 - MDBA AND BRC USAGE AND ENTITLEMENT CHARGES</t>
  </si>
  <si>
    <t>$2018-19</t>
  </si>
  <si>
    <t>2018-19</t>
  </si>
  <si>
    <t>Raw water - major customer</t>
  </si>
  <si>
    <t>Raw water - minor customer</t>
  </si>
  <si>
    <t>Filtered water - minor customer</t>
  </si>
  <si>
    <t>Note: these annual figures are lagged by two years.</t>
  </si>
  <si>
    <t>Page intentionally left blank</t>
  </si>
  <si>
    <t>Inputs</t>
  </si>
  <si>
    <t>Outputs</t>
  </si>
  <si>
    <t xml:space="preserve">CHARGES </t>
  </si>
  <si>
    <t xml:space="preserve">CUSTOMER BILLS </t>
  </si>
  <si>
    <t>1  UPDATED VOLUMES PROVIDED BY WaterNSW</t>
  </si>
  <si>
    <t>Actual</t>
  </si>
  <si>
    <t>Forecast</t>
  </si>
  <si>
    <t xml:space="preserve">In the 2017 Determination, the forecast usage for each year of the determination period was calculated as the 20 year historical average to 2015-16 (ie, the  historical average to 2015-16).  </t>
  </si>
  <si>
    <t xml:space="preserve">WaterNSW entitlement and usage charges </t>
  </si>
  <si>
    <t>FRWS access and usage charges</t>
  </si>
  <si>
    <t xml:space="preserve">In essence, the model calculates the entitlement and usage charges that would recover the allowed revenue for each of these charges, using the updated demand forecasts. </t>
  </si>
  <si>
    <t>The re-calculated charges include</t>
  </si>
  <si>
    <t>The model comprises three sections</t>
  </si>
  <si>
    <t>-</t>
  </si>
  <si>
    <t>2017 Determination charges</t>
  </si>
  <si>
    <t xml:space="preserve">(i) </t>
  </si>
  <si>
    <t>(ii)</t>
  </si>
  <si>
    <t>(iii)</t>
  </si>
  <si>
    <t>REVENUE FORECASTS</t>
  </si>
  <si>
    <t>Detailed calculations</t>
  </si>
  <si>
    <t>All other inputs, assumptions and calculation methodologies are consistent with the 2017 Determination.</t>
  </si>
  <si>
    <t>showing calculated charges, indicative customer bills and revenue comparisons*.</t>
  </si>
  <si>
    <t>kL</t>
  </si>
  <si>
    <t>TABLE 1.3 - ACTUAL WATER ALLOCATIONS</t>
  </si>
  <si>
    <t>FRWS MAQ</t>
  </si>
  <si>
    <t>TABLE 3.2 - GENERAL SECURITY ENTITLEMENT CHARGES</t>
  </si>
  <si>
    <t>TABLE 6.1 - FISH RIVER USAGE AND MAQ VALUES</t>
  </si>
  <si>
    <t>6  FISH RIVER WATER SUPPLY SCHEME (FRWS) CALCULATIONS</t>
  </si>
  <si>
    <t>This worksheet calculates the usage, MAQ and required revenue components needed to calculate the FRWS charges for each customer type and each water type.</t>
  </si>
  <si>
    <t>TABLE 3.5 - FISH RIVER WATER SUPPLY SCHEME CHARGES</t>
  </si>
  <si>
    <t>4  OUTPUTS</t>
  </si>
  <si>
    <t>TABLE 4.4 - FISH RIVER WATER SUPPLY SCHEME CHARGES</t>
  </si>
  <si>
    <t xml:space="preserve">TABLE 5.2 - TWENTY YEAR AVERAGE ACTUAL ALLOCATIONS </t>
  </si>
  <si>
    <t>TABLE 5.3 - RELIABILITY RATIO AND HIGH SECURITY ENTITLEMENT PREMIUM</t>
  </si>
  <si>
    <t>Difference between A and B</t>
  </si>
  <si>
    <t>Difference between A and C</t>
  </si>
  <si>
    <t>na</t>
  </si>
  <si>
    <t>TABLE 4.8 - INDICATIVE BILLS FOR CUSTOMERS IN THE FRWS</t>
  </si>
  <si>
    <t>TABLE 4.6 - INDICATIVE BILLS FOR GENERAL SECURITY CUSTOMERS  - WaterNSW CHARGES</t>
  </si>
  <si>
    <t>TABLE 4.5 - INDICATIVE BILLS FOR HIGH SECURITY CUSTOMERS  - WaterNSW CHARGES</t>
  </si>
  <si>
    <t xml:space="preserve">Reliability Ratio </t>
  </si>
  <si>
    <t>Reliability Ratio = 20-year average HS allocations / 20-year average GS allocations</t>
  </si>
  <si>
    <t>TABLE 2.3 - MDBA/BRC REVENUE REQUIREMENT</t>
  </si>
  <si>
    <t>TABLE 5.6 - REVENUE TO BE RECOVERED FROM CHARGES (ONLY MDBA/BRC REVENUE)</t>
  </si>
  <si>
    <t>TABLE 5.5 - REVENUE TO BE RECOVERED FROM CHARGES (EXCLUDING MDBA/BRC REVENUE)</t>
  </si>
  <si>
    <t>TABLE 5.4 - TOTAL NUMBER OF 'GS ENTITLEMENT EQUIVALENTS'</t>
  </si>
  <si>
    <t>GS entitlement equivalents' are used to calculate entitlement charges.  GS entitlement equivalents = GS entitlements + HS entitlements * HS entitlement premium</t>
  </si>
  <si>
    <t>Note: these 20-year averages are lagged by 2 years.</t>
  </si>
  <si>
    <t>Note: the 20-year averages in this table are lagged by 2 years.</t>
  </si>
  <si>
    <t>TABLE 1.4 - FISH RIVER WATER SUPPLY SCHEME (FRWS) MINOR CUSTOMER NUMBERS AND MAQ ENTITLEMENT LEVELS</t>
  </si>
  <si>
    <t>Minor customer numbers</t>
  </si>
  <si>
    <t>MDBA/BRC Revenue requirement</t>
  </si>
  <si>
    <t>MDBA/BRC Revenue recovered from entitlement charges</t>
  </si>
  <si>
    <t>MDB Valleys</t>
  </si>
  <si>
    <t>TABLE 4.7 - INDICATIVE BILLS FOR HIGH SECURITY AND GENERAL SECURITY CUSTOMERS - MDBA/BRC CHARGES</t>
  </si>
  <si>
    <t>Revenue to be recovered from entitlement charges (MDBA/BRC)</t>
  </si>
  <si>
    <t>5  MDB VALLEY CALCULATIONS</t>
  </si>
  <si>
    <t>NB: do not place data in columns F to I of row below</t>
  </si>
  <si>
    <t>TABLE 2.5 - CUSTOMER USAGE VOLUMES FOR CALCULATION OF BILLS</t>
  </si>
  <si>
    <t>Note: indicative bills for FRWS customers based on total usage in each customer class / customers within class.</t>
  </si>
  <si>
    <t>This worksheet calculates the usage volumes, entitlement numbers, entitlement premiums and revenue to be recovered from charges in the MDB valleys.</t>
  </si>
  <si>
    <t>High Security Premium = Reliability Ratio * Security Factor</t>
  </si>
  <si>
    <t>TABLE 6.2 - FISH RIVER REQUIRED REVENUE CALCULATIONS</t>
  </si>
  <si>
    <r>
      <t>Maximum allowed revenue and other inputs assumptions consistent with the 2017 Determination (</t>
    </r>
    <r>
      <rPr>
        <sz val="9"/>
        <rFont val="Arial"/>
        <family val="2"/>
      </rPr>
      <t>'2017 Determination - revenue')</t>
    </r>
  </si>
  <si>
    <r>
      <t>Usage and entitlement volumes, required revenue and entitlement premiums for the MDB valleys (</t>
    </r>
    <r>
      <rPr>
        <sz val="9"/>
        <rFont val="Arial"/>
        <family val="2"/>
      </rPr>
      <t>MDB calcs)</t>
    </r>
  </si>
  <si>
    <r>
      <t>Usage volumes, MAQ levels and required revenue for FRWS customers (</t>
    </r>
    <r>
      <rPr>
        <sz val="9"/>
        <rFont val="Arial"/>
        <family val="2"/>
      </rPr>
      <t>FRWS calcs)</t>
    </r>
  </si>
  <si>
    <t xml:space="preserve">   - Variable usage charges are calculated using rolling 20-year historical average volumes with a two year lag, eg, 2018-19 usage charges are calculated using 1996-97 to 2016-17 volumes.</t>
  </si>
  <si>
    <t xml:space="preserve">   -  Entitlement charges are calculated using single year volumes with the same two year lag, eg. 2018-19 entitlement charges are calculated using 2016-17 entitlement volumes.</t>
  </si>
  <si>
    <t>2  ALLOWED REVENUE, SECURITY FACTORS AND VOLUMES FOR INDICATIVE CUSTOMER BILLS</t>
  </si>
  <si>
    <t>Note: This ratio reflects the relative security of supply between HS and GS entitlements and is used to calculate the high security premium.</t>
  </si>
  <si>
    <t>Note: Inputs in this table are assumptions that we use to calculate indicative customer bills.</t>
  </si>
  <si>
    <t>This worksheet records the charges under the 2017 Determination.</t>
  </si>
  <si>
    <t>Revenue to be recovered from charges (total)</t>
  </si>
  <si>
    <t>Revenue to be recovered from usage charges</t>
  </si>
  <si>
    <t>Revenue to be recovered from usage charges (MDBA/BRC)</t>
  </si>
  <si>
    <t>TABLE 5.1 - USAGE AND ENTITLEMENT VOLUMES FOR CALCULATIONS</t>
  </si>
  <si>
    <t>TABLE 2.4 - SECURITY FACTORS</t>
  </si>
  <si>
    <t>This worksheet records the updated usage and entitlement volumes that are used to calculate updated prices for the Annual Review.  WaterNSW provides the updated  volumes.</t>
  </si>
  <si>
    <t>This worksheet records the required revenue that was calculated as part of our 2017 review of prices, as well as other inputs consistent with that review.</t>
  </si>
  <si>
    <t xml:space="preserve">Data sourced from 2017 review  model, Prices &amp; Revenue worksheet, Table C2.4, N485-O492.  </t>
  </si>
  <si>
    <t>Data sourced from 2017 review  model, Cost Scenario worksheet, Table 10.6, Column W, row 270-283.  The smoothed NPV of costs over the determination period.</t>
  </si>
  <si>
    <t xml:space="preserve">Data sourced from 2017 review  model, Price Scenario worksheet, Table 11.3, row 294-302. </t>
  </si>
  <si>
    <t>Data sourced from 2017 review  model, Price Scenario worksheet, Table 11.3, Column N-Q, row 206. (Same proportion for all valleys).</t>
  </si>
  <si>
    <t>Data sourced from 2017 review  model, Pricing inputs worksheet, Table 7.4, row 203-211</t>
  </si>
  <si>
    <t>Data sourced from 2017 review  model, Prices &amp; Revenue worksheet, Table C2.4, Column N-Q, row 529-536.</t>
  </si>
  <si>
    <t>Data sourced from 2017 review  model, Pricing inputs worksheet, Table 7.1, Column I, row 24-31.  (The Security Factor is held constant over the Determination period)</t>
  </si>
  <si>
    <t>Note: 'Water allocations' refer to the proportion of their entitlement volumes that licence holders are permitted to extract each year</t>
  </si>
  <si>
    <t>General security entitlement charges</t>
  </si>
  <si>
    <t>High security entitlement charges</t>
  </si>
  <si>
    <t>TABLE 4.1 - TOTAL CHARGES FOR MDB CUSTOMERS</t>
  </si>
  <si>
    <t>TABLE 3.1 - USAGE CHARGES</t>
  </si>
  <si>
    <t xml:space="preserve">TABLE 3.3 - HIGH SECURITY ENTITLEMENT CHARGES </t>
  </si>
  <si>
    <t>A</t>
  </si>
  <si>
    <t>B</t>
  </si>
  <si>
    <t>C</t>
  </si>
  <si>
    <t>C/A</t>
  </si>
  <si>
    <t>B/A</t>
  </si>
  <si>
    <t>Re-calculated charges</t>
  </si>
  <si>
    <t>Total forecast revenue</t>
  </si>
  <si>
    <t>Total revenue from MDB and FRWS customers</t>
  </si>
  <si>
    <t>WaterNSW revenue from MDB valley customers (ie, excluding MDBA/BRC revenue)</t>
  </si>
  <si>
    <t>Revenue from FRWS customers</t>
  </si>
  <si>
    <t>Charges entered or calculated in $2016-17 are rounded to two decimal places. The rounded $2016-17 charges are inflated to $2017-18 and these $2017-18 charges are then rounded to two decimal places (the nearest cent).</t>
  </si>
  <si>
    <t>The rounded $2017-18 charges calculated in step 1 are inflated to $2018-19 and these $2018-19 charges are then rounded to two decimal places (the nearest cent).</t>
  </si>
  <si>
    <t>The model uses this method of indexation to maintain consistency with the 2017 determination, which published prices in $2017-18 and to the nearest cent.</t>
  </si>
  <si>
    <t xml:space="preserve">MDBA/BRC entitlement and usage charges, and </t>
  </si>
  <si>
    <t>Step 1</t>
  </si>
  <si>
    <t>Step 2</t>
  </si>
  <si>
    <t>WaterNSW - Rural water pricing annual update 2019-20</t>
  </si>
  <si>
    <t>Maricar Horbino</t>
  </si>
  <si>
    <t>maricar_horbino@ipart.nsw.gov.au</t>
  </si>
  <si>
    <t>This model calculates 2019-20 water entitlement and usage charges for the Murray Darling Basin (MDB) and the Fish River Water Supply Scheme (FRWS) based on updated demand forecasts.</t>
  </si>
  <si>
    <t>* Comparisons of revenue using the 2017 Determination charges versus the re-calculated charges (and the updated 2019-20 demand forecasts).</t>
  </si>
  <si>
    <t>Inflation to $2019-20</t>
  </si>
  <si>
    <t>This model uses a three step process to inflate $2016-17 charges into $2019-20:</t>
  </si>
  <si>
    <t>Step 3</t>
  </si>
  <si>
    <t>The rounded $2018-19 charges calculated in step 2 are inflated to $2019-20 and these $2019-20 charges are then rounded to two decimal places (the nearest cent).</t>
  </si>
  <si>
    <t>$2019-20</t>
  </si>
  <si>
    <t>2019-20</t>
  </si>
  <si>
    <t>Difference between 2019-20 Determination bills and 2019-20 re-calculated bills</t>
  </si>
  <si>
    <t>Estimate</t>
  </si>
  <si>
    <t>Note: these averages are lagged by 2 years.</t>
  </si>
  <si>
    <t>N/A</t>
  </si>
  <si>
    <t>Forecast revenue using 2019-20 updated 20-year average usage and 2019-20 re-calculated charges</t>
  </si>
  <si>
    <t>Notional revenue requirement for 2019-20</t>
  </si>
  <si>
    <t>Forecast revenue using updated 20-year average usage and 2017 Determination charges</t>
  </si>
  <si>
    <t>This model updates the 20-year historical average for 2019-20 by using  data from 1998-99 to 2017-18 .  It then uses these updated forecasts to calculate new 2019-20  charges.</t>
  </si>
  <si>
    <t xml:space="preserve">2019-20 charges expressed </t>
  </si>
  <si>
    <t>Index</t>
  </si>
  <si>
    <t>$2017-18</t>
  </si>
  <si>
    <t>2017-18</t>
  </si>
  <si>
    <t>CPI used to convert $2016-17 prices to $2017-18 prices</t>
  </si>
  <si>
    <t>CPI calculations to convert $2017-18 prices</t>
  </si>
  <si>
    <t>As per 2017 Determination</t>
  </si>
  <si>
    <t>Difference between</t>
  </si>
  <si>
    <t xml:space="preserve"> 2019-20 re-calculated and 2017 determination charges</t>
  </si>
  <si>
    <t xml:space="preserve">Difference between </t>
  </si>
  <si>
    <t>Bill using the 2017 determination charges for 2019-20</t>
  </si>
  <si>
    <t>Bill using the re-calculated charges for 2019-20</t>
  </si>
  <si>
    <t>Year-on-year change</t>
  </si>
  <si>
    <t>Change in Index (CPI) from $2017-18</t>
  </si>
  <si>
    <t>Volumetric data, including actual 2016-17 and 2017-18 volumes provided by WaterNSW ('Updated volumes') as part of Annual Review process</t>
  </si>
  <si>
    <t>TABLE 2.1 - INFLATION AS PER 2017 DETERMINATION</t>
  </si>
  <si>
    <t>TABLE 4.9 - Comparison of WaterNSW'S Forecast Revenue in 2019-20 under different scenarios (2016-17 $'000)</t>
  </si>
  <si>
    <t>TABLE 4.2 - WaterNSW CHARGES</t>
  </si>
  <si>
    <t>TABLE 4.3 - MDBA/BRC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</si>
</sst>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_);_(@_)"/>
    <numFmt numFmtId="166" formatCode="0.0%"/>
    <numFmt numFmtId="167" formatCode="#,##0.0"/>
    <numFmt numFmtId="168" formatCode="_(* #,##0.0_);_(* \(#,##0.0\);_(* &quot;-&quot;??_);_(@_)"/>
    <numFmt numFmtId="169" formatCode="_-* #,##0.0000_-;\-* #,##0.0000_-;_-* &quot;-&quot;??_-;_-@_-"/>
    <numFmt numFmtId="170" formatCode="0.000"/>
    <numFmt numFmtId="171" formatCode="_-* #,##0_-;\-* #,##0_-;_-* &quot;-&quot;??_-;_-@_-"/>
    <numFmt numFmtId="172" formatCode="_-\ #,##0.0_-;\-\ #,##0.0_-;_-\ &quot;ok&quot;_-;_-@_-"/>
    <numFmt numFmtId="173" formatCode="_-\ #,##0_-;\-\ #,##0_-;_-\ &quot;-&quot;_-;_-@_-"/>
    <numFmt numFmtId="174" formatCode="mmm\ yy"/>
    <numFmt numFmtId="175" formatCode="_-&quot;$&quot;#,##0.0_-;\-&quot;$&quot;#,##0.0_-;_ &quot;-&quot;_-;_-@_-"/>
    <numFmt numFmtId="176" formatCode="0%_);\(0%\);\-_);@_)"/>
    <numFmt numFmtId="177" formatCode="&quot;[&quot;@&quot;]&quot;_)"/>
    <numFmt numFmtId="178" formatCode="0_ ;\-0\ "/>
    <numFmt numFmtId="179" formatCode="_-\ #,##0.0_-;\-\ #,##0.0_-;_-\ &quot;-&quot;_-;_-@_-"/>
    <numFmt numFmtId="180" formatCode="#,##0.00000"/>
    <numFmt numFmtId="181" formatCode="_(* #,##0_);_(* \(#,##0\);_(* &quot;-&quot;??_);_(@_)"/>
    <numFmt numFmtId="182" formatCode="_-\ &quot;ERROR&quot;_-;\-\ &quot;ERROR&quot;_-;_-\ &quot;ok&quot;_-;\-&quot;ERROR&quot;"/>
    <numFmt numFmtId="183" formatCode="_-\ &quot;YES&quot;_-;\-\ &quot;YES2&quot;_-;_-\ &quot;NO&quot;_-;_-@_-"/>
    <numFmt numFmtId="184" formatCode="_-\ #,##0.0_-;\-\ #,##0.0_-;_ &quot;-&quot;_-;_-@_-"/>
    <numFmt numFmtId="185" formatCode="mmm\ yyyy"/>
    <numFmt numFmtId="186" formatCode="_-dd/mm/yy_-;\-\ &quot;Error&quot;_-;_-\ &quot;-&quot;_-;_-@_-"/>
    <numFmt numFmtId="187" formatCode="_-&quot;$&quot;#,##0_-;[Red]\-&quot;$&quot;#,##0_-;_ &quot;-&quot;_-;_-@_-"/>
    <numFmt numFmtId="188" formatCode="_-&quot;$&quot;#,##0.00_-;[Red]\-&quot;$&quot;#,##0.00_-;_ &quot;-&quot;_-;_-@_-"/>
    <numFmt numFmtId="189" formatCode="_-\ #,##0.000_-;\-\ #,##0.000_-;_-\ &quot;-&quot;_-;_-@_-"/>
    <numFmt numFmtId="190" formatCode="0.000%_);\(0.000%\);\-_);@_)"/>
    <numFmt numFmtId="191" formatCode="0.000%"/>
  </numFmts>
  <fonts count="50">
    <font>
      <sz val="9"/>
      <name val="Arial"/>
      <family val="2"/>
    </font>
    <font>
      <sz val="11"/>
      <color theme="1"/>
      <name val="Book Antiqua"/>
      <family val="2"/>
      <scheme val="minor"/>
    </font>
    <font>
      <sz val="11"/>
      <color theme="1"/>
      <name val="Book Antiqua"/>
      <family val="2"/>
      <scheme val="minor"/>
    </font>
    <font>
      <sz val="9"/>
      <name val="Arial"/>
      <family val="2"/>
    </font>
    <font>
      <sz val="9"/>
      <color indexed="14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9"/>
      <color indexed="9"/>
      <name val="Arial"/>
      <family val="2"/>
    </font>
    <font>
      <b/>
      <sz val="9"/>
      <color indexed="57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9"/>
      <color theme="10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  <font>
      <sz val="10"/>
      <color indexed="9"/>
      <name val="Arial"/>
      <family val="2"/>
    </font>
    <font>
      <b/>
      <sz val="12"/>
      <color indexed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15"/>
      <color theme="3"/>
      <name val="Book Antiqua"/>
      <family val="2"/>
      <scheme val="minor"/>
    </font>
    <font>
      <b/>
      <sz val="13"/>
      <color theme="3"/>
      <name val="Book Antiqua"/>
      <family val="2"/>
      <scheme val="minor"/>
    </font>
    <font>
      <b/>
      <sz val="11"/>
      <color theme="3"/>
      <name val="Book Antiqua"/>
      <family val="2"/>
      <scheme val="minor"/>
    </font>
    <font>
      <b/>
      <sz val="11"/>
      <color theme="1"/>
      <name val="Book Antiqua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color rgb="FF0070C0"/>
      <name val="Arial"/>
      <family val="2"/>
    </font>
    <font>
      <sz val="9"/>
      <color theme="1" tint="0.34998626667073579"/>
      <name val="Arial"/>
      <family val="2"/>
    </font>
    <font>
      <sz val="10"/>
      <color theme="1"/>
      <name val="Calibri"/>
      <family val="2"/>
    </font>
    <font>
      <i/>
      <sz val="9"/>
      <color theme="5" tint="-0.24994659260841701"/>
      <name val="Arial"/>
      <family val="2"/>
    </font>
    <font>
      <u/>
      <sz val="10"/>
      <color theme="10"/>
      <name val="Arial"/>
      <family val="2"/>
    </font>
    <font>
      <i/>
      <sz val="9"/>
      <color rgb="FFC00000"/>
      <name val="Arial"/>
      <family val="2"/>
    </font>
    <font>
      <sz val="9"/>
      <color theme="1" tint="0.499984740745262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8"/>
      <color indexed="14"/>
      <name val="Arial"/>
      <family val="2"/>
    </font>
    <font>
      <b/>
      <sz val="9"/>
      <color theme="0" tint="-0.499984740745262"/>
      <name val="Arial"/>
      <family val="2"/>
    </font>
    <font>
      <b/>
      <u/>
      <sz val="9"/>
      <name val="Arial"/>
      <family val="2"/>
    </font>
    <font>
      <sz val="9"/>
      <color rgb="FFFF0000"/>
      <name val="Arial"/>
      <family val="2"/>
    </font>
    <font>
      <b/>
      <sz val="11"/>
      <color rgb="FF3F3F3F"/>
      <name val="Book Antiqua"/>
      <family val="2"/>
      <scheme val="minor"/>
    </font>
    <font>
      <b/>
      <sz val="9"/>
      <color theme="1"/>
      <name val="Arial"/>
      <family val="2"/>
    </font>
    <font>
      <sz val="10"/>
      <name val="Courier New"/>
      <family val="3"/>
    </font>
    <font>
      <b/>
      <sz val="12"/>
      <color theme="1"/>
      <name val="Calibri"/>
      <family val="2"/>
    </font>
    <font>
      <b/>
      <sz val="12"/>
      <color theme="0"/>
      <name val="Arial"/>
      <family val="2"/>
    </font>
    <font>
      <sz val="10"/>
      <name val="Verdana"/>
      <family val="2"/>
    </font>
    <font>
      <sz val="10"/>
      <color theme="1"/>
      <name val="Arial"/>
      <family val="2"/>
    </font>
    <font>
      <b/>
      <sz val="8"/>
      <color rgb="FFFF0000"/>
      <name val="Calibri"/>
      <family val="2"/>
    </font>
    <font>
      <sz val="12"/>
      <color theme="1"/>
      <name val="Book Antiqua"/>
      <family val="2"/>
      <charset val="128"/>
      <scheme val="minor"/>
    </font>
    <font>
      <sz val="9"/>
      <color theme="0"/>
      <name val="Arial"/>
      <family val="2"/>
    </font>
  </fonts>
  <fills count="45">
    <fill>
      <patternFill patternType="none"/>
    </fill>
    <fill>
      <patternFill patternType="gray125"/>
    </fill>
    <fill>
      <patternFill patternType="lightGray">
        <fgColor indexed="13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30"/>
      </patternFill>
    </fill>
    <fill>
      <patternFill patternType="solid">
        <fgColor indexed="20"/>
        <bgColor indexed="64"/>
      </patternFill>
    </fill>
    <fill>
      <patternFill patternType="solid">
        <fgColor indexed="31"/>
        <bgColor indexed="1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13"/>
      </patternFill>
    </fill>
    <fill>
      <patternFill patternType="solid">
        <fgColor rgb="FF0A419B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BD7EB"/>
        <bgColor indexed="64"/>
      </patternFill>
    </fill>
    <fill>
      <patternFill patternType="solid">
        <fgColor rgb="FF75F1F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9BCD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E4D5"/>
        <bgColor indexed="64"/>
      </patternFill>
    </fill>
    <fill>
      <patternFill patternType="solid">
        <fgColor rgb="FF82A0CD"/>
        <bgColor indexed="64"/>
      </patternFill>
    </fill>
    <fill>
      <patternFill patternType="solid">
        <fgColor rgb="FFC3D7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00FF"/>
        <bgColor indexed="64"/>
      </patternFill>
    </fill>
    <fill>
      <patternFill patternType="lightVertical">
        <bgColor rgb="FFFFC000"/>
      </patternFill>
    </fill>
    <fill>
      <patternFill patternType="lightHorizontal">
        <bgColor rgb="FFFFC000"/>
      </patternFill>
    </fill>
    <fill>
      <patternFill patternType="solid">
        <fgColor theme="0"/>
        <bgColor rgb="FF00FFFF"/>
      </patternFill>
    </fill>
    <fill>
      <patternFill patternType="solid">
        <fgColor indexed="18"/>
        <bgColor rgb="FF00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1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rgb="FFFF0000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20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18" applyNumberFormat="0" applyFont="0" applyFill="0" applyAlignment="0" applyProtection="0"/>
    <xf numFmtId="165" fontId="36" fillId="0" borderId="0" applyNumberFormat="0" applyFill="0" applyBorder="0" applyAlignment="0">
      <alignment horizontal="left"/>
    </xf>
    <xf numFmtId="0" fontId="5" fillId="0" borderId="0" applyNumberFormat="0" applyFill="0" applyBorder="0" applyAlignment="0"/>
    <xf numFmtId="4" fontId="3" fillId="4" borderId="0" applyBorder="0" applyAlignment="0">
      <alignment horizontal="right"/>
      <protection locked="0"/>
    </xf>
    <xf numFmtId="166" fontId="3" fillId="4" borderId="0" applyBorder="0" applyAlignment="0">
      <alignment horizontal="right"/>
      <protection locked="0"/>
    </xf>
    <xf numFmtId="3" fontId="7" fillId="0" borderId="0" applyNumberFormat="0" applyFill="0" applyBorder="0" applyAlignment="0" applyProtection="0">
      <protection locked="0"/>
    </xf>
    <xf numFmtId="41" fontId="8" fillId="5" borderId="0" applyNumberFormat="0" applyBorder="0" applyAlignment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7" fontId="3" fillId="2" borderId="0" applyBorder="0" applyAlignment="0">
      <alignment horizontal="right"/>
      <protection locked="0"/>
    </xf>
    <xf numFmtId="166" fontId="3" fillId="3" borderId="0" applyBorder="0" applyAlignment="0">
      <protection locked="0"/>
    </xf>
    <xf numFmtId="0" fontId="16" fillId="7" borderId="0" applyNumberFormat="0" applyBorder="0" applyAlignment="0" applyProtection="0"/>
    <xf numFmtId="166" fontId="3" fillId="2" borderId="0" applyBorder="0" applyAlignment="0">
      <alignment horizontal="left"/>
      <protection locked="0"/>
    </xf>
    <xf numFmtId="167" fontId="3" fillId="3" borderId="1" applyBorder="0" applyAlignment="0">
      <alignment horizontal="right"/>
      <protection locked="0"/>
    </xf>
    <xf numFmtId="10" fontId="3" fillId="4" borderId="0" applyBorder="0" applyAlignment="0">
      <alignment horizontal="right"/>
      <protection locked="0"/>
    </xf>
    <xf numFmtId="9" fontId="17" fillId="0" borderId="0" applyFont="0" applyBorder="0" applyAlignment="0" applyProtection="0"/>
    <xf numFmtId="9" fontId="17" fillId="0" borderId="0" applyFont="0" applyBorder="0" applyAlignment="0" applyProtection="0"/>
    <xf numFmtId="9" fontId="3" fillId="0" borderId="0" applyFont="0" applyFill="0" applyBorder="0" applyAlignment="0" applyProtection="0"/>
    <xf numFmtId="0" fontId="21" fillId="0" borderId="14" applyNumberFormat="0" applyFill="0" applyAlignment="0" applyProtection="0"/>
    <xf numFmtId="0" fontId="22" fillId="0" borderId="15" applyNumberFormat="0" applyFill="0" applyAlignment="0" applyProtection="0"/>
    <xf numFmtId="0" fontId="23" fillId="0" borderId="16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167" fontId="3" fillId="9" borderId="0" applyBorder="0">
      <alignment horizontal="right"/>
    </xf>
    <xf numFmtId="166" fontId="3" fillId="9" borderId="0" applyBorder="0" applyAlignment="0"/>
    <xf numFmtId="3" fontId="3" fillId="11" borderId="0" applyNumberFormat="0" applyBorder="0" applyAlignment="0">
      <alignment horizontal="center"/>
      <protection locked="0"/>
    </xf>
    <xf numFmtId="3" fontId="3" fillId="10" borderId="8" applyNumberFormat="0" applyBorder="0" applyAlignment="0"/>
    <xf numFmtId="165" fontId="3" fillId="0" borderId="18" applyNumberFormat="0" applyFont="0" applyFill="0" applyAlignment="0" applyProtection="0">
      <alignment horizontal="left"/>
    </xf>
    <xf numFmtId="3" fontId="7" fillId="0" borderId="0" applyNumberFormat="0" applyFill="0" applyBorder="0" applyAlignment="0" applyProtection="0">
      <protection locked="0"/>
    </xf>
    <xf numFmtId="0" fontId="8" fillId="12" borderId="0" applyNumberFormat="0" applyAlignment="0"/>
    <xf numFmtId="166" fontId="6" fillId="3" borderId="0" applyFont="0" applyBorder="0" applyAlignment="0">
      <protection locked="0"/>
    </xf>
    <xf numFmtId="4" fontId="3" fillId="2" borderId="0" applyBorder="0" applyAlignment="0">
      <alignment horizontal="left"/>
      <protection locked="0"/>
    </xf>
    <xf numFmtId="166" fontId="3" fillId="2" borderId="0" applyBorder="0" applyAlignment="0">
      <alignment horizontal="right"/>
      <protection locked="0"/>
    </xf>
    <xf numFmtId="4" fontId="6" fillId="3" borderId="1" applyFont="0" applyBorder="0" applyAlignment="0">
      <alignment horizontal="right"/>
      <protection locked="0"/>
    </xf>
    <xf numFmtId="166" fontId="6" fillId="3" borderId="0" applyFont="0" applyBorder="0" applyAlignment="0">
      <protection locked="0"/>
    </xf>
    <xf numFmtId="10" fontId="6" fillId="4" borderId="0" applyFont="0" applyBorder="0">
      <alignment horizontal="right"/>
      <protection locked="0"/>
    </xf>
    <xf numFmtId="172" fontId="27" fillId="0" borderId="0" applyBorder="0"/>
    <xf numFmtId="173" fontId="28" fillId="14" borderId="0" applyNumberFormat="0" applyBorder="0" applyAlignment="0" applyProtection="0"/>
    <xf numFmtId="173" fontId="26" fillId="15" borderId="0" applyNumberFormat="0" applyBorder="0" applyAlignment="0">
      <protection locked="0"/>
    </xf>
    <xf numFmtId="165" fontId="4" fillId="0" borderId="0" applyNumberFormat="0" applyFill="0" applyBorder="0" applyAlignment="0">
      <alignment horizontal="left"/>
    </xf>
    <xf numFmtId="0" fontId="30" fillId="0" borderId="0" applyNumberFormat="0" applyFill="0" applyBorder="0" applyAlignment="0" applyProtection="0"/>
    <xf numFmtId="164" fontId="3" fillId="16" borderId="0" applyFont="0" applyBorder="0" applyAlignment="0">
      <protection locked="0"/>
    </xf>
    <xf numFmtId="173" fontId="25" fillId="17" borderId="16" applyNumberFormat="0" applyBorder="0" applyAlignment="0" applyProtection="0"/>
    <xf numFmtId="0" fontId="3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3" fillId="3" borderId="0" applyFont="0" applyBorder="0" applyAlignment="0">
      <protection locked="0"/>
    </xf>
    <xf numFmtId="164" fontId="6" fillId="18" borderId="1" applyNumberFormat="0" applyFont="0" applyBorder="0" applyAlignment="0">
      <alignment horizontal="right"/>
      <protection locked="0"/>
    </xf>
    <xf numFmtId="4" fontId="3" fillId="4" borderId="0" applyBorder="0" applyAlignment="0">
      <alignment horizontal="right"/>
      <protection locked="0"/>
    </xf>
    <xf numFmtId="41" fontId="8" fillId="5" borderId="0" applyNumberFormat="0" applyBorder="0" applyAlignment="0"/>
    <xf numFmtId="0" fontId="9" fillId="0" borderId="0" applyNumberFormat="0" applyFill="0" applyBorder="0" applyAlignment="0" applyProtection="0"/>
    <xf numFmtId="175" fontId="26" fillId="19" borderId="0" applyNumberFormat="0" applyFont="0" applyBorder="0" applyAlignment="0" applyProtection="0"/>
    <xf numFmtId="3" fontId="26" fillId="20" borderId="0" applyNumberFormat="0" applyBorder="0" applyAlignment="0" applyProtection="0">
      <alignment horizontal="center"/>
    </xf>
    <xf numFmtId="176" fontId="29" fillId="0" borderId="0" applyFont="0" applyFill="0" applyBorder="0" applyAlignment="0" applyProtection="0"/>
    <xf numFmtId="0" fontId="8" fillId="12" borderId="0" applyNumberFormat="0" applyBorder="0" applyAlignment="0" applyProtection="0"/>
    <xf numFmtId="173" fontId="32" fillId="0" borderId="0" applyNumberFormat="0" applyProtection="0"/>
    <xf numFmtId="177" fontId="33" fillId="0" borderId="0" applyFill="0" applyBorder="0" applyProtection="0">
      <alignment horizontal="right"/>
    </xf>
    <xf numFmtId="178" fontId="8" fillId="21" borderId="0" applyBorder="0" applyAlignment="0"/>
    <xf numFmtId="174" fontId="25" fillId="17" borderId="0" applyBorder="0" applyAlignment="0" applyProtection="0"/>
    <xf numFmtId="0" fontId="3" fillId="13" borderId="0"/>
    <xf numFmtId="179" fontId="26" fillId="0" borderId="0"/>
    <xf numFmtId="179" fontId="26" fillId="0" borderId="0"/>
    <xf numFmtId="179" fontId="26" fillId="0" borderId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9" fontId="34" fillId="22" borderId="20" applyNumberFormat="0"/>
    <xf numFmtId="179" fontId="26" fillId="23" borderId="0" applyNumberFormat="0" applyFont="0" applyBorder="0" applyAlignment="0" applyProtection="0"/>
    <xf numFmtId="0" fontId="16" fillId="24" borderId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8" fillId="5" borderId="0" applyNumberFormat="0" applyBorder="0" applyAlignment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3" fillId="4" borderId="0" applyBorder="0" applyAlignment="0">
      <alignment horizontal="right"/>
      <protection locked="0"/>
    </xf>
    <xf numFmtId="0" fontId="42" fillId="0" borderId="0">
      <alignment vertical="center"/>
    </xf>
    <xf numFmtId="43" fontId="3" fillId="0" borderId="0" applyFont="0" applyFill="0" applyBorder="0" applyAlignment="0" applyProtection="0"/>
    <xf numFmtId="41" fontId="8" fillId="5" borderId="0" applyNumberFormat="0" applyBorder="0" applyAlignment="0"/>
    <xf numFmtId="4" fontId="6" fillId="3" borderId="24" applyFont="0" applyBorder="0" applyAlignment="0">
      <alignment horizontal="right"/>
      <protection locked="0"/>
    </xf>
    <xf numFmtId="9" fontId="3" fillId="0" borderId="0" applyFont="0" applyFill="0" applyBorder="0" applyAlignment="0" applyProtection="0"/>
    <xf numFmtId="182" fontId="26" fillId="0" borderId="0"/>
    <xf numFmtId="183" fontId="26" fillId="0" borderId="0" applyFill="0" applyBorder="0" applyProtection="0">
      <alignment horizontal="center"/>
    </xf>
    <xf numFmtId="0" fontId="43" fillId="28" borderId="0" applyNumberFormat="0" applyBorder="0" applyProtection="0">
      <alignment horizontal="center" vertical="center"/>
    </xf>
    <xf numFmtId="0" fontId="44" fillId="30" borderId="20" applyNumberFormat="0" applyProtection="0">
      <alignment vertical="top" wrapText="1"/>
    </xf>
    <xf numFmtId="0" fontId="26" fillId="27" borderId="0" applyNumberFormat="0" applyBorder="0" applyAlignment="0" applyProtection="0"/>
    <xf numFmtId="184" fontId="27" fillId="31" borderId="0" applyBorder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2" fillId="0" borderId="0" applyFont="0" applyFill="0" applyBorder="0" applyAlignment="0" applyProtection="0"/>
    <xf numFmtId="179" fontId="26" fillId="32" borderId="0" applyNumberFormat="0" applyBorder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85" fontId="26" fillId="0" borderId="0" applyFill="0" applyBorder="0" applyAlignment="0" applyProtection="0"/>
    <xf numFmtId="186" fontId="29" fillId="0" borderId="0" applyFont="0" applyFill="0" applyBorder="0" applyAlignment="0" applyProtection="0"/>
    <xf numFmtId="186" fontId="29" fillId="0" borderId="0" applyFont="0" applyFill="0" applyBorder="0" applyAlignment="0" applyProtection="0"/>
    <xf numFmtId="3" fontId="26" fillId="33" borderId="0" applyNumberFormat="0" applyBorder="0" applyAlignment="0" applyProtection="0">
      <alignment horizontal="center"/>
    </xf>
    <xf numFmtId="9" fontId="6" fillId="0" borderId="0" applyFont="0" applyFill="0" applyBorder="0" applyAlignment="0" applyProtection="0"/>
    <xf numFmtId="41" fontId="3" fillId="16" borderId="0" applyFont="0" applyBorder="0" applyAlignment="0">
      <protection locked="0"/>
    </xf>
    <xf numFmtId="9" fontId="6" fillId="0" borderId="0" applyFont="0" applyFill="0" applyBorder="0" applyAlignment="0" applyProtection="0"/>
    <xf numFmtId="0" fontId="13" fillId="34" borderId="15" applyNumberFormat="0" applyBorder="0" applyAlignment="0" applyProtection="0"/>
    <xf numFmtId="3" fontId="41" fillId="35" borderId="0" applyNumberFormat="0" applyAlignment="0" applyProtection="0"/>
    <xf numFmtId="173" fontId="41" fillId="36" borderId="23" applyNumberFormat="0" applyBorder="0" applyAlignment="0"/>
    <xf numFmtId="41" fontId="3" fillId="3" borderId="0" applyFont="0" applyBorder="0" applyAlignment="0">
      <protection locked="0"/>
    </xf>
    <xf numFmtId="41" fontId="6" fillId="18" borderId="24" applyNumberFormat="0" applyFont="0" applyBorder="0" applyAlignment="0">
      <alignment horizontal="right"/>
      <protection locked="0"/>
    </xf>
    <xf numFmtId="167" fontId="3" fillId="3" borderId="24" applyBorder="0" applyAlignment="0">
      <alignment horizontal="right"/>
      <protection locked="0"/>
    </xf>
    <xf numFmtId="41" fontId="8" fillId="5" borderId="0" applyNumberFormat="0" applyBorder="0" applyAlignment="0"/>
    <xf numFmtId="187" fontId="3" fillId="0" borderId="0" applyFill="0" applyBorder="0" applyProtection="0"/>
    <xf numFmtId="175" fontId="3" fillId="0" borderId="0" applyFill="0" applyBorder="0" applyProtection="0">
      <alignment horizontal="right"/>
    </xf>
    <xf numFmtId="188" fontId="3" fillId="0" borderId="0" applyFill="0" applyBorder="0" applyProtection="0"/>
    <xf numFmtId="173" fontId="26" fillId="0" borderId="0" applyFill="0" applyBorder="0" applyProtection="0">
      <alignment horizontal="right"/>
    </xf>
    <xf numFmtId="181" fontId="26" fillId="0" borderId="0" applyFill="0" applyBorder="0" applyProtection="0"/>
    <xf numFmtId="179" fontId="26" fillId="0" borderId="0" applyFill="0" applyBorder="0" applyProtection="0">
      <alignment horizontal="right"/>
    </xf>
    <xf numFmtId="179" fontId="26" fillId="0" borderId="0"/>
    <xf numFmtId="179" fontId="26" fillId="0" borderId="0"/>
    <xf numFmtId="179" fontId="26" fillId="0" borderId="0"/>
    <xf numFmtId="179" fontId="26" fillId="0" borderId="0"/>
    <xf numFmtId="179" fontId="26" fillId="0" borderId="0"/>
    <xf numFmtId="179" fontId="26" fillId="0" borderId="0"/>
    <xf numFmtId="9" fontId="6" fillId="0" borderId="0" applyFont="0" applyFill="0" applyBorder="0" applyAlignment="0" applyProtection="0"/>
    <xf numFmtId="179" fontId="26" fillId="0" borderId="0"/>
    <xf numFmtId="179" fontId="26" fillId="0" borderId="0"/>
    <xf numFmtId="0" fontId="6" fillId="0" borderId="0"/>
    <xf numFmtId="0" fontId="45" fillId="0" borderId="0"/>
    <xf numFmtId="0" fontId="2" fillId="0" borderId="0"/>
    <xf numFmtId="179" fontId="26" fillId="0" borderId="0"/>
    <xf numFmtId="179" fontId="26" fillId="0" borderId="0"/>
    <xf numFmtId="179" fontId="26" fillId="0" borderId="0"/>
    <xf numFmtId="0" fontId="4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189" fontId="26" fillId="0" borderId="0" applyFill="0" applyBorder="0" applyProtection="0">
      <alignment horizontal="center"/>
    </xf>
    <xf numFmtId="179" fontId="26" fillId="0" borderId="0"/>
    <xf numFmtId="0" fontId="2" fillId="0" borderId="0"/>
    <xf numFmtId="0" fontId="2" fillId="0" borderId="0"/>
    <xf numFmtId="0" fontId="46" fillId="0" borderId="0"/>
    <xf numFmtId="179" fontId="26" fillId="0" borderId="0"/>
    <xf numFmtId="0" fontId="46" fillId="0" borderId="0"/>
    <xf numFmtId="179" fontId="26" fillId="0" borderId="0"/>
    <xf numFmtId="179" fontId="26" fillId="0" borderId="0"/>
    <xf numFmtId="0" fontId="46" fillId="0" borderId="0"/>
    <xf numFmtId="179" fontId="26" fillId="0" borderId="0"/>
    <xf numFmtId="0" fontId="6" fillId="0" borderId="0"/>
    <xf numFmtId="179" fontId="26" fillId="0" borderId="0"/>
    <xf numFmtId="0" fontId="46" fillId="0" borderId="0"/>
    <xf numFmtId="179" fontId="26" fillId="0" borderId="0"/>
    <xf numFmtId="179" fontId="26" fillId="0" borderId="0"/>
    <xf numFmtId="0" fontId="40" fillId="26" borderId="22" applyNumberFormat="0" applyAlignment="0" applyProtection="0"/>
    <xf numFmtId="173" fontId="26" fillId="29" borderId="0" applyNumberFormat="0" applyBorder="0" applyAlignment="0">
      <protection locked="0"/>
    </xf>
    <xf numFmtId="0" fontId="47" fillId="0" borderId="0" applyNumberFormat="0" applyFill="0" applyBorder="0" applyAlignment="0" applyProtection="0"/>
    <xf numFmtId="9" fontId="48" fillId="0" borderId="0" applyFont="0" applyFill="0" applyBorder="0" applyAlignment="0" applyProtection="0"/>
    <xf numFmtId="176" fontId="29" fillId="0" borderId="0" applyFont="0" applyFill="0" applyBorder="0" applyProtection="0">
      <alignment horizontal="right"/>
    </xf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6" fillId="0" borderId="0" applyFont="0" applyFill="0" applyBorder="0" applyAlignment="0" applyProtection="0"/>
    <xf numFmtId="190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9" fontId="26" fillId="37" borderId="0" applyNumberFormat="0" applyBorder="0" applyAlignment="0" applyProtection="0"/>
    <xf numFmtId="179" fontId="41" fillId="38" borderId="0" applyNumberFormat="0" applyBorder="0" applyAlignment="0" applyProtection="0">
      <alignment horizontal="right"/>
    </xf>
    <xf numFmtId="43" fontId="3" fillId="0" borderId="0" applyFont="0" applyFill="0" applyBorder="0" applyAlignment="0" applyProtection="0"/>
    <xf numFmtId="173" fontId="26" fillId="39" borderId="0" applyNumberFormat="0" applyFont="0" applyBorder="0" applyAlignment="0" applyProtection="0"/>
    <xf numFmtId="173" fontId="49" fillId="40" borderId="0" applyNumberFormat="0" applyBorder="0" applyAlignment="0" applyProtection="0"/>
    <xf numFmtId="173" fontId="26" fillId="41" borderId="0" applyNumberFormat="0" applyFont="0" applyBorder="0" applyAlignment="0" applyProtection="0"/>
    <xf numFmtId="173" fontId="26" fillId="42" borderId="0" applyNumberFormat="0" applyFont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8" fillId="5" borderId="0" applyNumberFormat="0" applyBorder="0" applyAlignment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8" fillId="5" borderId="0" applyNumberFormat="0" applyBorder="0" applyAlignment="0"/>
    <xf numFmtId="41" fontId="8" fillId="5" borderId="0" applyNumberFormat="0" applyBorder="0" applyAlignment="0"/>
    <xf numFmtId="41" fontId="8" fillId="5" borderId="0" applyNumberFormat="0" applyBorder="0" applyAlignment="0"/>
    <xf numFmtId="41" fontId="8" fillId="5" borderId="0" applyNumberFormat="0" applyBorder="0" applyAlignment="0"/>
    <xf numFmtId="41" fontId="8" fillId="5" borderId="0" applyNumberFormat="0" applyBorder="0" applyAlignment="0"/>
    <xf numFmtId="167" fontId="3" fillId="2" borderId="0" applyBorder="0" applyAlignment="0">
      <alignment horizontal="right"/>
      <protection locked="0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8" fillId="5" borderId="0" applyNumberFormat="0" applyBorder="0" applyAlignment="0"/>
    <xf numFmtId="41" fontId="8" fillId="5" borderId="0" applyNumberFormat="0" applyBorder="0" applyAlignment="0"/>
    <xf numFmtId="41" fontId="8" fillId="5" borderId="0" applyNumberFormat="0" applyBorder="0" applyAlignment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6" fillId="0" borderId="0"/>
  </cellStyleXfs>
  <cellXfs count="317">
    <xf numFmtId="0" fontId="0" fillId="0" borderId="0" xfId="0"/>
    <xf numFmtId="0" fontId="0" fillId="0" borderId="3" xfId="0" applyBorder="1" applyAlignment="1" applyProtection="1">
      <alignment horizontal="center"/>
    </xf>
    <xf numFmtId="0" fontId="12" fillId="0" borderId="0" xfId="0" applyFont="1"/>
    <xf numFmtId="0" fontId="0" fillId="0" borderId="0" xfId="0" applyAlignment="1"/>
    <xf numFmtId="0" fontId="0" fillId="0" borderId="0" xfId="0" applyFont="1" applyAlignment="1"/>
    <xf numFmtId="0" fontId="0" fillId="0" borderId="0" xfId="0" applyFill="1" applyAlignment="1"/>
    <xf numFmtId="0" fontId="0" fillId="0" borderId="0" xfId="0" applyFont="1" applyFill="1" applyAlignment="1"/>
    <xf numFmtId="0" fontId="12" fillId="0" borderId="0" xfId="0" applyFont="1" applyFill="1" applyAlignment="1"/>
    <xf numFmtId="0" fontId="18" fillId="0" borderId="0" xfId="8" applyNumberFormat="1" applyFont="1" applyFill="1" applyAlignment="1" applyProtection="1"/>
    <xf numFmtId="0" fontId="11" fillId="0" borderId="0" xfId="0" applyFont="1" applyFill="1" applyAlignment="1">
      <alignment horizontal="left" vertical="top"/>
    </xf>
    <xf numFmtId="0" fontId="13" fillId="0" borderId="0" xfId="0" applyFont="1" applyFill="1" applyAlignment="1"/>
    <xf numFmtId="0" fontId="0" fillId="0" borderId="3" xfId="0" applyFont="1" applyBorder="1" applyAlignment="1"/>
    <xf numFmtId="0" fontId="0" fillId="0" borderId="0" xfId="0" applyFont="1" applyFill="1" applyBorder="1" applyAlignment="1">
      <alignment horizontal="left" vertical="top"/>
    </xf>
    <xf numFmtId="0" fontId="15" fillId="8" borderId="0" xfId="0" applyFont="1" applyFill="1" applyBorder="1" applyAlignment="1"/>
    <xf numFmtId="0" fontId="0" fillId="8" borderId="0" xfId="0" applyFill="1" applyBorder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top"/>
    </xf>
    <xf numFmtId="0" fontId="11" fillId="8" borderId="0" xfId="0" applyFont="1" applyFill="1" applyBorder="1" applyAlignment="1"/>
    <xf numFmtId="0" fontId="0" fillId="0" borderId="0" xfId="0" applyFont="1" applyAlignment="1">
      <alignment horizontal="left"/>
    </xf>
    <xf numFmtId="4" fontId="0" fillId="4" borderId="0" xfId="6" applyFont="1" applyBorder="1" applyAlignment="1">
      <alignment horizontal="left"/>
      <protection locked="0"/>
    </xf>
    <xf numFmtId="168" fontId="7" fillId="0" borderId="0" xfId="1" applyNumberFormat="1" applyFont="1" applyFill="1" applyBorder="1" applyAlignment="1">
      <alignment horizontal="left"/>
    </xf>
    <xf numFmtId="168" fontId="8" fillId="5" borderId="0" xfId="9" applyNumberFormat="1" applyBorder="1" applyAlignment="1">
      <alignment horizontal="left"/>
    </xf>
    <xf numFmtId="168" fontId="4" fillId="0" borderId="0" xfId="4" applyNumberFormat="1" applyFont="1" applyFill="1" applyBorder="1" applyAlignment="1">
      <alignment horizontal="left"/>
    </xf>
    <xf numFmtId="168" fontId="4" fillId="0" borderId="0" xfId="1" applyNumberFormat="1" applyFont="1" applyFill="1" applyBorder="1" applyAlignment="1">
      <alignment horizontal="left"/>
    </xf>
    <xf numFmtId="168" fontId="5" fillId="0" borderId="0" xfId="5" applyNumberFormat="1" applyFont="1" applyFill="1" applyBorder="1" applyAlignment="1">
      <alignment horizontal="left"/>
    </xf>
    <xf numFmtId="168" fontId="5" fillId="0" borderId="0" xfId="1" applyNumberFormat="1" applyFont="1" applyFill="1" applyBorder="1" applyAlignment="1">
      <alignment horizontal="left"/>
    </xf>
    <xf numFmtId="168" fontId="0" fillId="0" borderId="4" xfId="1" applyNumberFormat="1" applyFont="1" applyBorder="1" applyAlignment="1">
      <alignment horizontal="left"/>
    </xf>
    <xf numFmtId="168" fontId="0" fillId="0" borderId="0" xfId="1" applyNumberFormat="1" applyFont="1" applyBorder="1" applyAlignment="1">
      <alignment horizontal="left"/>
    </xf>
    <xf numFmtId="0" fontId="7" fillId="0" borderId="0" xfId="8" applyNumberFormat="1" applyBorder="1" applyProtection="1"/>
    <xf numFmtId="0" fontId="7" fillId="0" borderId="5" xfId="8" applyNumberFormat="1" applyBorder="1" applyProtection="1"/>
    <xf numFmtId="9" fontId="3" fillId="4" borderId="0" xfId="20" applyFill="1" applyBorder="1" applyAlignment="1" applyProtection="1">
      <protection locked="0"/>
    </xf>
    <xf numFmtId="0" fontId="14" fillId="0" borderId="3" xfId="11" applyBorder="1" applyAlignment="1"/>
    <xf numFmtId="0" fontId="0" fillId="0" borderId="0" xfId="0" applyProtection="1"/>
    <xf numFmtId="0" fontId="13" fillId="0" borderId="0" xfId="0" applyFont="1" applyProtection="1"/>
    <xf numFmtId="0" fontId="0" fillId="0" borderId="0" xfId="0" applyProtection="1">
      <protection locked="0"/>
    </xf>
    <xf numFmtId="0" fontId="10" fillId="0" borderId="0" xfId="0" applyFont="1" applyProtection="1"/>
    <xf numFmtId="0" fontId="0" fillId="0" borderId="1" xfId="0" applyBorder="1" applyProtection="1"/>
    <xf numFmtId="0" fontId="0" fillId="0" borderId="1" xfId="0" applyBorder="1" applyAlignment="1" applyProtection="1">
      <alignment horizontal="right"/>
    </xf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0" fillId="0" borderId="6" xfId="0" applyBorder="1" applyProtection="1"/>
    <xf numFmtId="0" fontId="0" fillId="0" borderId="2" xfId="0" applyBorder="1" applyProtection="1"/>
    <xf numFmtId="0" fontId="0" fillId="0" borderId="7" xfId="0" applyBorder="1" applyProtection="1"/>
    <xf numFmtId="0" fontId="0" fillId="0" borderId="5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13" fillId="0" borderId="2" xfId="0" applyFont="1" applyBorder="1" applyProtection="1"/>
    <xf numFmtId="0" fontId="0" fillId="0" borderId="0" xfId="0" applyBorder="1" applyAlignment="1" applyProtection="1">
      <alignment horizontal="center"/>
    </xf>
    <xf numFmtId="0" fontId="13" fillId="0" borderId="5" xfId="0" applyFont="1" applyBorder="1" applyProtection="1"/>
    <xf numFmtId="0" fontId="0" fillId="0" borderId="0" xfId="0" applyFill="1" applyBorder="1" applyProtection="1"/>
    <xf numFmtId="0" fontId="0" fillId="6" borderId="2" xfId="0" applyFill="1" applyBorder="1" applyProtection="1"/>
    <xf numFmtId="9" fontId="3" fillId="0" borderId="2" xfId="20" applyFill="1" applyBorder="1" applyAlignment="1" applyProtection="1"/>
    <xf numFmtId="0" fontId="0" fillId="6" borderId="0" xfId="0" applyFill="1" applyBorder="1" applyProtection="1"/>
    <xf numFmtId="0" fontId="0" fillId="0" borderId="0" xfId="0" applyFill="1" applyProtection="1"/>
    <xf numFmtId="0" fontId="13" fillId="0" borderId="2" xfId="0" applyFont="1" applyFill="1" applyBorder="1" applyProtection="1"/>
    <xf numFmtId="0" fontId="0" fillId="0" borderId="1" xfId="0" applyFill="1" applyBorder="1" applyProtection="1"/>
    <xf numFmtId="0" fontId="0" fillId="0" borderId="3" xfId="0" applyFill="1" applyBorder="1" applyProtection="1"/>
    <xf numFmtId="4" fontId="0" fillId="0" borderId="0" xfId="0" applyNumberFormat="1" applyBorder="1" applyProtection="1"/>
    <xf numFmtId="167" fontId="0" fillId="0" borderId="0" xfId="0" applyNumberFormat="1" applyProtection="1"/>
    <xf numFmtId="0" fontId="10" fillId="6" borderId="0" xfId="0" applyFont="1" applyFill="1" applyProtection="1"/>
    <xf numFmtId="0" fontId="0" fillId="6" borderId="0" xfId="0" applyFill="1" applyProtection="1"/>
    <xf numFmtId="0" fontId="13" fillId="6" borderId="0" xfId="0" applyFont="1" applyFill="1" applyProtection="1"/>
    <xf numFmtId="0" fontId="0" fillId="0" borderId="6" xfId="0" applyFont="1" applyBorder="1" applyProtection="1"/>
    <xf numFmtId="0" fontId="0" fillId="0" borderId="2" xfId="0" applyFont="1" applyBorder="1" applyProtection="1"/>
    <xf numFmtId="0" fontId="0" fillId="6" borderId="7" xfId="0" applyFill="1" applyBorder="1" applyProtection="1"/>
    <xf numFmtId="0" fontId="13" fillId="6" borderId="5" xfId="0" applyFont="1" applyFill="1" applyBorder="1" applyProtection="1"/>
    <xf numFmtId="0" fontId="13" fillId="6" borderId="0" xfId="0" applyFont="1" applyFill="1" applyBorder="1" applyAlignment="1" applyProtection="1">
      <alignment horizontal="right"/>
    </xf>
    <xf numFmtId="0" fontId="0" fillId="6" borderId="8" xfId="0" applyFill="1" applyBorder="1" applyProtection="1"/>
    <xf numFmtId="0" fontId="0" fillId="6" borderId="0" xfId="0" applyFont="1" applyFill="1" applyBorder="1" applyAlignment="1" applyProtection="1">
      <alignment horizontal="left"/>
    </xf>
    <xf numFmtId="0" fontId="13" fillId="6" borderId="1" xfId="0" applyFont="1" applyFill="1" applyBorder="1" applyAlignment="1" applyProtection="1">
      <alignment horizontal="right"/>
    </xf>
    <xf numFmtId="0" fontId="13" fillId="0" borderId="1" xfId="0" applyFont="1" applyFill="1" applyBorder="1" applyAlignment="1" applyProtection="1">
      <alignment horizontal="right"/>
    </xf>
    <xf numFmtId="0" fontId="0" fillId="6" borderId="10" xfId="0" applyFill="1" applyBorder="1" applyProtection="1"/>
    <xf numFmtId="0" fontId="13" fillId="0" borderId="0" xfId="0" applyFont="1" applyFill="1" applyBorder="1" applyAlignment="1" applyProtection="1">
      <alignment horizontal="right"/>
    </xf>
    <xf numFmtId="0" fontId="0" fillId="6" borderId="1" xfId="0" applyFill="1" applyBorder="1" applyProtection="1"/>
    <xf numFmtId="0" fontId="0" fillId="0" borderId="0" xfId="0" applyFont="1" applyBorder="1" applyProtection="1"/>
    <xf numFmtId="0" fontId="0" fillId="6" borderId="5" xfId="0" applyFill="1" applyBorder="1" applyProtection="1"/>
    <xf numFmtId="0" fontId="0" fillId="6" borderId="9" xfId="0" applyFill="1" applyBorder="1" applyProtection="1"/>
    <xf numFmtId="0" fontId="0" fillId="0" borderId="5" xfId="0" applyFont="1" applyBorder="1" applyProtection="1"/>
    <xf numFmtId="0" fontId="36" fillId="0" borderId="5" xfId="4" applyNumberFormat="1" applyBorder="1" applyAlignment="1" applyProtection="1"/>
    <xf numFmtId="4" fontId="36" fillId="0" borderId="0" xfId="4" applyNumberFormat="1" applyFill="1" applyBorder="1" applyAlignment="1" applyProtection="1"/>
    <xf numFmtId="0" fontId="0" fillId="0" borderId="0" xfId="0" applyAlignment="1" applyProtection="1"/>
    <xf numFmtId="0" fontId="36" fillId="0" borderId="0" xfId="4" applyNumberFormat="1" applyBorder="1" applyAlignment="1" applyProtection="1"/>
    <xf numFmtId="4" fontId="36" fillId="0" borderId="0" xfId="4" applyNumberFormat="1" applyBorder="1" applyAlignment="1" applyProtection="1"/>
    <xf numFmtId="0" fontId="19" fillId="0" borderId="5" xfId="0" applyFont="1" applyBorder="1" applyProtection="1"/>
    <xf numFmtId="4" fontId="0" fillId="0" borderId="0" xfId="0" applyNumberFormat="1" applyFill="1" applyBorder="1" applyProtection="1"/>
    <xf numFmtId="3" fontId="0" fillId="0" borderId="0" xfId="0" applyNumberFormat="1" applyBorder="1" applyProtection="1"/>
    <xf numFmtId="4" fontId="0" fillId="0" borderId="1" xfId="0" applyNumberFormat="1" applyFill="1" applyBorder="1" applyProtection="1"/>
    <xf numFmtId="0" fontId="0" fillId="6" borderId="3" xfId="0" applyFill="1" applyBorder="1" applyProtection="1"/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171" fontId="3" fillId="0" borderId="0" xfId="1" applyNumberFormat="1" applyFill="1" applyBorder="1" applyAlignment="1" applyProtection="1"/>
    <xf numFmtId="0" fontId="0" fillId="0" borderId="0" xfId="0" applyBorder="1" applyAlignment="1" applyProtection="1">
      <alignment horizontal="righ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13" fillId="0" borderId="0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9" fontId="0" fillId="0" borderId="0" xfId="0" applyNumberFormat="1" applyBorder="1" applyProtection="1">
      <protection locked="0"/>
    </xf>
    <xf numFmtId="0" fontId="19" fillId="0" borderId="0" xfId="0" applyFont="1" applyBorder="1" applyAlignment="1" applyProtection="1">
      <protection locked="0"/>
    </xf>
    <xf numFmtId="0" fontId="0" fillId="0" borderId="1" xfId="0" applyBorder="1" applyAlignment="1" applyProtection="1">
      <alignment vertical="center"/>
    </xf>
    <xf numFmtId="4" fontId="3" fillId="4" borderId="0" xfId="6" applyBorder="1" applyAlignment="1">
      <protection locked="0"/>
    </xf>
    <xf numFmtId="9" fontId="3" fillId="4" borderId="0" xfId="20" applyFill="1" applyBorder="1" applyAlignment="1" applyProtection="1">
      <protection locked="0"/>
    </xf>
    <xf numFmtId="4" fontId="3" fillId="4" borderId="0" xfId="6" applyBorder="1" applyAlignment="1" applyProtection="1">
      <protection locked="0"/>
    </xf>
    <xf numFmtId="4" fontId="3" fillId="0" borderId="0" xfId="6" applyFill="1" applyBorder="1" applyAlignment="1" applyProtection="1">
      <protection locked="0"/>
    </xf>
    <xf numFmtId="4" fontId="0" fillId="0" borderId="0" xfId="0" applyNumberFormat="1" applyProtection="1"/>
    <xf numFmtId="0" fontId="0" fillId="6" borderId="0" xfId="0" applyFill="1" applyProtection="1"/>
    <xf numFmtId="0" fontId="19" fillId="0" borderId="0" xfId="0" applyFont="1" applyBorder="1" applyProtection="1">
      <protection locked="0"/>
    </xf>
    <xf numFmtId="0" fontId="19" fillId="0" borderId="0" xfId="0" applyFont="1" applyBorder="1" applyProtection="1"/>
    <xf numFmtId="4" fontId="0" fillId="6" borderId="0" xfId="0" applyNumberFormat="1" applyFill="1" applyProtection="1"/>
    <xf numFmtId="0" fontId="0" fillId="0" borderId="0" xfId="0" applyProtection="1"/>
    <xf numFmtId="3" fontId="3" fillId="4" borderId="0" xfId="6" applyNumberFormat="1" applyBorder="1" applyAlignment="1">
      <protection locked="0"/>
    </xf>
    <xf numFmtId="3" fontId="3" fillId="0" borderId="0" xfId="6" applyNumberFormat="1" applyFill="1" applyBorder="1" applyAlignment="1">
      <protection locked="0"/>
    </xf>
    <xf numFmtId="9" fontId="3" fillId="4" borderId="0" xfId="7" applyNumberFormat="1" applyBorder="1" applyAlignment="1">
      <protection locked="0"/>
    </xf>
    <xf numFmtId="0" fontId="0" fillId="0" borderId="0" xfId="0" applyBorder="1" applyAlignment="1" applyProtection="1">
      <alignment vertical="center"/>
    </xf>
    <xf numFmtId="0" fontId="19" fillId="0" borderId="0" xfId="0" applyFont="1" applyProtection="1"/>
    <xf numFmtId="4" fontId="3" fillId="4" borderId="0" xfId="6" applyBorder="1" applyAlignment="1">
      <alignment horizontal="right"/>
      <protection locked="0"/>
    </xf>
    <xf numFmtId="4" fontId="3" fillId="0" borderId="0" xfId="6" applyFill="1" applyBorder="1" applyAlignment="1">
      <alignment horizontal="right"/>
      <protection locked="0"/>
    </xf>
    <xf numFmtId="0" fontId="13" fillId="0" borderId="0" xfId="0" applyFont="1" applyBorder="1" applyProtection="1"/>
    <xf numFmtId="0" fontId="0" fillId="25" borderId="0" xfId="0" applyFill="1" applyProtection="1"/>
    <xf numFmtId="0" fontId="12" fillId="25" borderId="0" xfId="0" applyFont="1" applyFill="1" applyProtection="1"/>
    <xf numFmtId="0" fontId="0" fillId="0" borderId="0" xfId="0" applyFont="1" applyFill="1" applyBorder="1" applyAlignment="1">
      <alignment horizontal="right" vertical="top"/>
    </xf>
    <xf numFmtId="0" fontId="0" fillId="0" borderId="0" xfId="0" quotePrefix="1" applyFont="1" applyFill="1" applyBorder="1" applyAlignment="1">
      <alignment horizontal="right" vertical="top"/>
    </xf>
    <xf numFmtId="0" fontId="35" fillId="0" borderId="0" xfId="0" applyFont="1" applyFill="1" applyBorder="1" applyAlignment="1">
      <alignment horizontal="left" vertical="top"/>
    </xf>
    <xf numFmtId="168" fontId="8" fillId="5" borderId="0" xfId="9" applyNumberFormat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3" fillId="0" borderId="2" xfId="0" applyFont="1" applyBorder="1" applyAlignment="1" applyProtection="1">
      <alignment horizontal="right"/>
      <protection locked="0"/>
    </xf>
    <xf numFmtId="0" fontId="13" fillId="0" borderId="3" xfId="0" applyFont="1" applyBorder="1" applyAlignment="1" applyProtection="1">
      <alignment horizontal="right"/>
    </xf>
    <xf numFmtId="0" fontId="13" fillId="0" borderId="2" xfId="0" applyFont="1" applyBorder="1" applyAlignment="1" applyProtection="1">
      <alignment horizontal="right"/>
    </xf>
    <xf numFmtId="0" fontId="7" fillId="6" borderId="3" xfId="8" applyNumberFormat="1" applyFill="1" applyBorder="1" applyAlignment="1" applyProtection="1">
      <alignment horizontal="right"/>
    </xf>
    <xf numFmtId="0" fontId="3" fillId="6" borderId="3" xfId="8" applyNumberFormat="1" applyFont="1" applyFill="1" applyBorder="1" applyAlignment="1" applyProtection="1">
      <alignment horizontal="right"/>
    </xf>
    <xf numFmtId="0" fontId="13" fillId="0" borderId="2" xfId="0" applyFont="1" applyFill="1" applyBorder="1" applyAlignment="1" applyProtection="1">
      <alignment horizontal="right"/>
    </xf>
    <xf numFmtId="0" fontId="3" fillId="0" borderId="3" xfId="8" applyNumberFormat="1" applyFont="1" applyFill="1" applyBorder="1" applyAlignment="1" applyProtection="1">
      <alignment horizontal="right"/>
    </xf>
    <xf numFmtId="0" fontId="13" fillId="0" borderId="12" xfId="0" applyFont="1" applyFill="1" applyBorder="1" applyAlignment="1" applyProtection="1">
      <alignment horizontal="right"/>
    </xf>
    <xf numFmtId="0" fontId="3" fillId="6" borderId="0" xfId="8" applyNumberFormat="1" applyFont="1" applyFill="1" applyBorder="1" applyAlignment="1" applyProtection="1">
      <alignment horizontal="right"/>
    </xf>
    <xf numFmtId="2" fontId="0" fillId="0" borderId="0" xfId="0" applyNumberFormat="1" applyBorder="1" applyProtection="1"/>
    <xf numFmtId="0" fontId="0" fillId="0" borderId="0" xfId="0" applyAlignment="1" applyProtection="1">
      <alignment horizontal="right"/>
    </xf>
    <xf numFmtId="0" fontId="13" fillId="0" borderId="2" xfId="0" applyFont="1" applyBorder="1" applyAlignment="1" applyProtection="1">
      <alignment horizontal="right" wrapText="1"/>
    </xf>
    <xf numFmtId="0" fontId="0" fillId="0" borderId="0" xfId="0" applyFill="1" applyBorder="1" applyAlignment="1" applyProtection="1">
      <alignment horizontal="right"/>
    </xf>
    <xf numFmtId="0" fontId="0" fillId="0" borderId="2" xfId="0" applyBorder="1" applyAlignment="1" applyProtection="1">
      <alignment horizontal="right"/>
    </xf>
    <xf numFmtId="0" fontId="7" fillId="0" borderId="2" xfId="8" applyNumberFormat="1" applyBorder="1" applyAlignment="1" applyProtection="1">
      <alignment horizontal="right"/>
    </xf>
    <xf numFmtId="0" fontId="0" fillId="0" borderId="7" xfId="0" applyBorder="1" applyAlignment="1" applyProtection="1">
      <alignment horizontal="right"/>
    </xf>
    <xf numFmtId="0" fontId="13" fillId="0" borderId="11" xfId="0" applyFont="1" applyBorder="1" applyAlignment="1" applyProtection="1">
      <alignment horizontal="right"/>
    </xf>
    <xf numFmtId="0" fontId="3" fillId="0" borderId="3" xfId="8" applyNumberFormat="1" applyFont="1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13" fillId="0" borderId="0" xfId="0" applyFont="1" applyBorder="1" applyAlignment="1" applyProtection="1">
      <alignment horizontal="right"/>
      <protection locked="0"/>
    </xf>
    <xf numFmtId="0" fontId="0" fillId="0" borderId="2" xfId="0" applyFont="1" applyBorder="1" applyAlignment="1" applyProtection="1">
      <alignment horizontal="right"/>
      <protection locked="0"/>
    </xf>
    <xf numFmtId="0" fontId="7" fillId="0" borderId="3" xfId="8" applyNumberFormat="1" applyFill="1" applyBorder="1" applyAlignment="1" applyProtection="1">
      <alignment horizontal="right"/>
      <protection locked="0"/>
    </xf>
    <xf numFmtId="0" fontId="7" fillId="0" borderId="0" xfId="8" applyNumberFormat="1" applyBorder="1" applyAlignment="1" applyProtection="1">
      <alignment horizontal="right"/>
      <protection locked="0"/>
    </xf>
    <xf numFmtId="0" fontId="7" fillId="0" borderId="3" xfId="8" applyNumberFormat="1" applyBorder="1" applyAlignment="1" applyProtection="1">
      <alignment horizontal="right"/>
      <protection locked="0"/>
    </xf>
    <xf numFmtId="0" fontId="37" fillId="0" borderId="2" xfId="0" applyFont="1" applyBorder="1" applyAlignment="1" applyProtection="1">
      <alignment horizontal="right"/>
      <protection locked="0"/>
    </xf>
    <xf numFmtId="0" fontId="0" fillId="0" borderId="0" xfId="0" applyBorder="1" applyAlignment="1" applyProtection="1"/>
    <xf numFmtId="0" fontId="0" fillId="0" borderId="1" xfId="0" applyBorder="1" applyAlignment="1" applyProtection="1"/>
    <xf numFmtId="0" fontId="13" fillId="0" borderId="0" xfId="0" applyFont="1" applyBorder="1" applyAlignment="1" applyProtection="1">
      <alignment horizontal="right"/>
    </xf>
    <xf numFmtId="0" fontId="0" fillId="0" borderId="2" xfId="0" applyFont="1" applyFill="1" applyBorder="1" applyAlignment="1" applyProtection="1"/>
    <xf numFmtId="0" fontId="0" fillId="0" borderId="2" xfId="0" applyBorder="1" applyAlignment="1" applyProtection="1"/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horizontal="right"/>
    </xf>
    <xf numFmtId="0" fontId="7" fillId="0" borderId="3" xfId="8" applyNumberFormat="1" applyBorder="1" applyAlignment="1" applyProtection="1">
      <alignment horizontal="right"/>
    </xf>
    <xf numFmtId="0" fontId="0" fillId="0" borderId="1" xfId="0" applyFill="1" applyBorder="1" applyAlignment="1" applyProtection="1"/>
    <xf numFmtId="0" fontId="0" fillId="0" borderId="0" xfId="0" applyFont="1" applyBorder="1" applyAlignment="1" applyProtection="1">
      <alignment horizontal="right" wrapText="1"/>
    </xf>
    <xf numFmtId="43" fontId="3" fillId="6" borderId="8" xfId="1" applyFont="1" applyFill="1" applyBorder="1" applyAlignment="1" applyProtection="1"/>
    <xf numFmtId="0" fontId="0" fillId="0" borderId="0" xfId="0" applyBorder="1" applyAlignment="1" applyProtection="1">
      <alignment horizontal="right" wrapText="1"/>
    </xf>
    <xf numFmtId="0" fontId="0" fillId="6" borderId="0" xfId="0" applyFill="1" applyBorder="1" applyAlignment="1" applyProtection="1">
      <alignment horizontal="right"/>
    </xf>
    <xf numFmtId="3" fontId="3" fillId="0" borderId="0" xfId="30" applyNumberFormat="1" applyFill="1" applyBorder="1" applyAlignment="1" applyProtection="1">
      <alignment horizontal="right"/>
    </xf>
    <xf numFmtId="0" fontId="3" fillId="0" borderId="2" xfId="11" applyFont="1" applyBorder="1" applyProtection="1"/>
    <xf numFmtId="0" fontId="0" fillId="0" borderId="2" xfId="0" applyBorder="1" applyProtection="1">
      <protection locked="0"/>
    </xf>
    <xf numFmtId="0" fontId="3" fillId="0" borderId="0" xfId="11" applyFont="1" applyBorder="1" applyProtection="1"/>
    <xf numFmtId="180" fontId="0" fillId="6" borderId="0" xfId="0" applyNumberFormat="1" applyFill="1" applyBorder="1" applyProtection="1"/>
    <xf numFmtId="180" fontId="0" fillId="0" borderId="0" xfId="0" applyNumberFormat="1" applyFill="1" applyBorder="1" applyProtection="1"/>
    <xf numFmtId="0" fontId="0" fillId="0" borderId="0" xfId="0" applyFill="1" applyAlignment="1">
      <alignment wrapText="1"/>
    </xf>
    <xf numFmtId="0" fontId="13" fillId="0" borderId="7" xfId="0" applyFont="1" applyBorder="1" applyAlignment="1" applyProtection="1">
      <alignment horizontal="right"/>
      <protection locked="0"/>
    </xf>
    <xf numFmtId="0" fontId="13" fillId="0" borderId="8" xfId="0" applyFont="1" applyBorder="1" applyAlignment="1" applyProtection="1">
      <alignment horizontal="right"/>
      <protection locked="0"/>
    </xf>
    <xf numFmtId="0" fontId="0" fillId="15" borderId="3" xfId="8" applyNumberFormat="1" applyFont="1" applyFill="1" applyBorder="1" applyAlignment="1" applyProtection="1">
      <alignment horizontal="right"/>
      <protection locked="0"/>
    </xf>
    <xf numFmtId="0" fontId="13" fillId="0" borderId="2" xfId="0" applyFont="1" applyFill="1" applyBorder="1" applyAlignment="1" applyProtection="1">
      <alignment horizontal="right" wrapText="1"/>
    </xf>
    <xf numFmtId="0" fontId="13" fillId="0" borderId="0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171" fontId="3" fillId="0" borderId="0" xfId="1" applyNumberFormat="1" applyFill="1" applyBorder="1" applyAlignment="1" applyProtection="1">
      <alignment horizontal="right"/>
    </xf>
    <xf numFmtId="0" fontId="0" fillId="0" borderId="1" xfId="0" applyFill="1" applyBorder="1" applyAlignment="1" applyProtection="1">
      <alignment horizontal="right"/>
    </xf>
    <xf numFmtId="3" fontId="0" fillId="0" borderId="0" xfId="0" applyNumberFormat="1" applyFill="1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0" fontId="0" fillId="0" borderId="0" xfId="0" applyFill="1" applyAlignment="1">
      <alignment vertical="top"/>
    </xf>
    <xf numFmtId="171" fontId="0" fillId="0" borderId="0" xfId="200" applyNumberFormat="1" applyFont="1" applyFill="1" applyBorder="1"/>
    <xf numFmtId="166" fontId="0" fillId="0" borderId="0" xfId="20" applyNumberFormat="1" applyFont="1" applyBorder="1" applyProtection="1"/>
    <xf numFmtId="10" fontId="0" fillId="0" borderId="8" xfId="20" applyNumberFormat="1" applyFont="1" applyBorder="1" applyProtection="1">
      <protection locked="0"/>
    </xf>
    <xf numFmtId="43" fontId="3" fillId="6" borderId="0" xfId="1" applyFont="1" applyFill="1" applyBorder="1" applyAlignment="1" applyProtection="1"/>
    <xf numFmtId="2" fontId="0" fillId="6" borderId="0" xfId="0" applyNumberFormat="1" applyFill="1" applyBorder="1" applyProtection="1"/>
    <xf numFmtId="191" fontId="0" fillId="6" borderId="0" xfId="20" applyNumberFormat="1" applyFont="1" applyFill="1" applyProtection="1"/>
    <xf numFmtId="0" fontId="0" fillId="6" borderId="3" xfId="8" applyNumberFormat="1" applyFont="1" applyFill="1" applyBorder="1" applyAlignment="1" applyProtection="1">
      <alignment horizontal="right"/>
    </xf>
    <xf numFmtId="0" fontId="0" fillId="0" borderId="24" xfId="0" applyFill="1" applyBorder="1" applyProtection="1"/>
    <xf numFmtId="0" fontId="3" fillId="0" borderId="0" xfId="8" applyNumberFormat="1" applyFont="1" applyFill="1" applyBorder="1" applyAlignment="1" applyProtection="1">
      <alignment horizontal="right"/>
    </xf>
    <xf numFmtId="0" fontId="13" fillId="0" borderId="24" xfId="0" applyFont="1" applyFill="1" applyBorder="1" applyAlignment="1" applyProtection="1">
      <alignment horizontal="right"/>
    </xf>
    <xf numFmtId="0" fontId="0" fillId="6" borderId="24" xfId="0" applyFill="1" applyBorder="1" applyProtection="1"/>
    <xf numFmtId="10" fontId="3" fillId="4" borderId="0" xfId="20" applyNumberFormat="1" applyFill="1" applyBorder="1" applyAlignment="1" applyProtection="1">
      <protection locked="0"/>
    </xf>
    <xf numFmtId="166" fontId="3" fillId="6" borderId="0" xfId="20" applyNumberFormat="1" applyFont="1" applyFill="1" applyBorder="1" applyAlignment="1" applyProtection="1">
      <protection locked="0"/>
    </xf>
    <xf numFmtId="4" fontId="3" fillId="6" borderId="0" xfId="6" applyFill="1" applyBorder="1" applyAlignment="1">
      <alignment horizontal="right"/>
      <protection locked="0"/>
    </xf>
    <xf numFmtId="166" fontId="3" fillId="6" borderId="0" xfId="1" applyNumberFormat="1" applyFont="1" applyFill="1" applyBorder="1" applyAlignment="1" applyProtection="1"/>
    <xf numFmtId="166" fontId="0" fillId="0" borderId="0" xfId="0" applyNumberFormat="1" applyBorder="1" applyProtection="1"/>
    <xf numFmtId="0" fontId="0" fillId="0" borderId="2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 wrapText="1"/>
    </xf>
    <xf numFmtId="0" fontId="7" fillId="0" borderId="3" xfId="8" applyNumberFormat="1" applyFill="1" applyBorder="1" applyAlignment="1" applyProtection="1">
      <alignment horizontal="right"/>
    </xf>
    <xf numFmtId="0" fontId="7" fillId="0" borderId="0" xfId="8" applyNumberFormat="1" applyFill="1" applyBorder="1" applyAlignment="1" applyProtection="1">
      <alignment horizontal="right"/>
    </xf>
    <xf numFmtId="4" fontId="3" fillId="0" borderId="0" xfId="9" applyNumberFormat="1" applyFont="1" applyFill="1" applyBorder="1" applyAlignment="1" applyProtection="1"/>
    <xf numFmtId="0" fontId="0" fillId="0" borderId="3" xfId="0" applyFont="1" applyFill="1" applyBorder="1" applyAlignment="1" applyProtection="1">
      <alignment horizontal="right"/>
    </xf>
    <xf numFmtId="4" fontId="0" fillId="0" borderId="0" xfId="0" applyNumberFormat="1" applyFill="1" applyProtection="1"/>
    <xf numFmtId="2" fontId="0" fillId="0" borderId="0" xfId="0" applyNumberFormat="1" applyFill="1" applyProtection="1"/>
    <xf numFmtId="4" fontId="7" fillId="0" borderId="0" xfId="8" applyNumberFormat="1" applyFill="1" applyBorder="1" applyProtection="1"/>
    <xf numFmtId="4" fontId="7" fillId="6" borderId="0" xfId="8" applyNumberFormat="1" applyFill="1" applyBorder="1" applyProtection="1"/>
    <xf numFmtId="4" fontId="3" fillId="0" borderId="0" xfId="6" applyFill="1" applyBorder="1" applyAlignment="1" applyProtection="1"/>
    <xf numFmtId="3" fontId="3" fillId="0" borderId="0" xfId="6" applyNumberFormat="1" applyFill="1" applyBorder="1" applyAlignment="1" applyProtection="1"/>
    <xf numFmtId="0" fontId="0" fillId="0" borderId="0" xfId="0" applyFill="1" applyBorder="1" applyProtection="1"/>
    <xf numFmtId="0" fontId="0" fillId="6" borderId="2" xfId="0" applyFill="1" applyBorder="1" applyProtection="1"/>
    <xf numFmtId="0" fontId="0" fillId="6" borderId="0" xfId="0" applyFill="1" applyBorder="1" applyProtection="1"/>
    <xf numFmtId="0" fontId="0" fillId="0" borderId="0" xfId="0" applyFill="1" applyProtection="1"/>
    <xf numFmtId="0" fontId="13" fillId="0" borderId="2" xfId="0" applyFont="1" applyFill="1" applyBorder="1" applyProtection="1"/>
    <xf numFmtId="0" fontId="0" fillId="0" borderId="3" xfId="0" applyFill="1" applyBorder="1" applyProtection="1"/>
    <xf numFmtId="0" fontId="0" fillId="6" borderId="0" xfId="0" applyFill="1" applyProtection="1"/>
    <xf numFmtId="0" fontId="0" fillId="6" borderId="5" xfId="0" applyFill="1" applyBorder="1" applyProtection="1"/>
    <xf numFmtId="0" fontId="0" fillId="6" borderId="9" xfId="0" applyFill="1" applyBorder="1" applyProtection="1"/>
    <xf numFmtId="4" fontId="36" fillId="0" borderId="0" xfId="4" applyNumberFormat="1" applyFill="1" applyBorder="1" applyAlignment="1" applyProtection="1"/>
    <xf numFmtId="0" fontId="0" fillId="0" borderId="0" xfId="0" applyFill="1" applyAlignment="1" applyProtection="1">
      <alignment wrapText="1"/>
    </xf>
    <xf numFmtId="4" fontId="0" fillId="0" borderId="0" xfId="0" applyNumberFormat="1" applyFill="1" applyBorder="1" applyProtection="1"/>
    <xf numFmtId="9" fontId="0" fillId="0" borderId="0" xfId="20" applyFont="1" applyFill="1" applyBorder="1" applyProtection="1"/>
    <xf numFmtId="3" fontId="3" fillId="0" borderId="13" xfId="6" applyNumberFormat="1" applyFill="1" applyBorder="1" applyAlignment="1" applyProtection="1"/>
    <xf numFmtId="0" fontId="36" fillId="6" borderId="5" xfId="4" applyNumberFormat="1" applyFill="1" applyBorder="1" applyAlignment="1" applyProtection="1"/>
    <xf numFmtId="4" fontId="36" fillId="6" borderId="0" xfId="4" applyNumberFormat="1" applyFill="1" applyBorder="1" applyAlignment="1" applyProtection="1"/>
    <xf numFmtId="0" fontId="36" fillId="0" borderId="0" xfId="4" applyNumberFormat="1" applyFill="1" applyBorder="1" applyAlignment="1" applyProtection="1"/>
    <xf numFmtId="3" fontId="0" fillId="0" borderId="0" xfId="0" applyNumberFormat="1" applyFill="1" applyBorder="1" applyProtection="1"/>
    <xf numFmtId="166" fontId="3" fillId="0" borderId="0" xfId="20" applyNumberFormat="1" applyFill="1" applyBorder="1" applyAlignment="1" applyProtection="1"/>
    <xf numFmtId="0" fontId="0" fillId="0" borderId="5" xfId="0" applyFill="1" applyBorder="1" applyProtection="1"/>
    <xf numFmtId="0" fontId="13" fillId="0" borderId="2" xfId="0" applyFont="1" applyFill="1" applyBorder="1" applyAlignment="1" applyProtection="1">
      <alignment horizontal="right"/>
    </xf>
    <xf numFmtId="4" fontId="3" fillId="0" borderId="18" xfId="30" applyNumberFormat="1" applyFill="1" applyBorder="1" applyAlignment="1" applyProtection="1"/>
    <xf numFmtId="0" fontId="0" fillId="0" borderId="0" xfId="0" applyFill="1" applyBorder="1" applyAlignment="1" applyProtection="1">
      <alignment horizontal="right"/>
    </xf>
    <xf numFmtId="0" fontId="20" fillId="6" borderId="5" xfId="0" quotePrefix="1" applyFont="1" applyFill="1" applyBorder="1" applyProtection="1"/>
    <xf numFmtId="0" fontId="0" fillId="0" borderId="0" xfId="0" applyFont="1" applyFill="1" applyBorder="1" applyAlignment="1" applyProtection="1">
      <alignment horizontal="right" wrapText="1"/>
    </xf>
    <xf numFmtId="0" fontId="0" fillId="0" borderId="3" xfId="0" applyFill="1" applyBorder="1" applyAlignment="1" applyProtection="1">
      <alignment horizontal="right"/>
    </xf>
    <xf numFmtId="0" fontId="0" fillId="0" borderId="2" xfId="0" applyFill="1" applyBorder="1" applyAlignment="1" applyProtection="1"/>
    <xf numFmtId="0" fontId="0" fillId="0" borderId="0" xfId="0" applyFill="1" applyBorder="1" applyAlignment="1" applyProtection="1"/>
    <xf numFmtId="0" fontId="16" fillId="0" borderId="0" xfId="14" applyFill="1" applyBorder="1" applyProtection="1"/>
    <xf numFmtId="3" fontId="3" fillId="0" borderId="0" xfId="30" applyNumberFormat="1" applyFill="1" applyBorder="1" applyAlignment="1" applyProtection="1"/>
    <xf numFmtId="4" fontId="7" fillId="0" borderId="0" xfId="30" applyNumberFormat="1" applyFont="1" applyFill="1" applyBorder="1" applyAlignment="1" applyProtection="1"/>
    <xf numFmtId="166" fontId="3" fillId="0" borderId="0" xfId="20" applyNumberFormat="1" applyFill="1" applyBorder="1" applyAlignment="1" applyProtection="1">
      <alignment horizontal="right"/>
    </xf>
    <xf numFmtId="3" fontId="3" fillId="0" borderId="0" xfId="6" applyNumberFormat="1" applyFill="1" applyBorder="1" applyAlignment="1" applyProtection="1">
      <alignment horizontal="right"/>
    </xf>
    <xf numFmtId="0" fontId="39" fillId="6" borderId="0" xfId="0" applyFont="1" applyFill="1" applyBorder="1" applyProtection="1"/>
    <xf numFmtId="166" fontId="0" fillId="0" borderId="0" xfId="20" applyNumberFormat="1" applyFont="1" applyFill="1" applyBorder="1" applyAlignment="1" applyProtection="1">
      <alignment horizontal="right"/>
    </xf>
    <xf numFmtId="4" fontId="36" fillId="0" borderId="0" xfId="4" applyNumberFormat="1" applyFill="1" applyBorder="1" applyAlignment="1" applyProtection="1">
      <alignment horizontal="right"/>
    </xf>
    <xf numFmtId="3" fontId="0" fillId="0" borderId="0" xfId="0" applyNumberFormat="1" applyFill="1" applyBorder="1" applyAlignment="1" applyProtection="1">
      <alignment horizontal="right"/>
    </xf>
    <xf numFmtId="0" fontId="0" fillId="0" borderId="24" xfId="0" applyFill="1" applyBorder="1" applyAlignment="1" applyProtection="1">
      <alignment horizontal="right"/>
    </xf>
    <xf numFmtId="0" fontId="0" fillId="0" borderId="0" xfId="0" applyFill="1" applyAlignment="1" applyProtection="1">
      <alignment horizontal="right"/>
    </xf>
    <xf numFmtId="9" fontId="0" fillId="0" borderId="0" xfId="20" applyFont="1" applyFill="1" applyBorder="1" applyAlignment="1" applyProtection="1">
      <alignment horizontal="right"/>
    </xf>
    <xf numFmtId="4" fontId="0" fillId="0" borderId="0" xfId="0" applyNumberFormat="1" applyFill="1" applyBorder="1" applyAlignment="1" applyProtection="1">
      <alignment horizontal="right"/>
    </xf>
    <xf numFmtId="4" fontId="7" fillId="0" borderId="0" xfId="8" applyNumberFormat="1" applyFill="1" applyBorder="1" applyAlignment="1" applyProtection="1">
      <alignment horizontal="right"/>
    </xf>
    <xf numFmtId="3" fontId="3" fillId="0" borderId="13" xfId="6" applyNumberFormat="1" applyFill="1" applyBorder="1" applyAlignment="1" applyProtection="1">
      <alignment horizontal="right"/>
    </xf>
    <xf numFmtId="4" fontId="3" fillId="0" borderId="0" xfId="6" applyFill="1" applyBorder="1" applyAlignment="1" applyProtection="1">
      <alignment horizontal="right"/>
    </xf>
    <xf numFmtId="0" fontId="36" fillId="0" borderId="0" xfId="4" applyNumberFormat="1" applyFill="1" applyBorder="1" applyAlignment="1" applyProtection="1">
      <alignment horizontal="right"/>
    </xf>
    <xf numFmtId="4" fontId="3" fillId="43" borderId="0" xfId="9" applyNumberFormat="1" applyFont="1" applyFill="1" applyBorder="1" applyAlignment="1" applyProtection="1"/>
    <xf numFmtId="4" fontId="8" fillId="44" borderId="0" xfId="9" applyNumberFormat="1" applyFill="1" applyBorder="1" applyAlignment="1" applyProtection="1"/>
    <xf numFmtId="0" fontId="0" fillId="0" borderId="8" xfId="0" applyFill="1" applyBorder="1" applyProtection="1"/>
    <xf numFmtId="0" fontId="0" fillId="0" borderId="10" xfId="0" applyFill="1" applyBorder="1" applyProtection="1"/>
    <xf numFmtId="0" fontId="0" fillId="0" borderId="7" xfId="0" applyFill="1" applyBorder="1" applyProtection="1"/>
    <xf numFmtId="0" fontId="0" fillId="0" borderId="6" xfId="0" applyFill="1" applyBorder="1" applyProtection="1"/>
    <xf numFmtId="0" fontId="0" fillId="0" borderId="2" xfId="0" applyFill="1" applyBorder="1" applyProtection="1"/>
    <xf numFmtId="0" fontId="13" fillId="0" borderId="5" xfId="0" applyFont="1" applyFill="1" applyBorder="1" applyProtection="1"/>
    <xf numFmtId="2" fontId="0" fillId="0" borderId="0" xfId="30" applyNumberFormat="1" applyFont="1" applyFill="1" applyBorder="1" applyAlignment="1" applyProtection="1"/>
    <xf numFmtId="0" fontId="36" fillId="0" borderId="5" xfId="4" applyNumberFormat="1" applyFill="1" applyBorder="1" applyAlignment="1" applyProtection="1"/>
    <xf numFmtId="4" fontId="0" fillId="0" borderId="8" xfId="0" applyNumberFormat="1" applyFill="1" applyBorder="1" applyProtection="1"/>
    <xf numFmtId="0" fontId="0" fillId="0" borderId="0" xfId="0" applyFill="1"/>
    <xf numFmtId="0" fontId="0" fillId="0" borderId="9" xfId="0" applyFill="1" applyBorder="1" applyProtection="1"/>
    <xf numFmtId="0" fontId="13" fillId="0" borderId="0" xfId="0" applyFont="1" applyFill="1" applyProtection="1"/>
    <xf numFmtId="4" fontId="8" fillId="44" borderId="13" xfId="9" applyNumberFormat="1" applyFill="1" applyBorder="1" applyAlignment="1" applyProtection="1"/>
    <xf numFmtId="4" fontId="8" fillId="5" borderId="0" xfId="9" applyNumberFormat="1" applyFill="1" applyBorder="1" applyAlignment="1" applyProtection="1"/>
    <xf numFmtId="0" fontId="13" fillId="0" borderId="0" xfId="0" applyFont="1" applyFill="1" applyBorder="1" applyProtection="1"/>
    <xf numFmtId="2" fontId="7" fillId="0" borderId="0" xfId="30" applyNumberFormat="1" applyFont="1" applyFill="1" applyBorder="1" applyAlignment="1" applyProtection="1"/>
    <xf numFmtId="2" fontId="7" fillId="0" borderId="0" xfId="8" applyNumberFormat="1" applyFill="1" applyBorder="1" applyProtection="1"/>
    <xf numFmtId="0" fontId="0" fillId="0" borderId="5" xfId="0" applyFont="1" applyFill="1" applyBorder="1" applyProtection="1"/>
    <xf numFmtId="0" fontId="7" fillId="0" borderId="0" xfId="8" applyNumberFormat="1" applyFill="1" applyBorder="1" applyProtection="1"/>
    <xf numFmtId="0" fontId="0" fillId="43" borderId="0" xfId="0" applyFont="1" applyFill="1" applyBorder="1" applyAlignment="1" applyProtection="1">
      <alignment horizontal="left"/>
    </xf>
    <xf numFmtId="0" fontId="13" fillId="0" borderId="2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center" wrapText="1"/>
    </xf>
    <xf numFmtId="0" fontId="19" fillId="0" borderId="5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Alignment="1" applyProtection="1"/>
    <xf numFmtId="0" fontId="14" fillId="0" borderId="0" xfId="11" applyFill="1" applyBorder="1" applyProtection="1"/>
    <xf numFmtId="0" fontId="13" fillId="0" borderId="7" xfId="0" applyFont="1" applyFill="1" applyBorder="1" applyProtection="1"/>
    <xf numFmtId="0" fontId="0" fillId="0" borderId="11" xfId="0" applyFill="1" applyBorder="1" applyProtection="1"/>
    <xf numFmtId="170" fontId="0" fillId="0" borderId="0" xfId="0" applyNumberFormat="1" applyFill="1" applyProtection="1"/>
    <xf numFmtId="169" fontId="0" fillId="0" borderId="0" xfId="1" applyNumberFormat="1" applyFont="1" applyFill="1" applyProtection="1"/>
    <xf numFmtId="0" fontId="20" fillId="0" borderId="0" xfId="0" applyFont="1" applyFill="1" applyBorder="1" applyProtection="1"/>
    <xf numFmtId="4" fontId="0" fillId="43" borderId="0" xfId="0" applyNumberFormat="1" applyFill="1" applyBorder="1" applyProtection="1"/>
    <xf numFmtId="0" fontId="0" fillId="43" borderId="6" xfId="0" applyFill="1" applyBorder="1" applyProtection="1"/>
    <xf numFmtId="0" fontId="0" fillId="43" borderId="2" xfId="0" applyFill="1" applyBorder="1" applyProtection="1"/>
    <xf numFmtId="0" fontId="0" fillId="43" borderId="5" xfId="0" applyFill="1" applyBorder="1" applyProtection="1"/>
    <xf numFmtId="0" fontId="0" fillId="43" borderId="0" xfId="0" applyFill="1" applyBorder="1" applyProtection="1"/>
    <xf numFmtId="3" fontId="3" fillId="43" borderId="0" xfId="6" applyNumberFormat="1" applyFill="1" applyBorder="1" applyAlignment="1" applyProtection="1"/>
    <xf numFmtId="3" fontId="3" fillId="43" borderId="13" xfId="6" applyNumberFormat="1" applyFill="1" applyBorder="1" applyAlignment="1" applyProtection="1"/>
    <xf numFmtId="9" fontId="0" fillId="0" borderId="0" xfId="70" applyNumberFormat="1" applyFont="1" applyFill="1" applyBorder="1" applyAlignment="1">
      <alignment horizontal="right"/>
    </xf>
    <xf numFmtId="0" fontId="16" fillId="0" borderId="0" xfId="14" applyFill="1" applyBorder="1" applyAlignment="1">
      <alignment horizontal="left" vertical="top"/>
    </xf>
    <xf numFmtId="0" fontId="13" fillId="0" borderId="2" xfId="0" applyFont="1" applyFill="1" applyBorder="1" applyAlignment="1" applyProtection="1">
      <alignment horizontal="center"/>
    </xf>
    <xf numFmtId="0" fontId="26" fillId="0" borderId="3" xfId="8" applyNumberFormat="1" applyFont="1" applyFill="1" applyBorder="1" applyAlignment="1" applyProtection="1">
      <alignment horizontal="right"/>
    </xf>
    <xf numFmtId="0" fontId="0" fillId="0" borderId="5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horizontal="right" wrapText="1"/>
    </xf>
    <xf numFmtId="0" fontId="13" fillId="0" borderId="3" xfId="0" applyFont="1" applyFill="1" applyBorder="1" applyAlignment="1" applyProtection="1">
      <alignment horizontal="right" wrapText="1"/>
    </xf>
    <xf numFmtId="0" fontId="13" fillId="0" borderId="11" xfId="0" applyFont="1" applyFill="1" applyBorder="1" applyAlignment="1" applyProtection="1">
      <alignment horizontal="right" wrapText="1"/>
    </xf>
    <xf numFmtId="0" fontId="13" fillId="0" borderId="8" xfId="0" applyFont="1" applyFill="1" applyBorder="1" applyAlignment="1" applyProtection="1">
      <alignment horizontal="right" wrapText="1"/>
    </xf>
    <xf numFmtId="0" fontId="0" fillId="0" borderId="19" xfId="0" applyFont="1" applyFill="1" applyBorder="1" applyAlignment="1" applyProtection="1">
      <alignment horizontal="right" wrapText="1"/>
    </xf>
    <xf numFmtId="0" fontId="0" fillId="0" borderId="21" xfId="0" applyFont="1" applyFill="1" applyBorder="1" applyAlignment="1" applyProtection="1">
      <alignment horizontal="right" wrapText="1"/>
    </xf>
    <xf numFmtId="0" fontId="38" fillId="0" borderId="5" xfId="0" applyFont="1" applyFill="1" applyBorder="1" applyProtection="1"/>
    <xf numFmtId="0" fontId="0" fillId="0" borderId="8" xfId="0" applyFill="1" applyBorder="1" applyAlignment="1" applyProtection="1">
      <alignment horizontal="right"/>
    </xf>
    <xf numFmtId="166" fontId="0" fillId="0" borderId="8" xfId="20" applyNumberFormat="1" applyFont="1" applyFill="1" applyBorder="1" applyAlignment="1" applyProtection="1">
      <alignment horizontal="right"/>
    </xf>
    <xf numFmtId="0" fontId="3" fillId="43" borderId="3" xfId="8" applyNumberFormat="1" applyFont="1" applyFill="1" applyBorder="1" applyAlignment="1" applyProtection="1">
      <alignment horizontal="right"/>
    </xf>
    <xf numFmtId="3" fontId="0" fillId="0" borderId="0" xfId="0" applyNumberFormat="1" applyFill="1" applyProtection="1"/>
    <xf numFmtId="4" fontId="36" fillId="43" borderId="0" xfId="4" applyNumberFormat="1" applyFill="1" applyBorder="1" applyAlignment="1"/>
    <xf numFmtId="4" fontId="36" fillId="0" borderId="0" xfId="4" applyNumberFormat="1" applyFill="1" applyBorder="1" applyAlignment="1">
      <alignment horizontal="right"/>
    </xf>
    <xf numFmtId="2" fontId="36" fillId="0" borderId="0" xfId="4" applyNumberFormat="1" applyFill="1" applyBorder="1" applyAlignment="1" applyProtection="1">
      <alignment horizontal="right"/>
    </xf>
    <xf numFmtId="2" fontId="36" fillId="0" borderId="0" xfId="4" applyNumberFormat="1" applyFill="1" applyBorder="1" applyAlignment="1" applyProtection="1"/>
    <xf numFmtId="0" fontId="13" fillId="0" borderId="2" xfId="0" applyFont="1" applyFill="1" applyBorder="1" applyAlignment="1" applyProtection="1">
      <alignment horizontal="center"/>
    </xf>
    <xf numFmtId="0" fontId="13" fillId="0" borderId="2" xfId="0" applyFont="1" applyFill="1" applyBorder="1" applyAlignment="1" applyProtection="1">
      <alignment horizontal="center" vertical="center"/>
    </xf>
  </cellXfs>
  <cellStyles count="220">
    <cellStyle name="0/1 as OK or ERROR" xfId="83"/>
    <cellStyle name="0/1 as Yes No" xfId="84"/>
    <cellStyle name="20% - Accent4 2" xfId="85"/>
    <cellStyle name="20% - Accent6 2" xfId="86"/>
    <cellStyle name="40% - Accent2 2" xfId="87"/>
    <cellStyle name="Border" xfId="30"/>
    <cellStyle name="Change in Formula" xfId="3"/>
    <cellStyle name="Check" xfId="39"/>
    <cellStyle name="Check FinSum" xfId="88"/>
    <cellStyle name="Comma" xfId="1" builtinId="3" customBuiltin="1"/>
    <cellStyle name="Comma [0]" xfId="2" builtinId="6" customBuiltin="1"/>
    <cellStyle name="Comma [0] 2" xfId="199"/>
    <cellStyle name="Comma [0] 3" xfId="212"/>
    <cellStyle name="Comma 10" xfId="79"/>
    <cellStyle name="Comma 11" xfId="190"/>
    <cellStyle name="Comma 12" xfId="203"/>
    <cellStyle name="Comma 13" xfId="198"/>
    <cellStyle name="Comma 14" xfId="201"/>
    <cellStyle name="Comma 15" xfId="200"/>
    <cellStyle name="Comma 16" xfId="204"/>
    <cellStyle name="Comma 17" xfId="211"/>
    <cellStyle name="Comma 18" xfId="216"/>
    <cellStyle name="Comma 2" xfId="89"/>
    <cellStyle name="Comma 2 2" xfId="90"/>
    <cellStyle name="Comma 2 3" xfId="91"/>
    <cellStyle name="Comma 3" xfId="92"/>
    <cellStyle name="Comma 4" xfId="93"/>
    <cellStyle name="Comma 5" xfId="94"/>
    <cellStyle name="Comma 6" xfId="95"/>
    <cellStyle name="Comma 7" xfId="96"/>
    <cellStyle name="Comma 8" xfId="97"/>
    <cellStyle name="Comma 9" xfId="71"/>
    <cellStyle name="Comments" xfId="61"/>
    <cellStyle name="Constant" xfId="40"/>
    <cellStyle name="Currency 2" xfId="98"/>
    <cellStyle name="Currency 3" xfId="99"/>
    <cellStyle name="Data Colour" xfId="41"/>
    <cellStyle name="DataSource" xfId="100"/>
    <cellStyle name="Date mmm yy" xfId="101"/>
    <cellStyle name="Date mmm yy 2" xfId="102"/>
    <cellStyle name="Date mmm yyyy" xfId="103"/>
    <cellStyle name="Date Mthly" xfId="104"/>
    <cellStyle name="Date Mthly 2" xfId="105"/>
    <cellStyle name="Deliberately Empty" xfId="106"/>
    <cellStyle name="Error checks" xfId="4"/>
    <cellStyle name="Error checks 2" xfId="42"/>
    <cellStyle name="Error Warning" xfId="5"/>
    <cellStyle name="Explanatory Text 2" xfId="43"/>
    <cellStyle name="Forecast Input" xfId="34"/>
    <cellStyle name="Forecast Input [0]" xfId="44"/>
    <cellStyle name="Forecast Input [0] 2" xfId="108"/>
    <cellStyle name="Forecast Input%" xfId="35"/>
    <cellStyle name="Heading 1" xfId="21" builtinId="16" customBuiltin="1"/>
    <cellStyle name="Heading 1.5" xfId="45"/>
    <cellStyle name="Heading 2" xfId="22" builtinId="17" customBuiltin="1"/>
    <cellStyle name="Heading 2 2" xfId="110"/>
    <cellStyle name="Heading 2.5" xfId="111"/>
    <cellStyle name="Heading 3" xfId="23" builtinId="18" customBuiltin="1"/>
    <cellStyle name="Heading 4" xfId="24" builtinId="19" customBuiltin="1"/>
    <cellStyle name="Highlight Result" xfId="112"/>
    <cellStyle name="Hyperlink" xfId="11" builtinId="8"/>
    <cellStyle name="Hyperlink 2" xfId="46"/>
    <cellStyle name="Hyperlink 3" xfId="47"/>
    <cellStyle name="import" xfId="26"/>
    <cellStyle name="import%" xfId="27"/>
    <cellStyle name="Info Input #" xfId="36"/>
    <cellStyle name="Info Input # 2" xfId="81"/>
    <cellStyle name="Info Input %" xfId="37"/>
    <cellStyle name="Info Input [0]" xfId="48"/>
    <cellStyle name="Info Input [0] 2" xfId="113"/>
    <cellStyle name="Info Input1" xfId="49"/>
    <cellStyle name="Info Input1 2" xfId="114"/>
    <cellStyle name="Info/Default #" xfId="16"/>
    <cellStyle name="Info/Default # 2" xfId="115"/>
    <cellStyle name="Info/default %" xfId="13"/>
    <cellStyle name="Info/import #" xfId="12"/>
    <cellStyle name="Info/import # 2" xfId="210"/>
    <cellStyle name="Info/import %" xfId="15"/>
    <cellStyle name="Input #" xfId="6"/>
    <cellStyle name="Input # 2" xfId="50"/>
    <cellStyle name="Input # 3" xfId="77"/>
    <cellStyle name="Input %" xfId="7"/>
    <cellStyle name="Input % 2" xfId="17"/>
    <cellStyle name="Input default %" xfId="33"/>
    <cellStyle name="Input1%" xfId="38"/>
    <cellStyle name="Input2" xfId="8"/>
    <cellStyle name="Input2 #" xfId="31"/>
    <cellStyle name="InputDefault" xfId="28"/>
    <cellStyle name="Key Outputs" xfId="9"/>
    <cellStyle name="key outputs 10" xfId="209"/>
    <cellStyle name="Key Outputs 11" xfId="213"/>
    <cellStyle name="Key Outputs 12" xfId="214"/>
    <cellStyle name="Key Outputs 2" xfId="51"/>
    <cellStyle name="Key Outputs 2 2" xfId="116"/>
    <cellStyle name="Key Outputs 2 3" xfId="215"/>
    <cellStyle name="key outputs 3" xfId="80"/>
    <cellStyle name="key outputs 4" xfId="74"/>
    <cellStyle name="key outputs 5" xfId="202"/>
    <cellStyle name="key outputs 6" xfId="205"/>
    <cellStyle name="key outputs 7" xfId="206"/>
    <cellStyle name="key outputs 8" xfId="207"/>
    <cellStyle name="key outputs 9" xfId="208"/>
    <cellStyle name="Links from other files (green) style" xfId="10"/>
    <cellStyle name="Links from other files (green) style 2" xfId="52"/>
    <cellStyle name="Local import" xfId="29"/>
    <cellStyle name="Macro Set" xfId="53"/>
    <cellStyle name="Non-Standard Formula" xfId="54"/>
    <cellStyle name="Normal" xfId="0" builtinId="0" customBuiltin="1"/>
    <cellStyle name="Normal $ 0" xfId="117"/>
    <cellStyle name="Normal $ 1" xfId="118"/>
    <cellStyle name="Normal $ 2" xfId="119"/>
    <cellStyle name="Normal 0" xfId="120"/>
    <cellStyle name="Normal 0 FinSum" xfId="121"/>
    <cellStyle name="Normal 1" xfId="122"/>
    <cellStyle name="Normal 10" xfId="123"/>
    <cellStyle name="Normal 11" xfId="124"/>
    <cellStyle name="Normal 12" xfId="125"/>
    <cellStyle name="Normal 13" xfId="126"/>
    <cellStyle name="Normal 14" xfId="127"/>
    <cellStyle name="Normal 15" xfId="128"/>
    <cellStyle name="Normal 16" xfId="62"/>
    <cellStyle name="Normal 17" xfId="130"/>
    <cellStyle name="Normal 18" xfId="63"/>
    <cellStyle name="Normal 19" xfId="131"/>
    <cellStyle name="Normal 2" xfId="132"/>
    <cellStyle name="Normal 2 2" xfId="133"/>
    <cellStyle name="Normal 2 2 2" xfId="219"/>
    <cellStyle name="Normal 2 3" xfId="134"/>
    <cellStyle name="Normal 2 4" xfId="217"/>
    <cellStyle name="Normal 20" xfId="135"/>
    <cellStyle name="Normal 21" xfId="64"/>
    <cellStyle name="Normal 22" xfId="136"/>
    <cellStyle name="Normal 23" xfId="137"/>
    <cellStyle name="Normal 24" xfId="138"/>
    <cellStyle name="Normal 25" xfId="139"/>
    <cellStyle name="Normal 26" xfId="140"/>
    <cellStyle name="Normal 27" xfId="141"/>
    <cellStyle name="Normal 28" xfId="142"/>
    <cellStyle name="Normal 29" xfId="143"/>
    <cellStyle name="Normal 3" xfId="144"/>
    <cellStyle name="Normal 3 2" xfId="145"/>
    <cellStyle name="Normal 3 3" xfId="218"/>
    <cellStyle name="Normal 30" xfId="146"/>
    <cellStyle name="Normal 30 2" xfId="147"/>
    <cellStyle name="Normal 31" xfId="148"/>
    <cellStyle name="Normal 4" xfId="149"/>
    <cellStyle name="Normal 4 2" xfId="150"/>
    <cellStyle name="Normal 41" xfId="151"/>
    <cellStyle name="Normal 5" xfId="152"/>
    <cellStyle name="Normal 5 2" xfId="153"/>
    <cellStyle name="Normal 6" xfId="154"/>
    <cellStyle name="Normal 6 2" xfId="155"/>
    <cellStyle name="Normal 7" xfId="156"/>
    <cellStyle name="Normal 7 2" xfId="157"/>
    <cellStyle name="Normal 8" xfId="158"/>
    <cellStyle name="Normal 9" xfId="159"/>
    <cellStyle name="Output 2" xfId="160"/>
    <cellStyle name="Override Data" xfId="161"/>
    <cellStyle name="Overridenlabel" xfId="162"/>
    <cellStyle name="Percent" xfId="20" builtinId="5"/>
    <cellStyle name="Percent 0" xfId="163"/>
    <cellStyle name="Percent 0 NoZeros" xfId="164"/>
    <cellStyle name="Percent 10" xfId="165"/>
    <cellStyle name="Percent 11" xfId="166"/>
    <cellStyle name="Percent 12" xfId="167"/>
    <cellStyle name="Percent 13" xfId="168"/>
    <cellStyle name="Percent 14" xfId="169"/>
    <cellStyle name="Percent 15" xfId="170"/>
    <cellStyle name="Percent 16" xfId="171"/>
    <cellStyle name="Percent 17" xfId="172"/>
    <cellStyle name="Percent 18" xfId="173"/>
    <cellStyle name="Percent 19" xfId="174"/>
    <cellStyle name="Percent 2" xfId="18"/>
    <cellStyle name="Percent 2 2" xfId="19"/>
    <cellStyle name="Percent 20" xfId="175"/>
    <cellStyle name="Percent 21" xfId="176"/>
    <cellStyle name="Percent 22" xfId="177"/>
    <cellStyle name="Percent 23" xfId="178"/>
    <cellStyle name="Percent 24" xfId="179"/>
    <cellStyle name="Percent 25" xfId="180"/>
    <cellStyle name="Percent 26" xfId="181"/>
    <cellStyle name="Percent 27" xfId="182"/>
    <cellStyle name="Percent 28" xfId="82"/>
    <cellStyle name="Percent 29" xfId="183"/>
    <cellStyle name="Percent 3" xfId="184"/>
    <cellStyle name="Percent 30" xfId="73"/>
    <cellStyle name="Percent 31" xfId="75"/>
    <cellStyle name="Percent 32" xfId="70"/>
    <cellStyle name="Percent 33" xfId="129"/>
    <cellStyle name="Percent 34" xfId="72"/>
    <cellStyle name="Percent 35" xfId="109"/>
    <cellStyle name="Percent 36" xfId="107"/>
    <cellStyle name="Percent 37" xfId="76"/>
    <cellStyle name="Percent 4" xfId="65"/>
    <cellStyle name="Percent 5" xfId="185"/>
    <cellStyle name="Percent 6" xfId="66"/>
    <cellStyle name="Percent 7" xfId="186"/>
    <cellStyle name="Percent 8" xfId="187"/>
    <cellStyle name="Percent 9" xfId="55"/>
    <cellStyle name="PricePath Body" xfId="188"/>
    <cellStyle name="PricePath Header" xfId="189"/>
    <cellStyle name="QA" xfId="14"/>
    <cellStyle name="QA Notes" xfId="32"/>
    <cellStyle name="QA Notes 2" xfId="56"/>
    <cellStyle name="QA Response" xfId="69"/>
    <cellStyle name="RangeName" xfId="57"/>
    <cellStyle name="RV Colour" xfId="191"/>
    <cellStyle name="SCA Colour" xfId="192"/>
    <cellStyle name="SheetMsg" xfId="67"/>
    <cellStyle name="Style 1" xfId="78"/>
    <cellStyle name="SW ACCC" xfId="193"/>
    <cellStyle name="SW IPART colour" xfId="194"/>
    <cellStyle name="Total" xfId="25" builtinId="25" customBuiltin="1"/>
    <cellStyle name="Units" xfId="58"/>
    <cellStyle name="W NSW Colour" xfId="68"/>
    <cellStyle name="Year" xfId="59"/>
    <cellStyle name="Year No" xfId="195"/>
    <cellStyle name="Year No 2" xfId="196"/>
    <cellStyle name="Year No 3" xfId="197"/>
    <cellStyle name="YearRow" xfId="60"/>
  </cellStyles>
  <dxfs count="0"/>
  <tableStyles count="0" defaultTableStyle="TableStyleMedium2" defaultPivotStyle="PivotStyleLight16"/>
  <colors>
    <mruColors>
      <color rgb="FF00FF00"/>
      <color rgb="FFFFFFCC"/>
      <color rgb="FF00AEEF"/>
      <color rgb="FFCBD4D9"/>
      <color rgb="FF8FB8FB"/>
      <color rgb="FF99CCFF"/>
      <color rgb="FF6EA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IPART">
  <a:themeElements>
    <a:clrScheme name="IPART">
      <a:dk1>
        <a:srgbClr val="212122"/>
      </a:dk1>
      <a:lt1>
        <a:sysClr val="window" lastClr="FFFFFF"/>
      </a:lt1>
      <a:dk2>
        <a:srgbClr val="007BC4"/>
      </a:dk2>
      <a:lt2>
        <a:srgbClr val="A0A09A"/>
      </a:lt2>
      <a:accent1>
        <a:srgbClr val="46B849"/>
      </a:accent1>
      <a:accent2>
        <a:srgbClr val="F68B1F"/>
      </a:accent2>
      <a:accent3>
        <a:srgbClr val="D12026"/>
      </a:accent3>
      <a:accent4>
        <a:srgbClr val="1B4486"/>
      </a:accent4>
      <a:accent5>
        <a:srgbClr val="8F439B"/>
      </a:accent5>
      <a:accent6>
        <a:srgbClr val="989891"/>
      </a:accent6>
      <a:hlink>
        <a:srgbClr val="0070C0"/>
      </a:hlink>
      <a:folHlink>
        <a:srgbClr val="7030A0"/>
      </a:folHlink>
    </a:clrScheme>
    <a:fontScheme name="iPart">
      <a:majorFont>
        <a:latin typeface="Book Antiqua"/>
        <a:ea typeface=""/>
        <a:cs typeface=""/>
      </a:majorFont>
      <a:minorFont>
        <a:latin typeface="Book Antiqu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icar_horbino@ipart.nsw.gov.a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89"/>
  <sheetViews>
    <sheetView showGridLines="0" zoomScaleNormal="100" workbookViewId="0">
      <selection activeCell="D30" sqref="D30"/>
    </sheetView>
  </sheetViews>
  <sheetFormatPr defaultColWidth="9.09765625" defaultRowHeight="11.5"/>
  <cols>
    <col min="1" max="1" width="2.8984375" style="3" customWidth="1"/>
    <col min="2" max="2" width="5" style="3" customWidth="1"/>
    <col min="3" max="3" width="12.09765625" style="3" customWidth="1"/>
    <col min="4" max="4" width="139.69921875" style="3" customWidth="1"/>
    <col min="5" max="22" width="9.09765625" style="6"/>
    <col min="23" max="28" width="9.09765625" style="5"/>
    <col min="29" max="16384" width="9.09765625" style="3"/>
  </cols>
  <sheetData>
    <row r="2" spans="1:28">
      <c r="A2" s="5"/>
      <c r="B2" s="5"/>
      <c r="C2" s="5"/>
      <c r="D2" s="5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5">
      <c r="A3" s="5"/>
      <c r="B3" s="7" t="s">
        <v>205</v>
      </c>
      <c r="C3" s="7"/>
      <c r="D3" s="8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 customHeight="1">
      <c r="A4" s="5"/>
      <c r="B4" s="9"/>
      <c r="C4" s="9"/>
      <c r="D4" s="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 customHeight="1">
      <c r="A5" s="5"/>
      <c r="B5" s="9"/>
      <c r="C5" s="9"/>
      <c r="D5" s="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>
      <c r="A6" s="5"/>
      <c r="B6" s="10" t="s">
        <v>2</v>
      </c>
      <c r="C6" s="10"/>
      <c r="D6" s="11" t="s">
        <v>206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>
      <c r="A7" s="5"/>
      <c r="B7" s="6" t="s">
        <v>3</v>
      </c>
      <c r="C7" s="6"/>
      <c r="D7" s="31" t="s">
        <v>207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>
      <c r="A8" s="5"/>
      <c r="C8" s="6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5"/>
      <c r="B9" s="9"/>
      <c r="C9" s="9"/>
      <c r="D9" s="9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1" spans="1:28" ht="14">
      <c r="A11" s="5"/>
      <c r="B11" s="13" t="s">
        <v>4</v>
      </c>
      <c r="C11" s="13"/>
      <c r="D11" s="14"/>
      <c r="E11" s="15"/>
      <c r="F11" s="15"/>
      <c r="G11" s="15"/>
      <c r="H11" s="15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>
      <c r="A12" s="5"/>
      <c r="B12" s="15" t="s">
        <v>208</v>
      </c>
      <c r="C12" s="15"/>
      <c r="D12" s="15"/>
      <c r="E12" s="15"/>
      <c r="F12" s="15"/>
      <c r="G12" s="15"/>
      <c r="H12" s="15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7.5" customHeight="1">
      <c r="A13" s="5"/>
      <c r="B13" s="12"/>
      <c r="C13" s="12"/>
      <c r="D13" s="12"/>
      <c r="E13" s="15"/>
      <c r="F13" s="12"/>
      <c r="G13" s="12"/>
      <c r="H13" s="12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5" customHeight="1">
      <c r="A14" s="5"/>
      <c r="B14" s="12" t="s">
        <v>104</v>
      </c>
      <c r="C14" s="12"/>
      <c r="D14" s="12"/>
      <c r="E14" s="12"/>
      <c r="F14" s="12"/>
      <c r="G14" s="12"/>
      <c r="H14" s="12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15" customHeight="1">
      <c r="A15" s="5"/>
      <c r="B15" s="12" t="s">
        <v>223</v>
      </c>
      <c r="C15" s="12"/>
      <c r="D15" s="12"/>
      <c r="E15" s="12"/>
      <c r="F15" s="12"/>
      <c r="G15" s="12"/>
      <c r="H15" s="12"/>
      <c r="I15" s="5"/>
      <c r="J15" s="5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5" customHeight="1">
      <c r="A16" s="5"/>
      <c r="B16" s="12"/>
      <c r="C16" s="16"/>
      <c r="D16" s="12"/>
      <c r="E16" s="12"/>
      <c r="F16" s="12"/>
      <c r="G16" s="12"/>
      <c r="H16" s="12"/>
      <c r="I16" s="5"/>
      <c r="J16" s="5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15" customHeight="1">
      <c r="A17" s="5"/>
      <c r="B17" s="16"/>
      <c r="C17" s="16"/>
      <c r="D17" s="12"/>
      <c r="E17" s="12"/>
      <c r="F17" s="12"/>
      <c r="G17" s="12"/>
      <c r="H17" s="12"/>
      <c r="I17" s="5"/>
      <c r="J17" s="5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5" customHeight="1">
      <c r="A18" s="5"/>
      <c r="B18" s="13" t="s">
        <v>67</v>
      </c>
      <c r="C18" s="13"/>
      <c r="D18" s="17"/>
      <c r="E18" s="12"/>
      <c r="F18" s="12"/>
      <c r="G18" s="12"/>
      <c r="H18" s="12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5" customHeight="1">
      <c r="A19" s="5"/>
      <c r="B19" s="12" t="s">
        <v>107</v>
      </c>
      <c r="C19" s="16"/>
      <c r="D19" s="12"/>
      <c r="E19" s="12"/>
      <c r="F19" s="12"/>
      <c r="G19" s="12"/>
      <c r="H19" s="12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5" customHeight="1">
      <c r="A20" s="5"/>
      <c r="B20" s="12" t="s">
        <v>108</v>
      </c>
      <c r="C20" s="16"/>
      <c r="D20" s="12"/>
      <c r="E20" s="12"/>
      <c r="F20" s="12"/>
      <c r="G20" s="12"/>
      <c r="H20" s="12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15" customHeight="1">
      <c r="A21" s="5"/>
      <c r="B21" s="12"/>
      <c r="C21" s="122" t="s">
        <v>110</v>
      </c>
      <c r="D21" s="12" t="s">
        <v>105</v>
      </c>
      <c r="E21" s="12"/>
      <c r="F21" s="12"/>
      <c r="G21" s="12"/>
      <c r="H21" s="12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5" customHeight="1">
      <c r="A22" s="5"/>
      <c r="B22" s="12"/>
      <c r="C22" s="122" t="s">
        <v>110</v>
      </c>
      <c r="D22" s="12" t="s">
        <v>202</v>
      </c>
      <c r="E22" s="12"/>
      <c r="F22" s="12"/>
      <c r="G22" s="12"/>
      <c r="H22" s="12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15" customHeight="1">
      <c r="A23" s="5"/>
      <c r="B23" s="12"/>
      <c r="C23" s="122" t="s">
        <v>110</v>
      </c>
      <c r="D23" s="12" t="s">
        <v>106</v>
      </c>
      <c r="E23" s="12"/>
      <c r="F23" s="12"/>
      <c r="G23" s="12"/>
      <c r="H23" s="12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7.5" customHeight="1">
      <c r="A24" s="5"/>
      <c r="B24" s="12"/>
      <c r="C24" s="121"/>
      <c r="D24" s="12"/>
      <c r="E24" s="12"/>
      <c r="F24" s="12"/>
      <c r="G24" s="12"/>
      <c r="H24" s="12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5" customHeight="1">
      <c r="A25" s="5"/>
      <c r="B25" s="12" t="s">
        <v>117</v>
      </c>
      <c r="C25" s="12"/>
      <c r="D25" s="12"/>
      <c r="E25" s="12"/>
      <c r="F25" s="12"/>
      <c r="G25" s="12"/>
      <c r="H25" s="12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4.5" customHeight="1">
      <c r="A26" s="5"/>
      <c r="B26" s="16"/>
      <c r="C26" s="16"/>
      <c r="D26" s="12"/>
      <c r="E26" s="12"/>
      <c r="F26" s="12"/>
      <c r="G26" s="12"/>
      <c r="H26" s="12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14">
      <c r="A27" s="5"/>
      <c r="B27" s="13" t="s">
        <v>66</v>
      </c>
      <c r="C27" s="13"/>
      <c r="D27" s="17"/>
      <c r="E27" s="12"/>
      <c r="F27" s="15"/>
      <c r="G27" s="15"/>
      <c r="H27" s="15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ht="15" customHeight="1">
      <c r="A28" s="5"/>
      <c r="B28" s="15" t="s">
        <v>109</v>
      </c>
      <c r="C28" s="15"/>
      <c r="D28" s="15"/>
      <c r="E28" s="12"/>
      <c r="F28" s="15"/>
      <c r="G28" s="15"/>
      <c r="H28" s="15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15" customHeight="1">
      <c r="A29" s="5"/>
      <c r="B29" s="16" t="s">
        <v>112</v>
      </c>
      <c r="C29" s="125" t="s">
        <v>97</v>
      </c>
      <c r="D29" s="296"/>
      <c r="E29" s="12"/>
      <c r="F29" s="12"/>
      <c r="G29" s="12"/>
      <c r="H29" s="12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15" customHeight="1">
      <c r="A30" s="5"/>
      <c r="B30" s="16"/>
      <c r="C30" s="122" t="s">
        <v>110</v>
      </c>
      <c r="D30" s="12" t="s">
        <v>238</v>
      </c>
      <c r="E30" s="12"/>
      <c r="F30" s="12"/>
      <c r="G30" s="12"/>
      <c r="H30" s="12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15" customHeight="1">
      <c r="A31" s="5"/>
      <c r="B31" s="16"/>
      <c r="C31" s="122" t="s">
        <v>110</v>
      </c>
      <c r="D31" s="12" t="s">
        <v>160</v>
      </c>
      <c r="E31" s="12"/>
      <c r="F31" s="12"/>
      <c r="G31" s="12"/>
      <c r="H31" s="1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15" customHeight="1">
      <c r="A32" s="5"/>
      <c r="B32" s="16"/>
      <c r="C32" s="122" t="s">
        <v>110</v>
      </c>
      <c r="D32" s="12" t="s">
        <v>111</v>
      </c>
      <c r="E32" s="12"/>
      <c r="F32" s="12"/>
      <c r="G32" s="12"/>
      <c r="H32" s="12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15" customHeight="1">
      <c r="A33" s="5"/>
      <c r="B33" s="16" t="s">
        <v>113</v>
      </c>
      <c r="C33" s="124" t="s">
        <v>98</v>
      </c>
      <c r="D33" s="12" t="s">
        <v>118</v>
      </c>
      <c r="E33" s="12"/>
      <c r="F33" s="12"/>
      <c r="G33" s="12"/>
      <c r="H33" s="12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15" customHeight="1">
      <c r="A34" s="5"/>
      <c r="B34" s="16" t="s">
        <v>114</v>
      </c>
      <c r="C34" s="125" t="s">
        <v>116</v>
      </c>
      <c r="D34" s="12"/>
      <c r="E34" s="12"/>
      <c r="F34" s="12"/>
      <c r="G34" s="12"/>
      <c r="H34" s="12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15" customHeight="1">
      <c r="A35" s="5"/>
      <c r="B35" s="16"/>
      <c r="C35" s="122" t="s">
        <v>110</v>
      </c>
      <c r="D35" s="12" t="s">
        <v>161</v>
      </c>
      <c r="E35" s="12"/>
      <c r="F35" s="12"/>
      <c r="G35" s="12"/>
      <c r="H35" s="12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15" customHeight="1">
      <c r="A36" s="5"/>
      <c r="B36" s="16"/>
      <c r="C36" s="122" t="s">
        <v>110</v>
      </c>
      <c r="D36" s="12" t="s">
        <v>162</v>
      </c>
      <c r="E36" s="12"/>
      <c r="F36" s="12"/>
      <c r="G36" s="12"/>
      <c r="H36" s="12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15" customHeight="1">
      <c r="A37" s="5"/>
      <c r="B37" s="16"/>
      <c r="C37" s="123" t="s">
        <v>209</v>
      </c>
      <c r="E37" s="12"/>
      <c r="F37" s="12"/>
      <c r="G37" s="12"/>
      <c r="H37" s="12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15" customHeight="1">
      <c r="A38" s="5"/>
      <c r="B38" s="16"/>
      <c r="C38" s="123"/>
      <c r="E38" s="12"/>
      <c r="F38" s="12"/>
      <c r="G38" s="12"/>
      <c r="H38" s="12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15" customHeight="1">
      <c r="A39" s="5"/>
      <c r="B39" s="13" t="s">
        <v>210</v>
      </c>
      <c r="C39" s="13"/>
      <c r="D39" s="17"/>
      <c r="E39" s="12"/>
      <c r="F39" s="12"/>
      <c r="G39" s="12"/>
      <c r="H39" s="12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15" customHeight="1">
      <c r="A40" s="5"/>
      <c r="B40" s="16"/>
      <c r="C40" s="123"/>
      <c r="E40" s="12"/>
      <c r="F40" s="12"/>
      <c r="G40" s="12"/>
      <c r="H40" s="12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15" customHeight="1">
      <c r="A41" s="5"/>
      <c r="B41" s="12" t="s">
        <v>211</v>
      </c>
      <c r="C41" s="123"/>
      <c r="D41" s="5"/>
      <c r="E41" s="12"/>
      <c r="F41" s="12"/>
      <c r="G41" s="12"/>
      <c r="H41" s="12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23">
      <c r="A42" s="5"/>
      <c r="B42" s="16"/>
      <c r="C42" s="181" t="s">
        <v>203</v>
      </c>
      <c r="D42" s="170" t="s">
        <v>199</v>
      </c>
      <c r="E42" s="12"/>
      <c r="F42" s="12"/>
      <c r="G42" s="12"/>
      <c r="H42" s="12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15" customHeight="1">
      <c r="A43" s="5"/>
      <c r="B43" s="16"/>
      <c r="C43" s="5" t="s">
        <v>204</v>
      </c>
      <c r="D43" s="5" t="s">
        <v>200</v>
      </c>
      <c r="E43" s="12"/>
      <c r="F43" s="12"/>
      <c r="G43" s="12"/>
      <c r="H43" s="12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15" customHeight="1">
      <c r="A44" s="5"/>
      <c r="B44" s="16"/>
      <c r="C44" s="5" t="s">
        <v>212</v>
      </c>
      <c r="D44" s="5" t="s">
        <v>213</v>
      </c>
      <c r="E44" s="12"/>
      <c r="F44" s="12"/>
      <c r="G44" s="12"/>
      <c r="H44" s="12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15" customHeight="1">
      <c r="A45" s="5"/>
      <c r="B45" s="16"/>
      <c r="C45" s="123"/>
      <c r="D45" s="5"/>
      <c r="E45" s="12"/>
      <c r="F45" s="12"/>
      <c r="G45" s="12"/>
      <c r="H45" s="12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15" customHeight="1">
      <c r="A46" s="5"/>
      <c r="B46" s="12" t="s">
        <v>201</v>
      </c>
      <c r="C46" s="123"/>
      <c r="D46" s="5"/>
      <c r="E46" s="12"/>
      <c r="F46" s="12"/>
      <c r="G46" s="12"/>
      <c r="H46" s="12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15" customHeight="1">
      <c r="A47" s="5"/>
      <c r="B47" s="16"/>
      <c r="C47" s="123"/>
      <c r="E47" s="12"/>
      <c r="F47" s="12"/>
      <c r="G47" s="12"/>
      <c r="H47" s="12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15" customHeight="1">
      <c r="A48" s="5"/>
      <c r="B48" s="13" t="s">
        <v>64</v>
      </c>
      <c r="C48" s="13"/>
      <c r="D48" s="17"/>
      <c r="E48" s="12"/>
      <c r="F48" s="12"/>
      <c r="G48" s="12"/>
      <c r="H48" s="12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15" customHeight="1">
      <c r="A49" s="5"/>
      <c r="B49" s="18" t="s">
        <v>5</v>
      </c>
      <c r="C49" s="18"/>
      <c r="D49" s="12"/>
      <c r="E49" s="12"/>
      <c r="F49" s="12"/>
      <c r="G49" s="12"/>
      <c r="H49" s="12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6.75" customHeight="1">
      <c r="A50" s="5"/>
      <c r="B50" s="18"/>
      <c r="C50" s="18"/>
      <c r="D50" s="12"/>
      <c r="E50" s="12"/>
      <c r="F50" s="12"/>
      <c r="G50" s="12"/>
      <c r="H50" s="12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13.5" customHeight="1">
      <c r="A51" s="5"/>
      <c r="B51" s="19" t="s">
        <v>6</v>
      </c>
      <c r="C51" s="19"/>
      <c r="D51" s="19"/>
      <c r="E51" s="12"/>
      <c r="F51" s="12"/>
      <c r="G51" s="12"/>
      <c r="H51" s="12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5" customHeight="1">
      <c r="A52" s="5"/>
      <c r="B52" s="20" t="s">
        <v>7</v>
      </c>
      <c r="C52" s="20"/>
      <c r="D52" s="20"/>
      <c r="E52" s="12"/>
      <c r="F52" s="12"/>
      <c r="G52" s="12"/>
      <c r="H52" s="12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15" customHeight="1">
      <c r="A53" s="5"/>
      <c r="B53" s="21" t="s">
        <v>0</v>
      </c>
      <c r="C53" s="21"/>
      <c r="D53" s="21"/>
      <c r="E53" s="12"/>
      <c r="F53" s="12"/>
      <c r="G53" s="12"/>
      <c r="H53" s="12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5" customHeight="1">
      <c r="A54" s="5"/>
      <c r="B54" s="22" t="s">
        <v>8</v>
      </c>
      <c r="C54" s="22"/>
      <c r="D54" s="23"/>
      <c r="E54" s="12"/>
      <c r="F54" s="12"/>
      <c r="G54" s="12"/>
      <c r="H54" s="12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5" customHeight="1">
      <c r="A55" s="5"/>
      <c r="B55" s="24" t="s">
        <v>9</v>
      </c>
      <c r="C55" s="24"/>
      <c r="D55" s="25"/>
      <c r="E55" s="12"/>
      <c r="F55" s="12"/>
      <c r="G55" s="12"/>
      <c r="H55" s="12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5" customHeight="1">
      <c r="A56" s="5"/>
      <c r="B56" s="26" t="s">
        <v>10</v>
      </c>
      <c r="C56" s="27"/>
      <c r="D56" s="27"/>
      <c r="E56" s="12"/>
      <c r="F56" s="12"/>
      <c r="G56" s="12"/>
      <c r="H56" s="12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5" customHeight="1">
      <c r="A57" s="5"/>
      <c r="B57" s="16"/>
      <c r="C57" s="16"/>
      <c r="D57" s="12"/>
      <c r="E57" s="12"/>
      <c r="F57" s="12"/>
      <c r="G57" s="12"/>
      <c r="H57" s="12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>
      <c r="A58" s="5"/>
      <c r="B58" s="16"/>
      <c r="C58" s="16"/>
      <c r="D58" s="12"/>
      <c r="E58" s="12"/>
      <c r="F58" s="12"/>
      <c r="G58" s="12"/>
      <c r="H58" s="12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>
      <c r="E59" s="12"/>
      <c r="F59" s="12"/>
      <c r="G59" s="12"/>
      <c r="H59" s="12"/>
    </row>
    <row r="60" spans="1:28">
      <c r="E60" s="12"/>
      <c r="F60" s="12"/>
      <c r="G60" s="12"/>
      <c r="H60" s="12"/>
    </row>
    <row r="61" spans="1:28">
      <c r="E61" s="12"/>
      <c r="F61" s="12"/>
      <c r="G61" s="12"/>
      <c r="H61" s="12"/>
    </row>
    <row r="62" spans="1:28">
      <c r="A62" s="5"/>
      <c r="B62" s="6"/>
      <c r="C62" s="6"/>
      <c r="D62" s="6"/>
      <c r="E62" s="12"/>
      <c r="F62" s="12"/>
      <c r="G62" s="12"/>
      <c r="H62" s="12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>
      <c r="B63" s="4"/>
      <c r="C63" s="4"/>
      <c r="D63" s="4"/>
      <c r="E63" s="12"/>
      <c r="F63" s="12"/>
      <c r="G63" s="12"/>
      <c r="H63" s="12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>
      <c r="B64" s="4"/>
      <c r="C64" s="4"/>
      <c r="D64" s="4"/>
      <c r="E64" s="12"/>
      <c r="F64" s="12"/>
      <c r="G64" s="12"/>
      <c r="H64" s="12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2:28">
      <c r="B65" s="4"/>
      <c r="C65" s="4"/>
      <c r="D65" s="4"/>
      <c r="E65" s="12"/>
      <c r="F65" s="12"/>
      <c r="G65" s="12"/>
      <c r="H65" s="12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2:28">
      <c r="B66" s="4"/>
      <c r="C66" s="4"/>
      <c r="D66" s="4"/>
      <c r="E66" s="12"/>
      <c r="F66" s="12"/>
      <c r="G66" s="12"/>
      <c r="H66" s="12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2:28">
      <c r="B67" s="4"/>
      <c r="C67" s="4"/>
      <c r="D67" s="4"/>
      <c r="E67" s="12"/>
      <c r="F67" s="12"/>
      <c r="G67" s="12"/>
      <c r="H67" s="12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2:28">
      <c r="B68" s="4"/>
      <c r="C68" s="4"/>
      <c r="D68" s="4"/>
      <c r="E68" s="12"/>
      <c r="F68" s="12"/>
      <c r="G68" s="12"/>
      <c r="H68" s="12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2:28">
      <c r="B69" s="4"/>
      <c r="C69" s="4"/>
      <c r="D69" s="4"/>
      <c r="E69" s="12"/>
      <c r="F69" s="12"/>
      <c r="G69" s="12"/>
      <c r="H69" s="12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2:28">
      <c r="B70" s="4"/>
      <c r="C70" s="4"/>
      <c r="D70" s="4"/>
      <c r="E70" s="12"/>
      <c r="F70" s="12"/>
      <c r="G70" s="12"/>
      <c r="H70" s="12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2:28">
      <c r="B71" s="4"/>
      <c r="C71" s="4"/>
      <c r="D71" s="4"/>
      <c r="E71" s="12"/>
      <c r="F71" s="12"/>
      <c r="G71" s="12"/>
      <c r="H71" s="12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2:28">
      <c r="B72" s="4"/>
      <c r="C72" s="4"/>
      <c r="D72" s="4"/>
      <c r="E72" s="12"/>
      <c r="F72" s="12"/>
      <c r="G72" s="12"/>
      <c r="H72" s="12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2:28">
      <c r="B73" s="4"/>
      <c r="C73" s="4"/>
      <c r="D73" s="4"/>
      <c r="E73" s="12"/>
      <c r="F73" s="12"/>
      <c r="G73" s="12"/>
      <c r="H73" s="12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2:28">
      <c r="B74" s="4"/>
      <c r="C74" s="4"/>
      <c r="D74" s="4"/>
      <c r="E74" s="12"/>
      <c r="F74" s="12"/>
      <c r="G74" s="12"/>
      <c r="H74" s="12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2:28">
      <c r="B75" s="4"/>
      <c r="C75" s="4"/>
      <c r="D75" s="4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2:28">
      <c r="B76" s="4"/>
      <c r="C76" s="4"/>
      <c r="D76" s="4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2:28">
      <c r="B77" s="4"/>
      <c r="C77" s="4"/>
      <c r="D77" s="4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2:28">
      <c r="B78" s="4"/>
      <c r="C78" s="4"/>
      <c r="D78" s="4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2:28">
      <c r="B79" s="4"/>
      <c r="C79" s="4"/>
      <c r="D79" s="4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2:28">
      <c r="B80" s="4"/>
      <c r="C80" s="4"/>
      <c r="D80" s="4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2:28">
      <c r="B81" s="4"/>
      <c r="C81" s="4"/>
      <c r="D81" s="4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2:28">
      <c r="B82" s="4"/>
      <c r="C82" s="4"/>
      <c r="D82" s="4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2:28">
      <c r="B83" s="4"/>
      <c r="C83" s="4"/>
      <c r="D83" s="4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2:28">
      <c r="B84" s="4"/>
      <c r="C84" s="4"/>
      <c r="D84" s="4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2:28">
      <c r="B85" s="4"/>
      <c r="C85" s="4"/>
      <c r="D85" s="4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2:28">
      <c r="B86" s="4"/>
      <c r="C86" s="4"/>
      <c r="D86" s="4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2:28">
      <c r="B87" s="4"/>
      <c r="C87" s="4"/>
      <c r="D87" s="4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2:28">
      <c r="B88" s="4"/>
      <c r="C88" s="4"/>
      <c r="D88" s="4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2:28">
      <c r="B89" s="4"/>
      <c r="C89" s="4"/>
      <c r="D89" s="4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</sheetData>
  <hyperlinks>
    <hyperlink ref="D7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C5"/>
  <sheetViews>
    <sheetView showGridLines="0" workbookViewId="0">
      <selection activeCell="R55" sqref="R55"/>
    </sheetView>
  </sheetViews>
  <sheetFormatPr defaultRowHeight="11.5"/>
  <sheetData>
    <row r="5" spans="3:3" ht="15.5">
      <c r="C5" s="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6"/>
  <sheetViews>
    <sheetView showGridLines="0" topLeftCell="A94" zoomScaleNormal="100" workbookViewId="0">
      <selection activeCell="AF26" sqref="AF26"/>
    </sheetView>
  </sheetViews>
  <sheetFormatPr defaultColWidth="9.09765625" defaultRowHeight="11.5" outlineLevelCol="1"/>
  <cols>
    <col min="1" max="1" width="3.19921875" style="32" customWidth="1"/>
    <col min="2" max="2" width="77.09765625" style="32" bestFit="1" customWidth="1"/>
    <col min="3" max="3" width="5.09765625" style="32" bestFit="1" customWidth="1"/>
    <col min="4" max="4" width="9.09765625" style="32"/>
    <col min="5" max="5" width="11.09765625" style="32" bestFit="1" customWidth="1"/>
    <col min="6" max="25" width="12.59765625" style="34" hidden="1" customWidth="1" outlineLevel="1"/>
    <col min="26" max="26" width="14.69921875" style="34" customWidth="1" collapsed="1"/>
    <col min="27" max="29" width="14.69921875" style="34" customWidth="1"/>
    <col min="30" max="30" width="12.59765625" style="34" customWidth="1"/>
    <col min="31" max="31" width="9.09765625" style="34"/>
    <col min="32" max="16384" width="9.09765625" style="32"/>
  </cols>
  <sheetData>
    <row r="1" spans="2:31">
      <c r="B1" s="110"/>
    </row>
    <row r="2" spans="2:31" ht="18">
      <c r="B2" s="35" t="s">
        <v>101</v>
      </c>
    </row>
    <row r="3" spans="2:31">
      <c r="B3" s="81" t="s">
        <v>174</v>
      </c>
    </row>
    <row r="4" spans="2:31">
      <c r="B4" s="32" t="s">
        <v>163</v>
      </c>
    </row>
    <row r="5" spans="2:31" s="110" customFormat="1">
      <c r="B5" s="110" t="s">
        <v>164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2:31" s="110" customFormat="1"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2:31">
      <c r="B7" s="118" t="s">
        <v>28</v>
      </c>
      <c r="C7" s="118"/>
      <c r="D7" s="118"/>
      <c r="F7" s="92"/>
      <c r="G7" s="92"/>
      <c r="Z7" s="153" t="s">
        <v>29</v>
      </c>
    </row>
    <row r="8" spans="2:31">
      <c r="B8" s="165" t="str">
        <f>B14</f>
        <v>TABLE 1.1 - USAGE VOLUMES</v>
      </c>
      <c r="C8" s="41"/>
      <c r="D8" s="41"/>
      <c r="E8" s="41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41">
        <f>ROW(B14)</f>
        <v>14</v>
      </c>
    </row>
    <row r="9" spans="2:31">
      <c r="B9" s="167" t="str">
        <f>B37</f>
        <v>TABLE 1.2 - ENTITLEMENT VOLUMES</v>
      </c>
      <c r="C9" s="38"/>
      <c r="D9" s="38"/>
      <c r="E9" s="38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38">
        <f>ROW(B37)</f>
        <v>37</v>
      </c>
    </row>
    <row r="10" spans="2:31">
      <c r="B10" s="167" t="str">
        <f>B75</f>
        <v>TABLE 1.3 - ACTUAL WATER ALLOCATIONS</v>
      </c>
      <c r="C10" s="38"/>
      <c r="D10" s="38"/>
      <c r="E10" s="38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38">
        <f>ROW(B75)</f>
        <v>75</v>
      </c>
    </row>
    <row r="11" spans="2:31">
      <c r="B11" s="36" t="str">
        <f>B115</f>
        <v>TABLE 1.4 - FISH RIVER WATER SUPPLY SCHEME (FRWS) MINOR CUSTOMER NUMBERS AND MAQ ENTITLEMENT LEVELS</v>
      </c>
      <c r="C11" s="36"/>
      <c r="D11" s="36"/>
      <c r="E11" s="3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36">
        <f>ROW(B115)</f>
        <v>115</v>
      </c>
    </row>
    <row r="12" spans="2:31">
      <c r="B12" s="110"/>
    </row>
    <row r="14" spans="2:31">
      <c r="B14" s="33" t="s">
        <v>61</v>
      </c>
    </row>
    <row r="15" spans="2:31" ht="12" customHeight="1">
      <c r="B15" s="40" t="s">
        <v>25</v>
      </c>
      <c r="C15" s="41" t="s">
        <v>27</v>
      </c>
      <c r="D15" s="41"/>
      <c r="E15" s="41"/>
      <c r="F15" s="146">
        <f t="shared" ref="F15:Y15" si="0">G15-1</f>
        <v>1997</v>
      </c>
      <c r="G15" s="146">
        <f t="shared" si="0"/>
        <v>1998</v>
      </c>
      <c r="H15" s="146">
        <f t="shared" si="0"/>
        <v>1999</v>
      </c>
      <c r="I15" s="146">
        <f t="shared" si="0"/>
        <v>2000</v>
      </c>
      <c r="J15" s="146">
        <f t="shared" si="0"/>
        <v>2001</v>
      </c>
      <c r="K15" s="146">
        <f t="shared" si="0"/>
        <v>2002</v>
      </c>
      <c r="L15" s="146">
        <f t="shared" si="0"/>
        <v>2003</v>
      </c>
      <c r="M15" s="146">
        <f t="shared" si="0"/>
        <v>2004</v>
      </c>
      <c r="N15" s="146">
        <f t="shared" si="0"/>
        <v>2005</v>
      </c>
      <c r="O15" s="146">
        <f t="shared" si="0"/>
        <v>2006</v>
      </c>
      <c r="P15" s="146">
        <f t="shared" si="0"/>
        <v>2007</v>
      </c>
      <c r="Q15" s="146">
        <f t="shared" si="0"/>
        <v>2008</v>
      </c>
      <c r="R15" s="146">
        <f t="shared" si="0"/>
        <v>2009</v>
      </c>
      <c r="S15" s="146">
        <f t="shared" si="0"/>
        <v>2010</v>
      </c>
      <c r="T15" s="146">
        <f t="shared" si="0"/>
        <v>2011</v>
      </c>
      <c r="U15" s="146">
        <f t="shared" si="0"/>
        <v>2012</v>
      </c>
      <c r="V15" s="146">
        <f t="shared" si="0"/>
        <v>2013</v>
      </c>
      <c r="W15" s="146">
        <f t="shared" si="0"/>
        <v>2014</v>
      </c>
      <c r="X15" s="146">
        <f t="shared" si="0"/>
        <v>2015</v>
      </c>
      <c r="Y15" s="146">
        <f t="shared" si="0"/>
        <v>2016</v>
      </c>
      <c r="Z15" s="146">
        <f>AA15-1</f>
        <v>2017</v>
      </c>
      <c r="AA15" s="146">
        <f>'2017 Determination - Revenue'!F15</f>
        <v>2018</v>
      </c>
      <c r="AB15" s="146">
        <f>'2017 Determination - Revenue'!G15</f>
        <v>2019</v>
      </c>
      <c r="AC15" s="146">
        <f>'2017 Determination - Revenue'!H15</f>
        <v>2020</v>
      </c>
      <c r="AD15" s="171"/>
    </row>
    <row r="16" spans="2:31" s="110" customFormat="1" ht="12" customHeight="1">
      <c r="B16" s="43" t="s">
        <v>26</v>
      </c>
      <c r="C16" s="38"/>
      <c r="D16" s="38"/>
      <c r="E16" s="38"/>
      <c r="F16" s="145" t="str">
        <f t="shared" ref="F16:Z16" si="1">F15-1&amp;"-"&amp;RIGHT(F15,2)</f>
        <v>1996-97</v>
      </c>
      <c r="G16" s="145" t="str">
        <f t="shared" si="1"/>
        <v>1997-98</v>
      </c>
      <c r="H16" s="145" t="str">
        <f t="shared" si="1"/>
        <v>1998-99</v>
      </c>
      <c r="I16" s="145" t="str">
        <f t="shared" si="1"/>
        <v>1999-00</v>
      </c>
      <c r="J16" s="145" t="str">
        <f t="shared" si="1"/>
        <v>2000-01</v>
      </c>
      <c r="K16" s="145" t="str">
        <f t="shared" si="1"/>
        <v>2001-02</v>
      </c>
      <c r="L16" s="145" t="str">
        <f t="shared" si="1"/>
        <v>2002-03</v>
      </c>
      <c r="M16" s="145" t="str">
        <f t="shared" si="1"/>
        <v>2003-04</v>
      </c>
      <c r="N16" s="145" t="str">
        <f t="shared" si="1"/>
        <v>2004-05</v>
      </c>
      <c r="O16" s="145" t="str">
        <f t="shared" si="1"/>
        <v>2005-06</v>
      </c>
      <c r="P16" s="145" t="str">
        <f t="shared" si="1"/>
        <v>2006-07</v>
      </c>
      <c r="Q16" s="145" t="str">
        <f t="shared" si="1"/>
        <v>2007-08</v>
      </c>
      <c r="R16" s="145" t="str">
        <f t="shared" si="1"/>
        <v>2008-09</v>
      </c>
      <c r="S16" s="145" t="str">
        <f t="shared" si="1"/>
        <v>2009-10</v>
      </c>
      <c r="T16" s="145" t="str">
        <f t="shared" si="1"/>
        <v>2010-11</v>
      </c>
      <c r="U16" s="145" t="str">
        <f t="shared" si="1"/>
        <v>2011-12</v>
      </c>
      <c r="V16" s="145" t="str">
        <f t="shared" si="1"/>
        <v>2012-13</v>
      </c>
      <c r="W16" s="145" t="str">
        <f t="shared" si="1"/>
        <v>2013-14</v>
      </c>
      <c r="X16" s="145" t="str">
        <f t="shared" si="1"/>
        <v>2014-15</v>
      </c>
      <c r="Y16" s="145" t="str">
        <f t="shared" si="1"/>
        <v>2015-16</v>
      </c>
      <c r="Z16" s="145" t="str">
        <f t="shared" si="1"/>
        <v>2016-17</v>
      </c>
      <c r="AA16" s="145" t="str">
        <f>AA15-1&amp;"-"&amp;RIGHT(AA15,2)</f>
        <v>2017-18</v>
      </c>
      <c r="AB16" s="145" t="s">
        <v>91</v>
      </c>
      <c r="AC16" s="145" t="s">
        <v>215</v>
      </c>
      <c r="AD16" s="172"/>
      <c r="AE16" s="34"/>
    </row>
    <row r="17" spans="2:32">
      <c r="B17" s="43"/>
      <c r="C17" s="38"/>
      <c r="D17" s="38"/>
      <c r="E17" s="38"/>
      <c r="F17" s="147" t="s">
        <v>102</v>
      </c>
      <c r="G17" s="143" t="str">
        <f>$F$17</f>
        <v>Actual</v>
      </c>
      <c r="H17" s="143" t="str">
        <f t="shared" ref="H17:Z17" si="2">$F$17</f>
        <v>Actual</v>
      </c>
      <c r="I17" s="143" t="str">
        <f t="shared" si="2"/>
        <v>Actual</v>
      </c>
      <c r="J17" s="143" t="str">
        <f t="shared" si="2"/>
        <v>Actual</v>
      </c>
      <c r="K17" s="143" t="str">
        <f t="shared" si="2"/>
        <v>Actual</v>
      </c>
      <c r="L17" s="143" t="str">
        <f t="shared" si="2"/>
        <v>Actual</v>
      </c>
      <c r="M17" s="143" t="str">
        <f t="shared" si="2"/>
        <v>Actual</v>
      </c>
      <c r="N17" s="143" t="str">
        <f t="shared" si="2"/>
        <v>Actual</v>
      </c>
      <c r="O17" s="143" t="str">
        <f t="shared" si="2"/>
        <v>Actual</v>
      </c>
      <c r="P17" s="143" t="str">
        <f t="shared" si="2"/>
        <v>Actual</v>
      </c>
      <c r="Q17" s="143" t="str">
        <f t="shared" si="2"/>
        <v>Actual</v>
      </c>
      <c r="R17" s="143" t="str">
        <f t="shared" si="2"/>
        <v>Actual</v>
      </c>
      <c r="S17" s="143" t="str">
        <f t="shared" si="2"/>
        <v>Actual</v>
      </c>
      <c r="T17" s="143" t="str">
        <f t="shared" si="2"/>
        <v>Actual</v>
      </c>
      <c r="U17" s="143" t="str">
        <f t="shared" si="2"/>
        <v>Actual</v>
      </c>
      <c r="V17" s="143" t="str">
        <f t="shared" si="2"/>
        <v>Actual</v>
      </c>
      <c r="W17" s="143" t="str">
        <f t="shared" si="2"/>
        <v>Actual</v>
      </c>
      <c r="X17" s="143" t="str">
        <f t="shared" si="2"/>
        <v>Actual</v>
      </c>
      <c r="Y17" s="143" t="str">
        <f t="shared" si="2"/>
        <v>Actual</v>
      </c>
      <c r="Z17" s="143" t="str">
        <f t="shared" si="2"/>
        <v>Actual</v>
      </c>
      <c r="AA17" s="173" t="s">
        <v>102</v>
      </c>
      <c r="AB17" s="173" t="s">
        <v>217</v>
      </c>
      <c r="AC17" s="173" t="s">
        <v>103</v>
      </c>
      <c r="AD17" s="94"/>
    </row>
    <row r="18" spans="2:32">
      <c r="B18" s="43"/>
      <c r="C18" s="38"/>
      <c r="D18" s="38"/>
      <c r="E18" s="38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175"/>
      <c r="AD18" s="94"/>
    </row>
    <row r="19" spans="2:32" ht="12">
      <c r="B19" s="49" t="s">
        <v>36</v>
      </c>
      <c r="C19" s="38"/>
      <c r="D19" s="38"/>
      <c r="E19" s="38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99"/>
      <c r="AA19" s="89"/>
      <c r="AB19" s="89"/>
      <c r="AC19" s="90"/>
      <c r="AD19" s="94"/>
    </row>
    <row r="20" spans="2:32" ht="12" customHeight="1">
      <c r="B20" s="43" t="str">
        <f>'2017 Determination - Revenue'!$B$33</f>
        <v>Border</v>
      </c>
      <c r="C20" s="28" t="s">
        <v>15</v>
      </c>
      <c r="D20" s="38"/>
      <c r="E20" s="38"/>
      <c r="F20" s="103">
        <v>169812</v>
      </c>
      <c r="G20" s="103">
        <v>187883</v>
      </c>
      <c r="H20" s="103">
        <v>164331</v>
      </c>
      <c r="I20" s="103">
        <v>180863</v>
      </c>
      <c r="J20" s="103">
        <v>231793</v>
      </c>
      <c r="K20" s="103">
        <v>182622</v>
      </c>
      <c r="L20" s="103">
        <v>123803</v>
      </c>
      <c r="M20" s="103">
        <v>100542.36</v>
      </c>
      <c r="N20" s="103">
        <v>107564</v>
      </c>
      <c r="O20" s="103">
        <v>134417</v>
      </c>
      <c r="P20" s="103">
        <v>131934</v>
      </c>
      <c r="Q20" s="103">
        <v>112269</v>
      </c>
      <c r="R20" s="103">
        <v>117688</v>
      </c>
      <c r="S20" s="103">
        <v>110391.2</v>
      </c>
      <c r="T20" s="103">
        <v>187024.6</v>
      </c>
      <c r="U20" s="103">
        <v>160312</v>
      </c>
      <c r="V20" s="103">
        <v>220696</v>
      </c>
      <c r="W20" s="103">
        <v>197467.59999999998</v>
      </c>
      <c r="X20" s="103">
        <v>41672.9</v>
      </c>
      <c r="Y20" s="103">
        <v>100403.8</v>
      </c>
      <c r="Z20" s="103">
        <v>232303.30000000002</v>
      </c>
      <c r="AA20" s="103">
        <v>139604.9</v>
      </c>
      <c r="AB20" s="103">
        <v>114000</v>
      </c>
      <c r="AC20" s="103">
        <v>148885.13299999997</v>
      </c>
      <c r="AD20" s="184"/>
      <c r="AF20" s="213"/>
    </row>
    <row r="21" spans="2:32">
      <c r="B21" s="43" t="str">
        <f>'2017 Determination - Revenue'!$B$34</f>
        <v>Gwydir</v>
      </c>
      <c r="C21" s="38" t="str">
        <f>C$20</f>
        <v>ML</v>
      </c>
      <c r="D21" s="38"/>
      <c r="E21" s="38"/>
      <c r="F21" s="103">
        <v>394616</v>
      </c>
      <c r="G21" s="103">
        <v>454913</v>
      </c>
      <c r="H21" s="103">
        <v>374762</v>
      </c>
      <c r="I21" s="103">
        <v>417837</v>
      </c>
      <c r="J21" s="103">
        <v>425315</v>
      </c>
      <c r="K21" s="103">
        <v>443145</v>
      </c>
      <c r="L21" s="103">
        <v>278986</v>
      </c>
      <c r="M21" s="103">
        <v>159250</v>
      </c>
      <c r="N21" s="103">
        <v>154840</v>
      </c>
      <c r="O21" s="103">
        <v>218496</v>
      </c>
      <c r="P21" s="103">
        <v>129467</v>
      </c>
      <c r="Q21" s="103">
        <v>79132</v>
      </c>
      <c r="R21" s="103">
        <v>143199</v>
      </c>
      <c r="S21" s="103">
        <v>46959</v>
      </c>
      <c r="T21" s="103">
        <v>245148</v>
      </c>
      <c r="U21" s="103">
        <v>200724.1</v>
      </c>
      <c r="V21" s="103">
        <v>428699.4</v>
      </c>
      <c r="W21" s="103">
        <v>408995.39999999997</v>
      </c>
      <c r="X21" s="103">
        <v>153199.6</v>
      </c>
      <c r="Y21" s="103">
        <v>85020.5</v>
      </c>
      <c r="Z21" s="103">
        <v>332713</v>
      </c>
      <c r="AA21" s="103">
        <v>315045.70000000007</v>
      </c>
      <c r="AB21" s="103">
        <v>70000</v>
      </c>
      <c r="AC21" s="103">
        <v>252046.685</v>
      </c>
      <c r="AD21" s="184"/>
      <c r="AF21" s="213"/>
    </row>
    <row r="22" spans="2:32">
      <c r="B22" s="43" t="str">
        <f>'2017 Determination - Revenue'!$B$35</f>
        <v>Namoi</v>
      </c>
      <c r="C22" s="38" t="str">
        <f t="shared" ref="C22:C33" si="3">C$20</f>
        <v>ML</v>
      </c>
      <c r="D22" s="38"/>
      <c r="E22" s="38"/>
      <c r="F22" s="103">
        <v>198965.3</v>
      </c>
      <c r="G22" s="103">
        <v>323274.03000000003</v>
      </c>
      <c r="H22" s="103">
        <v>216487.31</v>
      </c>
      <c r="I22" s="103">
        <v>246477.68</v>
      </c>
      <c r="J22" s="103">
        <v>248842.49</v>
      </c>
      <c r="K22" s="103">
        <v>280339.88</v>
      </c>
      <c r="L22" s="103">
        <v>236853.11</v>
      </c>
      <c r="M22" s="103">
        <v>80652.710000000006</v>
      </c>
      <c r="N22" s="103">
        <v>96650</v>
      </c>
      <c r="O22" s="103">
        <v>141325.29999999999</v>
      </c>
      <c r="P22" s="103">
        <v>66558.5</v>
      </c>
      <c r="Q22" s="103">
        <v>51211.6</v>
      </c>
      <c r="R22" s="103">
        <v>97482</v>
      </c>
      <c r="S22" s="103">
        <v>75152</v>
      </c>
      <c r="T22" s="103">
        <v>149958</v>
      </c>
      <c r="U22" s="103">
        <v>128271.7</v>
      </c>
      <c r="V22" s="103">
        <v>281246.7</v>
      </c>
      <c r="W22" s="103">
        <v>271541.50000000006</v>
      </c>
      <c r="X22" s="103">
        <v>66353.899999999994</v>
      </c>
      <c r="Y22" s="103">
        <v>38334.799999999996</v>
      </c>
      <c r="Z22" s="103">
        <v>213598</v>
      </c>
      <c r="AA22" s="103">
        <v>180155.6</v>
      </c>
      <c r="AB22" s="103">
        <v>50000</v>
      </c>
      <c r="AC22" s="103">
        <v>158374.63900000002</v>
      </c>
      <c r="AD22" s="184"/>
      <c r="AF22" s="213"/>
    </row>
    <row r="23" spans="2:32">
      <c r="B23" s="43" t="str">
        <f>'2017 Determination - Revenue'!$B$36</f>
        <v>Peel</v>
      </c>
      <c r="C23" s="38" t="str">
        <f t="shared" si="3"/>
        <v>ML</v>
      </c>
      <c r="D23" s="38"/>
      <c r="E23" s="38"/>
      <c r="F23" s="103">
        <v>5641</v>
      </c>
      <c r="G23" s="103">
        <v>16020</v>
      </c>
      <c r="H23" s="103">
        <v>5561</v>
      </c>
      <c r="I23" s="103">
        <v>7309</v>
      </c>
      <c r="J23" s="103">
        <v>10241</v>
      </c>
      <c r="K23" s="103">
        <v>14671</v>
      </c>
      <c r="L23" s="103">
        <v>21805</v>
      </c>
      <c r="M23" s="103">
        <v>13325</v>
      </c>
      <c r="N23" s="103">
        <v>15165</v>
      </c>
      <c r="O23" s="103">
        <v>14753</v>
      </c>
      <c r="P23" s="103">
        <v>9718</v>
      </c>
      <c r="Q23" s="103">
        <v>9080</v>
      </c>
      <c r="R23" s="103">
        <v>10183</v>
      </c>
      <c r="S23" s="103">
        <v>17517</v>
      </c>
      <c r="T23" s="103">
        <v>6915</v>
      </c>
      <c r="U23" s="103">
        <v>4218.7</v>
      </c>
      <c r="V23" s="103">
        <v>13317.1</v>
      </c>
      <c r="W23" s="103">
        <v>17412.7</v>
      </c>
      <c r="X23" s="103">
        <v>6052.9000000000005</v>
      </c>
      <c r="Y23" s="103">
        <v>11011.499999999998</v>
      </c>
      <c r="Z23" s="103">
        <v>10365.900000000001</v>
      </c>
      <c r="AA23" s="103">
        <v>22083.99</v>
      </c>
      <c r="AB23" s="103">
        <v>15000</v>
      </c>
      <c r="AC23" s="103">
        <v>12035.289500000001</v>
      </c>
      <c r="AD23" s="184"/>
      <c r="AF23" s="213"/>
    </row>
    <row r="24" spans="2:32">
      <c r="B24" s="43" t="str">
        <f>'2017 Determination - Revenue'!$B$37</f>
        <v>Lachlan</v>
      </c>
      <c r="C24" s="38" t="str">
        <f t="shared" si="3"/>
        <v>ML</v>
      </c>
      <c r="D24" s="38"/>
      <c r="E24" s="38"/>
      <c r="F24" s="103">
        <v>436000</v>
      </c>
      <c r="G24" s="103">
        <v>414000</v>
      </c>
      <c r="H24" s="103">
        <v>278000</v>
      </c>
      <c r="I24" s="103">
        <v>285000</v>
      </c>
      <c r="J24" s="103">
        <v>407000</v>
      </c>
      <c r="K24" s="103">
        <v>439572.22</v>
      </c>
      <c r="L24" s="103">
        <v>237252.44</v>
      </c>
      <c r="M24" s="103">
        <v>43509.97</v>
      </c>
      <c r="N24" s="103">
        <v>21164.7</v>
      </c>
      <c r="O24" s="103">
        <v>112435.93</v>
      </c>
      <c r="P24" s="103">
        <v>57260.200000000004</v>
      </c>
      <c r="Q24" s="103">
        <v>30776.5</v>
      </c>
      <c r="R24" s="103">
        <v>27797.599999999999</v>
      </c>
      <c r="S24" s="103">
        <v>11786.7</v>
      </c>
      <c r="T24" s="103">
        <v>85698.8</v>
      </c>
      <c r="U24" s="103">
        <v>212768.7</v>
      </c>
      <c r="V24" s="103">
        <v>394082.4</v>
      </c>
      <c r="W24" s="103">
        <v>248401.7</v>
      </c>
      <c r="X24" s="103">
        <v>178283.19999999998</v>
      </c>
      <c r="Y24" s="103">
        <v>199222.9</v>
      </c>
      <c r="Z24" s="103">
        <v>206757.9</v>
      </c>
      <c r="AA24" s="103">
        <v>347405.69999999995</v>
      </c>
      <c r="AB24" s="103">
        <v>216000</v>
      </c>
      <c r="AC24" s="103">
        <v>191208.87799999997</v>
      </c>
      <c r="AD24" s="184"/>
      <c r="AF24" s="213"/>
    </row>
    <row r="25" spans="2:32">
      <c r="B25" s="43" t="str">
        <f>'2017 Determination - Revenue'!$B$38</f>
        <v>Macquarie</v>
      </c>
      <c r="C25" s="38" t="str">
        <f t="shared" si="3"/>
        <v>ML</v>
      </c>
      <c r="D25" s="38"/>
      <c r="E25" s="38"/>
      <c r="F25" s="103">
        <v>348937</v>
      </c>
      <c r="G25" s="103">
        <v>403989</v>
      </c>
      <c r="H25" s="103">
        <v>336071</v>
      </c>
      <c r="I25" s="103">
        <v>385748</v>
      </c>
      <c r="J25" s="103">
        <v>464188</v>
      </c>
      <c r="K25" s="103">
        <v>545663.54</v>
      </c>
      <c r="L25" s="103">
        <v>375914.33</v>
      </c>
      <c r="M25" s="103">
        <v>174168.35</v>
      </c>
      <c r="N25" s="103">
        <v>63783.6</v>
      </c>
      <c r="O25" s="103">
        <v>180723</v>
      </c>
      <c r="P25" s="103">
        <v>204745</v>
      </c>
      <c r="Q25" s="103">
        <v>30867</v>
      </c>
      <c r="R25" s="103">
        <v>65439</v>
      </c>
      <c r="S25" s="103">
        <v>73820</v>
      </c>
      <c r="T25" s="103">
        <v>203146</v>
      </c>
      <c r="U25" s="103">
        <v>296617.90000000002</v>
      </c>
      <c r="V25" s="103">
        <v>558856.4</v>
      </c>
      <c r="W25" s="103">
        <v>268934.09999999998</v>
      </c>
      <c r="X25" s="103">
        <v>90827.299999999988</v>
      </c>
      <c r="Y25" s="103">
        <v>109532.90000000001</v>
      </c>
      <c r="Z25" s="103">
        <v>232194</v>
      </c>
      <c r="AA25" s="103">
        <v>399824.6</v>
      </c>
      <c r="AB25" s="103">
        <v>240000</v>
      </c>
      <c r="AC25" s="103">
        <v>253053.20099999997</v>
      </c>
      <c r="AD25" s="184"/>
      <c r="AF25" s="213"/>
    </row>
    <row r="26" spans="2:32">
      <c r="B26" s="43" t="str">
        <f>'2017 Determination - Revenue'!$B$39</f>
        <v>Murray</v>
      </c>
      <c r="C26" s="38" t="str">
        <f t="shared" si="3"/>
        <v>ML</v>
      </c>
      <c r="D26" s="38"/>
      <c r="E26" s="38"/>
      <c r="F26" s="103">
        <v>2571846.7923076921</v>
      </c>
      <c r="G26" s="103">
        <v>2171575.7923076921</v>
      </c>
      <c r="H26" s="103">
        <v>2263389.7923076921</v>
      </c>
      <c r="I26" s="103">
        <v>1452484.7923076923</v>
      </c>
      <c r="J26" s="103">
        <v>2424464.7923076921</v>
      </c>
      <c r="K26" s="103">
        <v>2275610.7923076921</v>
      </c>
      <c r="L26" s="103">
        <v>1168771.7923076923</v>
      </c>
      <c r="M26" s="103">
        <v>1506283.7923076923</v>
      </c>
      <c r="N26" s="103">
        <v>1284123.7</v>
      </c>
      <c r="O26" s="103">
        <v>1692042.2</v>
      </c>
      <c r="P26" s="103">
        <v>602536.1</v>
      </c>
      <c r="Q26" s="103">
        <v>289197.3</v>
      </c>
      <c r="R26" s="103">
        <v>501322.4</v>
      </c>
      <c r="S26" s="103">
        <v>679952.1</v>
      </c>
      <c r="T26" s="103">
        <v>960984.60000000009</v>
      </c>
      <c r="U26" s="103">
        <v>1848920.7000000002</v>
      </c>
      <c r="V26" s="103">
        <v>2514563.6999999997</v>
      </c>
      <c r="W26" s="103">
        <v>2056232.1</v>
      </c>
      <c r="X26" s="103">
        <v>1764682.1</v>
      </c>
      <c r="Y26" s="103">
        <v>1103217.1000000001</v>
      </c>
      <c r="Z26" s="103">
        <v>1877178.8</v>
      </c>
      <c r="AA26" s="103">
        <v>1701381.0999999999</v>
      </c>
      <c r="AB26" s="103">
        <v>700000</v>
      </c>
      <c r="AC26" s="103">
        <v>1495614.9314285717</v>
      </c>
      <c r="AD26" s="184"/>
      <c r="AF26" s="213"/>
    </row>
    <row r="27" spans="2:32">
      <c r="B27" s="43" t="str">
        <f>'2017 Determination - Revenue'!$B$40</f>
        <v>Murrumbidgee</v>
      </c>
      <c r="C27" s="38" t="str">
        <f t="shared" si="3"/>
        <v>ML</v>
      </c>
      <c r="D27" s="38"/>
      <c r="E27" s="38"/>
      <c r="F27" s="103">
        <v>2685719.4076923076</v>
      </c>
      <c r="G27" s="103">
        <v>2516719.4076923076</v>
      </c>
      <c r="H27" s="103">
        <v>2193719.4076923076</v>
      </c>
      <c r="I27" s="103">
        <v>1787719.4076923076</v>
      </c>
      <c r="J27" s="103">
        <v>2272719.4076923076</v>
      </c>
      <c r="K27" s="103">
        <v>2328719.4076923076</v>
      </c>
      <c r="L27" s="103">
        <v>1804719.4076923076</v>
      </c>
      <c r="M27" s="103">
        <v>1729719.4076923076</v>
      </c>
      <c r="N27" s="103">
        <v>1534368.1</v>
      </c>
      <c r="O27" s="103">
        <v>1938642.7</v>
      </c>
      <c r="P27" s="103">
        <v>952257.7</v>
      </c>
      <c r="Q27" s="103">
        <v>566132.6</v>
      </c>
      <c r="R27" s="103">
        <v>929755.50000000012</v>
      </c>
      <c r="S27" s="103">
        <v>893689.5</v>
      </c>
      <c r="T27" s="103">
        <v>1364777.6</v>
      </c>
      <c r="U27" s="103">
        <v>1739421.3</v>
      </c>
      <c r="V27" s="103">
        <v>2353487.6</v>
      </c>
      <c r="W27" s="103">
        <v>1777486.6</v>
      </c>
      <c r="X27" s="103">
        <v>1883941.7999999998</v>
      </c>
      <c r="Y27" s="103">
        <v>1419128.5</v>
      </c>
      <c r="Z27" s="103">
        <v>1902516.4</v>
      </c>
      <c r="AA27" s="103">
        <v>1715237.9</v>
      </c>
      <c r="AB27" s="103">
        <v>957000</v>
      </c>
      <c r="AC27" s="103">
        <v>1652892.017857143</v>
      </c>
      <c r="AD27" s="184"/>
      <c r="AF27" s="213"/>
    </row>
    <row r="28" spans="2:32">
      <c r="B28" s="43" t="str">
        <f>'2017 Determination - Revenue'!$B$41</f>
        <v>Lowbidgee</v>
      </c>
      <c r="C28" s="38" t="str">
        <f t="shared" si="3"/>
        <v>ML</v>
      </c>
      <c r="D28" s="38"/>
      <c r="E28" s="38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>
        <v>92544</v>
      </c>
      <c r="W28" s="103">
        <v>8392</v>
      </c>
      <c r="X28" s="103">
        <v>82587</v>
      </c>
      <c r="Y28" s="103">
        <v>12840</v>
      </c>
      <c r="Z28" s="103">
        <v>59350</v>
      </c>
      <c r="AA28" s="103">
        <v>0</v>
      </c>
      <c r="AB28" s="103">
        <v>0</v>
      </c>
      <c r="AC28" s="103">
        <v>0</v>
      </c>
      <c r="AD28" s="184"/>
      <c r="AF28" s="213"/>
    </row>
    <row r="29" spans="2:32">
      <c r="B29" s="43"/>
      <c r="C29" s="38"/>
      <c r="D29" s="38"/>
      <c r="E29" s="38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90"/>
      <c r="AD29" s="94"/>
      <c r="AF29" s="213"/>
    </row>
    <row r="30" spans="2:32" ht="12">
      <c r="B30" s="49" t="s">
        <v>40</v>
      </c>
      <c r="C30" s="38"/>
      <c r="D30" s="38"/>
      <c r="E30" s="38"/>
      <c r="F30" s="107" t="s">
        <v>154</v>
      </c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90"/>
      <c r="AD30" s="94"/>
      <c r="AF30" s="213"/>
    </row>
    <row r="31" spans="2:32" ht="12" customHeight="1">
      <c r="B31" s="29" t="s">
        <v>44</v>
      </c>
      <c r="C31" s="28" t="s">
        <v>119</v>
      </c>
      <c r="D31" s="38"/>
      <c r="E31" s="38"/>
      <c r="F31" s="104"/>
      <c r="G31" s="104"/>
      <c r="H31" s="104"/>
      <c r="I31" s="104"/>
      <c r="J31" s="103">
        <v>2466600</v>
      </c>
      <c r="K31" s="103">
        <v>3215700</v>
      </c>
      <c r="L31" s="103">
        <v>2318514</v>
      </c>
      <c r="M31" s="103">
        <v>571786</v>
      </c>
      <c r="N31" s="103">
        <v>1496500</v>
      </c>
      <c r="O31" s="103">
        <v>962500</v>
      </c>
      <c r="P31" s="103">
        <v>2726200</v>
      </c>
      <c r="Q31" s="103">
        <v>1291700</v>
      </c>
      <c r="R31" s="103">
        <v>630600</v>
      </c>
      <c r="S31" s="103">
        <v>394900</v>
      </c>
      <c r="T31" s="103">
        <v>2046800</v>
      </c>
      <c r="U31" s="103">
        <v>612100</v>
      </c>
      <c r="V31" s="103">
        <v>1336800</v>
      </c>
      <c r="W31" s="103">
        <v>1643600</v>
      </c>
      <c r="X31" s="103">
        <v>755130</v>
      </c>
      <c r="Y31" s="103">
        <v>2179600</v>
      </c>
      <c r="Z31" s="103">
        <v>1539580</v>
      </c>
      <c r="AA31" s="103">
        <v>5512622</v>
      </c>
      <c r="AB31" s="103">
        <v>4700000</v>
      </c>
      <c r="AC31" s="103">
        <v>1761179.5555555555</v>
      </c>
      <c r="AD31" s="94"/>
      <c r="AF31" s="213"/>
    </row>
    <row r="32" spans="2:32" s="110" customFormat="1" ht="12" customHeight="1">
      <c r="B32" s="29" t="s">
        <v>53</v>
      </c>
      <c r="C32" s="38" t="str">
        <f t="shared" si="3"/>
        <v>ML</v>
      </c>
      <c r="D32" s="38"/>
      <c r="E32" s="38"/>
      <c r="F32" s="103">
        <v>72</v>
      </c>
      <c r="G32" s="103">
        <v>54</v>
      </c>
      <c r="H32" s="103">
        <v>48</v>
      </c>
      <c r="I32" s="103">
        <v>50</v>
      </c>
      <c r="J32" s="103">
        <v>50</v>
      </c>
      <c r="K32" s="103">
        <v>50</v>
      </c>
      <c r="L32" s="103">
        <v>66</v>
      </c>
      <c r="M32" s="103">
        <v>60</v>
      </c>
      <c r="N32" s="103">
        <v>45</v>
      </c>
      <c r="O32" s="103">
        <v>64</v>
      </c>
      <c r="P32" s="103">
        <v>47</v>
      </c>
      <c r="Q32" s="103">
        <v>40</v>
      </c>
      <c r="R32" s="103">
        <v>42</v>
      </c>
      <c r="S32" s="103">
        <v>40</v>
      </c>
      <c r="T32" s="103">
        <v>30</v>
      </c>
      <c r="U32" s="103">
        <v>36</v>
      </c>
      <c r="V32" s="103">
        <v>41</v>
      </c>
      <c r="W32" s="103">
        <v>54</v>
      </c>
      <c r="X32" s="103">
        <v>65</v>
      </c>
      <c r="Y32" s="103">
        <v>51.097000000000001</v>
      </c>
      <c r="Z32" s="103">
        <v>70.8</v>
      </c>
      <c r="AA32" s="103">
        <v>56.5</v>
      </c>
      <c r="AB32" s="103">
        <v>28.1</v>
      </c>
      <c r="AC32" s="103">
        <v>50.319849999999995</v>
      </c>
      <c r="AD32" s="94"/>
      <c r="AE32" s="34"/>
      <c r="AF32" s="213"/>
    </row>
    <row r="33" spans="1:32">
      <c r="B33" s="29" t="s">
        <v>58</v>
      </c>
      <c r="C33" s="38" t="str">
        <f t="shared" si="3"/>
        <v>ML</v>
      </c>
      <c r="D33" s="38"/>
      <c r="E33" s="38"/>
      <c r="F33" s="103">
        <v>186</v>
      </c>
      <c r="G33" s="103">
        <v>138</v>
      </c>
      <c r="H33" s="103">
        <v>123</v>
      </c>
      <c r="I33" s="103">
        <v>129</v>
      </c>
      <c r="J33" s="103">
        <v>129</v>
      </c>
      <c r="K33" s="103">
        <v>129</v>
      </c>
      <c r="L33" s="103">
        <v>170</v>
      </c>
      <c r="M33" s="103">
        <v>155</v>
      </c>
      <c r="N33" s="103">
        <v>116</v>
      </c>
      <c r="O33" s="103">
        <v>164</v>
      </c>
      <c r="P33" s="103">
        <v>112</v>
      </c>
      <c r="Q33" s="103">
        <v>110</v>
      </c>
      <c r="R33" s="103">
        <v>104</v>
      </c>
      <c r="S33" s="103">
        <v>88</v>
      </c>
      <c r="T33" s="103">
        <v>97</v>
      </c>
      <c r="U33" s="103">
        <v>92</v>
      </c>
      <c r="V33" s="103">
        <v>65</v>
      </c>
      <c r="W33" s="103">
        <v>66</v>
      </c>
      <c r="X33" s="103">
        <v>80</v>
      </c>
      <c r="Y33" s="103">
        <v>73.823999999999998</v>
      </c>
      <c r="Z33" s="103">
        <v>65.659000000000006</v>
      </c>
      <c r="AA33" s="103">
        <v>65.659000000000006</v>
      </c>
      <c r="AB33" s="103">
        <v>75.3</v>
      </c>
      <c r="AC33" s="103">
        <v>106.70710000000001</v>
      </c>
      <c r="AD33" s="94"/>
      <c r="AF33" s="213"/>
    </row>
    <row r="34" spans="1:32">
      <c r="B34" s="45"/>
      <c r="C34" s="36"/>
      <c r="D34" s="36"/>
      <c r="E34" s="3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7"/>
      <c r="AF34" s="213"/>
    </row>
    <row r="35" spans="1:32">
      <c r="A35" s="38"/>
      <c r="B35" s="38"/>
      <c r="C35" s="38"/>
      <c r="D35" s="38"/>
      <c r="E35" s="38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F35" s="213"/>
    </row>
    <row r="36" spans="1:32" s="110" customFormat="1">
      <c r="A36" s="38"/>
      <c r="B36" s="38"/>
      <c r="C36" s="38"/>
      <c r="D36" s="38"/>
      <c r="E36" s="38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34"/>
      <c r="AF36" s="213"/>
    </row>
    <row r="37" spans="1:32">
      <c r="A37" s="38"/>
      <c r="B37" s="33" t="s">
        <v>62</v>
      </c>
      <c r="C37" s="38"/>
      <c r="D37" s="38"/>
      <c r="E37" s="38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F37" s="213"/>
    </row>
    <row r="38" spans="1:32">
      <c r="B38" s="63" t="str">
        <f>'2017 Determination - Revenue'!B$16</f>
        <v>Financial year</v>
      </c>
      <c r="C38" s="41" t="str">
        <f>'2017 Determination - Revenue'!C$28</f>
        <v>Units</v>
      </c>
      <c r="D38" s="41"/>
      <c r="E38" s="41"/>
      <c r="F38" s="126" t="str">
        <f t="shared" ref="F38:Z38" si="4">F$16</f>
        <v>1996-97</v>
      </c>
      <c r="G38" s="126" t="str">
        <f t="shared" si="4"/>
        <v>1997-98</v>
      </c>
      <c r="H38" s="126" t="str">
        <f t="shared" si="4"/>
        <v>1998-99</v>
      </c>
      <c r="I38" s="126" t="str">
        <f t="shared" si="4"/>
        <v>1999-00</v>
      </c>
      <c r="J38" s="126" t="str">
        <f t="shared" si="4"/>
        <v>2000-01</v>
      </c>
      <c r="K38" s="126" t="str">
        <f t="shared" si="4"/>
        <v>2001-02</v>
      </c>
      <c r="L38" s="126" t="str">
        <f t="shared" si="4"/>
        <v>2002-03</v>
      </c>
      <c r="M38" s="126" t="str">
        <f t="shared" si="4"/>
        <v>2003-04</v>
      </c>
      <c r="N38" s="126" t="str">
        <f t="shared" si="4"/>
        <v>2004-05</v>
      </c>
      <c r="O38" s="126" t="str">
        <f t="shared" si="4"/>
        <v>2005-06</v>
      </c>
      <c r="P38" s="126" t="str">
        <f t="shared" si="4"/>
        <v>2006-07</v>
      </c>
      <c r="Q38" s="126" t="str">
        <f t="shared" si="4"/>
        <v>2007-08</v>
      </c>
      <c r="R38" s="126" t="str">
        <f t="shared" si="4"/>
        <v>2008-09</v>
      </c>
      <c r="S38" s="126" t="str">
        <f t="shared" si="4"/>
        <v>2009-10</v>
      </c>
      <c r="T38" s="126" t="str">
        <f t="shared" si="4"/>
        <v>2010-11</v>
      </c>
      <c r="U38" s="126" t="str">
        <f t="shared" si="4"/>
        <v>2011-12</v>
      </c>
      <c r="V38" s="126" t="str">
        <f t="shared" si="4"/>
        <v>2012-13</v>
      </c>
      <c r="W38" s="126" t="str">
        <f t="shared" si="4"/>
        <v>2013-14</v>
      </c>
      <c r="X38" s="126" t="str">
        <f t="shared" si="4"/>
        <v>2014-15</v>
      </c>
      <c r="Y38" s="126" t="str">
        <f t="shared" si="4"/>
        <v>2015-16</v>
      </c>
      <c r="Z38" s="126" t="str">
        <f t="shared" si="4"/>
        <v>2016-17</v>
      </c>
      <c r="AA38" s="126" t="str">
        <f>AA$16</f>
        <v>2017-18</v>
      </c>
      <c r="AB38" s="126" t="str">
        <f>AB$16</f>
        <v>2018-19</v>
      </c>
      <c r="AC38" s="126" t="str">
        <f>AC$16</f>
        <v>2019-20</v>
      </c>
      <c r="AD38" s="126"/>
      <c r="AF38" s="213"/>
    </row>
    <row r="39" spans="1:32">
      <c r="B39" s="49"/>
      <c r="C39" s="38"/>
      <c r="D39" s="38"/>
      <c r="E39" s="38"/>
      <c r="F39" s="144" t="str">
        <f t="shared" ref="F39:AC39" si="5">F$17</f>
        <v>Actual</v>
      </c>
      <c r="G39" s="144" t="str">
        <f t="shared" si="5"/>
        <v>Actual</v>
      </c>
      <c r="H39" s="144" t="str">
        <f t="shared" si="5"/>
        <v>Actual</v>
      </c>
      <c r="I39" s="144" t="str">
        <f t="shared" si="5"/>
        <v>Actual</v>
      </c>
      <c r="J39" s="144" t="str">
        <f t="shared" si="5"/>
        <v>Actual</v>
      </c>
      <c r="K39" s="144" t="str">
        <f t="shared" si="5"/>
        <v>Actual</v>
      </c>
      <c r="L39" s="144" t="str">
        <f t="shared" si="5"/>
        <v>Actual</v>
      </c>
      <c r="M39" s="144" t="str">
        <f t="shared" si="5"/>
        <v>Actual</v>
      </c>
      <c r="N39" s="144" t="str">
        <f t="shared" si="5"/>
        <v>Actual</v>
      </c>
      <c r="O39" s="144" t="str">
        <f t="shared" si="5"/>
        <v>Actual</v>
      </c>
      <c r="P39" s="144" t="str">
        <f t="shared" si="5"/>
        <v>Actual</v>
      </c>
      <c r="Q39" s="144" t="str">
        <f t="shared" si="5"/>
        <v>Actual</v>
      </c>
      <c r="R39" s="144" t="str">
        <f t="shared" si="5"/>
        <v>Actual</v>
      </c>
      <c r="S39" s="144" t="str">
        <f t="shared" si="5"/>
        <v>Actual</v>
      </c>
      <c r="T39" s="144" t="str">
        <f t="shared" si="5"/>
        <v>Actual</v>
      </c>
      <c r="U39" s="144" t="str">
        <f t="shared" si="5"/>
        <v>Actual</v>
      </c>
      <c r="V39" s="144" t="str">
        <f t="shared" si="5"/>
        <v>Actual</v>
      </c>
      <c r="W39" s="144" t="str">
        <f t="shared" si="5"/>
        <v>Actual</v>
      </c>
      <c r="X39" s="144" t="str">
        <f t="shared" si="5"/>
        <v>Actual</v>
      </c>
      <c r="Y39" s="144" t="str">
        <f t="shared" si="5"/>
        <v>Actual</v>
      </c>
      <c r="Z39" s="144" t="str">
        <f t="shared" si="5"/>
        <v>Actual</v>
      </c>
      <c r="AA39" s="144" t="str">
        <f t="shared" si="5"/>
        <v>Actual</v>
      </c>
      <c r="AB39" s="144" t="str">
        <f t="shared" si="5"/>
        <v>Estimate</v>
      </c>
      <c r="AC39" s="144" t="str">
        <f t="shared" si="5"/>
        <v>Forecast</v>
      </c>
      <c r="AD39" s="144"/>
      <c r="AF39" s="213"/>
    </row>
    <row r="40" spans="1:32" ht="12">
      <c r="B40" s="49" t="s">
        <v>30</v>
      </c>
      <c r="C40" s="38"/>
      <c r="D40" s="38"/>
      <c r="E40" s="38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104"/>
      <c r="Z40" s="99"/>
      <c r="AA40" s="89"/>
      <c r="AB40" s="89"/>
      <c r="AC40" s="90"/>
      <c r="AD40" s="94"/>
      <c r="AF40" s="213"/>
    </row>
    <row r="41" spans="1:32" ht="12" customHeight="1">
      <c r="B41" s="43" t="str">
        <f>'2017 Determination - Revenue'!$B$33</f>
        <v>Border</v>
      </c>
      <c r="C41" s="38" t="str">
        <f t="shared" ref="C41:C49" si="6">C$20</f>
        <v>ML</v>
      </c>
      <c r="D41" s="38"/>
      <c r="E41" s="38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>
        <v>263238</v>
      </c>
      <c r="Y41" s="103">
        <v>263238</v>
      </c>
      <c r="Z41" s="103">
        <v>263218</v>
      </c>
      <c r="AA41" s="103">
        <v>263281</v>
      </c>
      <c r="AB41" s="103">
        <v>263218</v>
      </c>
      <c r="AC41" s="103">
        <v>263281</v>
      </c>
      <c r="AD41" s="94"/>
      <c r="AF41" s="213"/>
    </row>
    <row r="42" spans="1:32">
      <c r="B42" s="43" t="str">
        <f>'2017 Determination - Revenue'!$B$34</f>
        <v>Gwydir</v>
      </c>
      <c r="C42" s="38" t="str">
        <f t="shared" si="6"/>
        <v>ML</v>
      </c>
      <c r="D42" s="38"/>
      <c r="E42" s="38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>
        <v>509665</v>
      </c>
      <c r="Y42" s="103">
        <v>509665</v>
      </c>
      <c r="Z42" s="103">
        <v>509665</v>
      </c>
      <c r="AA42" s="103">
        <v>509665</v>
      </c>
      <c r="AB42" s="103">
        <v>509665</v>
      </c>
      <c r="AC42" s="103">
        <v>509665</v>
      </c>
      <c r="AD42" s="94"/>
      <c r="AF42" s="213"/>
    </row>
    <row r="43" spans="1:32">
      <c r="B43" s="43" t="str">
        <f>'2017 Determination - Revenue'!$B$35</f>
        <v>Namoi</v>
      </c>
      <c r="C43" s="38" t="str">
        <f t="shared" si="6"/>
        <v>ML</v>
      </c>
      <c r="D43" s="38"/>
      <c r="E43" s="38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>
        <v>256211.5</v>
      </c>
      <c r="Y43" s="103">
        <v>256211.5</v>
      </c>
      <c r="Z43" s="103">
        <v>256211.5</v>
      </c>
      <c r="AA43" s="103">
        <v>256528.7</v>
      </c>
      <c r="AB43" s="103">
        <v>256529</v>
      </c>
      <c r="AC43" s="103">
        <v>256528.7</v>
      </c>
      <c r="AD43" s="94"/>
      <c r="AF43" s="213"/>
    </row>
    <row r="44" spans="1:32">
      <c r="B44" s="43" t="str">
        <f>'2017 Determination - Revenue'!$B$36</f>
        <v>Peel</v>
      </c>
      <c r="C44" s="38" t="str">
        <f t="shared" si="6"/>
        <v>ML</v>
      </c>
      <c r="D44" s="38"/>
      <c r="E44" s="38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>
        <v>30428</v>
      </c>
      <c r="Y44" s="103">
        <v>30428</v>
      </c>
      <c r="Z44" s="103">
        <v>30428</v>
      </c>
      <c r="AA44" s="103">
        <v>29635</v>
      </c>
      <c r="AB44" s="103">
        <v>29635</v>
      </c>
      <c r="AC44" s="103">
        <v>29635</v>
      </c>
      <c r="AD44" s="94"/>
      <c r="AF44" s="213"/>
    </row>
    <row r="45" spans="1:32">
      <c r="B45" s="43" t="str">
        <f>'2017 Determination - Revenue'!$B$37</f>
        <v>Lachlan</v>
      </c>
      <c r="C45" s="38" t="str">
        <f t="shared" si="6"/>
        <v>ML</v>
      </c>
      <c r="D45" s="38"/>
      <c r="E45" s="38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>
        <v>633346.39999999991</v>
      </c>
      <c r="Y45" s="103">
        <v>633166.39999999991</v>
      </c>
      <c r="Z45" s="103">
        <v>633166.4</v>
      </c>
      <c r="AA45" s="103">
        <v>633166.4</v>
      </c>
      <c r="AB45" s="103">
        <v>633166</v>
      </c>
      <c r="AC45" s="103">
        <v>633166.4</v>
      </c>
      <c r="AD45" s="94"/>
      <c r="AF45" s="213"/>
    </row>
    <row r="46" spans="1:32">
      <c r="B46" s="43" t="str">
        <f>'2017 Determination - Revenue'!$B$38</f>
        <v>Macquarie</v>
      </c>
      <c r="C46" s="38" t="str">
        <f t="shared" si="6"/>
        <v>ML</v>
      </c>
      <c r="D46" s="38"/>
      <c r="E46" s="38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>
        <v>632466</v>
      </c>
      <c r="Y46" s="103">
        <v>632466.10000000009</v>
      </c>
      <c r="Z46" s="103">
        <v>632466.1</v>
      </c>
      <c r="AA46" s="103">
        <v>632466.1</v>
      </c>
      <c r="AB46" s="103">
        <v>632466</v>
      </c>
      <c r="AC46" s="103">
        <v>632466.1</v>
      </c>
      <c r="AD46" s="94"/>
      <c r="AF46" s="213"/>
    </row>
    <row r="47" spans="1:32">
      <c r="B47" s="43" t="str">
        <f>'2017 Determination - Revenue'!$B$39</f>
        <v>Murray</v>
      </c>
      <c r="C47" s="38" t="str">
        <f t="shared" si="6"/>
        <v>ML</v>
      </c>
      <c r="D47" s="38"/>
      <c r="E47" s="38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>
        <v>2081289.0999999999</v>
      </c>
      <c r="Y47" s="103">
        <v>2083271.0999999999</v>
      </c>
      <c r="Z47" s="103">
        <v>2083271.1</v>
      </c>
      <c r="AA47" s="103">
        <v>2083271.1</v>
      </c>
      <c r="AB47" s="103">
        <v>2083603</v>
      </c>
      <c r="AC47" s="103">
        <v>2083271.1</v>
      </c>
      <c r="AD47" s="94"/>
      <c r="AF47" s="213"/>
    </row>
    <row r="48" spans="1:32">
      <c r="B48" s="43" t="str">
        <f>'2017 Determination - Revenue'!$B$40</f>
        <v>Murrumbidgee</v>
      </c>
      <c r="C48" s="38" t="str">
        <f t="shared" si="6"/>
        <v>ML</v>
      </c>
      <c r="D48" s="38"/>
      <c r="E48" s="38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>
        <v>2267962.6</v>
      </c>
      <c r="Y48" s="103">
        <v>2267962.6000000006</v>
      </c>
      <c r="Z48" s="103">
        <v>2267962.6</v>
      </c>
      <c r="AA48" s="103">
        <v>2267962.6</v>
      </c>
      <c r="AB48" s="103">
        <v>2267963</v>
      </c>
      <c r="AC48" s="103">
        <v>2267962.6</v>
      </c>
      <c r="AD48" s="94"/>
      <c r="AF48" s="213"/>
    </row>
    <row r="49" spans="2:32">
      <c r="B49" s="43" t="str">
        <f>'2017 Determination - Revenue'!$B$41</f>
        <v>Lowbidgee</v>
      </c>
      <c r="C49" s="38" t="str">
        <f t="shared" si="6"/>
        <v>ML</v>
      </c>
      <c r="D49" s="38"/>
      <c r="E49" s="38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94"/>
      <c r="AF49" s="213"/>
    </row>
    <row r="50" spans="2:32">
      <c r="B50" s="43"/>
      <c r="C50" s="38"/>
      <c r="D50" s="38"/>
      <c r="E50" s="38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104"/>
      <c r="Z50" s="89"/>
      <c r="AA50" s="89"/>
      <c r="AB50" s="89"/>
      <c r="AC50" s="89"/>
      <c r="AD50" s="94"/>
      <c r="AF50" s="213"/>
    </row>
    <row r="51" spans="2:32" ht="12">
      <c r="B51" s="49" t="s">
        <v>31</v>
      </c>
      <c r="C51" s="38"/>
      <c r="D51" s="38"/>
      <c r="E51" s="38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104"/>
      <c r="Z51" s="99"/>
      <c r="AA51" s="89"/>
      <c r="AB51" s="89"/>
      <c r="AC51" s="89"/>
      <c r="AD51" s="94"/>
      <c r="AF51" s="213"/>
    </row>
    <row r="52" spans="2:32" ht="12" customHeight="1">
      <c r="B52" s="43" t="str">
        <f>'2017 Determination - Revenue'!$B$33</f>
        <v>Border</v>
      </c>
      <c r="C52" s="38" t="str">
        <f t="shared" ref="C52:C60" si="7">C$20</f>
        <v>ML</v>
      </c>
      <c r="D52" s="38"/>
      <c r="E52" s="38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>
        <v>3122</v>
      </c>
      <c r="Y52" s="103">
        <v>3121</v>
      </c>
      <c r="Z52" s="103">
        <v>3141</v>
      </c>
      <c r="AA52" s="103">
        <v>3141</v>
      </c>
      <c r="AB52" s="103">
        <v>3141</v>
      </c>
      <c r="AC52" s="103">
        <v>3141</v>
      </c>
      <c r="AD52" s="94"/>
      <c r="AF52" s="213"/>
    </row>
    <row r="53" spans="2:32">
      <c r="B53" s="43" t="str">
        <f>'2017 Determination - Revenue'!$B$34</f>
        <v>Gwydir</v>
      </c>
      <c r="C53" s="38" t="str">
        <f t="shared" si="7"/>
        <v>ML</v>
      </c>
      <c r="D53" s="38"/>
      <c r="E53" s="38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>
        <v>26839.9</v>
      </c>
      <c r="Y53" s="103">
        <v>26919.9</v>
      </c>
      <c r="Z53" s="103">
        <v>26919.9</v>
      </c>
      <c r="AA53" s="103">
        <v>26919.9</v>
      </c>
      <c r="AB53" s="103">
        <v>26920</v>
      </c>
      <c r="AC53" s="103">
        <v>26919.9</v>
      </c>
      <c r="AD53" s="94"/>
      <c r="AF53" s="213"/>
    </row>
    <row r="54" spans="2:32">
      <c r="B54" s="43" t="str">
        <f>'2017 Determination - Revenue'!$B$35</f>
        <v>Namoi</v>
      </c>
      <c r="C54" s="38" t="str">
        <f t="shared" si="7"/>
        <v>ML</v>
      </c>
      <c r="D54" s="38"/>
      <c r="E54" s="38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>
        <v>8882</v>
      </c>
      <c r="Y54" s="103">
        <v>8866</v>
      </c>
      <c r="Z54" s="103">
        <v>8866</v>
      </c>
      <c r="AA54" s="103">
        <v>8866</v>
      </c>
      <c r="AB54" s="103">
        <v>8866</v>
      </c>
      <c r="AC54" s="103">
        <v>8866</v>
      </c>
      <c r="AD54" s="94"/>
      <c r="AF54" s="213"/>
    </row>
    <row r="55" spans="2:32">
      <c r="B55" s="43" t="str">
        <f>'2017 Determination - Revenue'!$B$36</f>
        <v>Peel</v>
      </c>
      <c r="C55" s="38" t="str">
        <f t="shared" si="7"/>
        <v>ML</v>
      </c>
      <c r="D55" s="38"/>
      <c r="E55" s="38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>
        <v>17367</v>
      </c>
      <c r="Y55" s="103">
        <v>17367</v>
      </c>
      <c r="Z55" s="103">
        <v>17367</v>
      </c>
      <c r="AA55" s="103">
        <v>17367</v>
      </c>
      <c r="AB55" s="103">
        <v>17367</v>
      </c>
      <c r="AC55" s="103">
        <v>17367</v>
      </c>
      <c r="AD55" s="94"/>
      <c r="AF55" s="213"/>
    </row>
    <row r="56" spans="2:32">
      <c r="B56" s="43" t="str">
        <f>'2017 Determination - Revenue'!$B$37</f>
        <v>Lachlan</v>
      </c>
      <c r="C56" s="38" t="str">
        <f t="shared" si="7"/>
        <v>ML</v>
      </c>
      <c r="D56" s="38"/>
      <c r="E56" s="38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>
        <v>57512.000000000007</v>
      </c>
      <c r="Y56" s="103">
        <v>57304</v>
      </c>
      <c r="Z56" s="103">
        <v>57301</v>
      </c>
      <c r="AA56" s="103">
        <v>57302</v>
      </c>
      <c r="AB56" s="103">
        <v>57252</v>
      </c>
      <c r="AC56" s="103">
        <v>57302</v>
      </c>
      <c r="AD56" s="94"/>
      <c r="AF56" s="213"/>
    </row>
    <row r="57" spans="2:32">
      <c r="B57" s="43" t="str">
        <f>'2017 Determination - Revenue'!$B$38</f>
        <v>Macquarie</v>
      </c>
      <c r="C57" s="38" t="str">
        <f t="shared" si="7"/>
        <v>ML</v>
      </c>
      <c r="D57" s="38"/>
      <c r="E57" s="38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>
        <v>42720.5</v>
      </c>
      <c r="Y57" s="103">
        <v>42712</v>
      </c>
      <c r="Z57" s="103">
        <v>42688</v>
      </c>
      <c r="AA57" s="103">
        <v>42688</v>
      </c>
      <c r="AB57" s="103">
        <v>42679</v>
      </c>
      <c r="AC57" s="103">
        <v>42688</v>
      </c>
      <c r="AD57" s="94"/>
      <c r="AF57" s="213"/>
    </row>
    <row r="58" spans="2:32">
      <c r="B58" s="43" t="str">
        <f>'2017 Determination - Revenue'!$B$39</f>
        <v>Murray</v>
      </c>
      <c r="C58" s="38" t="str">
        <f t="shared" si="7"/>
        <v>ML</v>
      </c>
      <c r="D58" s="38"/>
      <c r="E58" s="38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>
        <v>261515</v>
      </c>
      <c r="Y58" s="103">
        <v>263603.09999999998</v>
      </c>
      <c r="Z58" s="103">
        <v>263590.09999999998</v>
      </c>
      <c r="AA58" s="103">
        <v>263555.09999999998</v>
      </c>
      <c r="AB58" s="103">
        <v>267496.59999999998</v>
      </c>
      <c r="AC58" s="103">
        <v>263555.09999999998</v>
      </c>
      <c r="AD58" s="94"/>
      <c r="AF58" s="213"/>
    </row>
    <row r="59" spans="2:32">
      <c r="B59" s="43" t="str">
        <f>'2017 Determination - Revenue'!$B$40</f>
        <v>Murrumbidgee</v>
      </c>
      <c r="C59" s="38" t="str">
        <f t="shared" si="7"/>
        <v>ML</v>
      </c>
      <c r="D59" s="38"/>
      <c r="E59" s="38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>
        <v>438310.60000000009</v>
      </c>
      <c r="Y59" s="103">
        <v>438327.60000000009</v>
      </c>
      <c r="Z59" s="103">
        <v>438327.6</v>
      </c>
      <c r="AA59" s="103">
        <v>438327.6</v>
      </c>
      <c r="AB59" s="103">
        <v>438330</v>
      </c>
      <c r="AC59" s="103">
        <v>438327.6</v>
      </c>
      <c r="AD59" s="94"/>
      <c r="AF59" s="213"/>
    </row>
    <row r="60" spans="2:32">
      <c r="B60" s="43" t="str">
        <f>'2017 Determination - Revenue'!$B$41</f>
        <v>Lowbidgee</v>
      </c>
      <c r="C60" s="38" t="str">
        <f t="shared" si="7"/>
        <v>ML</v>
      </c>
      <c r="D60" s="38"/>
      <c r="E60" s="38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94"/>
      <c r="AF60" s="213"/>
    </row>
    <row r="61" spans="2:32">
      <c r="B61" s="43"/>
      <c r="C61" s="38"/>
      <c r="D61" s="38"/>
      <c r="E61" s="38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94"/>
      <c r="AF61" s="213"/>
    </row>
    <row r="62" spans="2:32" ht="12">
      <c r="B62" s="49" t="s">
        <v>32</v>
      </c>
      <c r="C62" s="38"/>
      <c r="D62" s="38"/>
      <c r="E62" s="38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104"/>
      <c r="Z62" s="99"/>
      <c r="AA62" s="89"/>
      <c r="AB62" s="89"/>
      <c r="AC62" s="89"/>
      <c r="AD62" s="94"/>
      <c r="AF62" s="213"/>
    </row>
    <row r="63" spans="2:32" ht="12" customHeight="1">
      <c r="B63" s="43" t="str">
        <f>'2017 Determination - Revenue'!$B$33</f>
        <v>Border</v>
      </c>
      <c r="C63" s="38" t="str">
        <f t="shared" ref="C63:C71" si="8">C$20</f>
        <v>ML</v>
      </c>
      <c r="D63" s="38"/>
      <c r="E63" s="38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>
        <v>0</v>
      </c>
      <c r="Y63" s="103">
        <v>0</v>
      </c>
      <c r="Z63" s="103">
        <v>0</v>
      </c>
      <c r="AA63" s="103">
        <v>0</v>
      </c>
      <c r="AB63" s="103" t="s">
        <v>219</v>
      </c>
      <c r="AC63" s="103" t="s">
        <v>219</v>
      </c>
      <c r="AD63" s="94"/>
      <c r="AF63" s="213"/>
    </row>
    <row r="64" spans="2:32">
      <c r="B64" s="43" t="str">
        <f>'2017 Determination - Revenue'!$B$34</f>
        <v>Gwydir</v>
      </c>
      <c r="C64" s="38" t="str">
        <f t="shared" si="8"/>
        <v>ML</v>
      </c>
      <c r="D64" s="38"/>
      <c r="E64" s="38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>
        <v>0</v>
      </c>
      <c r="Y64" s="103">
        <v>0</v>
      </c>
      <c r="Z64" s="103">
        <v>0</v>
      </c>
      <c r="AA64" s="103">
        <v>0</v>
      </c>
      <c r="AB64" s="103" t="s">
        <v>219</v>
      </c>
      <c r="AC64" s="103" t="s">
        <v>219</v>
      </c>
      <c r="AD64" s="94"/>
      <c r="AF64" s="213"/>
    </row>
    <row r="65" spans="2:32">
      <c r="B65" s="43" t="str">
        <f>'2017 Determination - Revenue'!$B$35</f>
        <v>Namoi</v>
      </c>
      <c r="C65" s="38" t="str">
        <f t="shared" si="8"/>
        <v>ML</v>
      </c>
      <c r="D65" s="38"/>
      <c r="E65" s="38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>
        <v>0</v>
      </c>
      <c r="Y65" s="103">
        <v>0</v>
      </c>
      <c r="Z65" s="103">
        <v>0</v>
      </c>
      <c r="AA65" s="103">
        <v>0</v>
      </c>
      <c r="AB65" s="103" t="s">
        <v>219</v>
      </c>
      <c r="AC65" s="103" t="s">
        <v>219</v>
      </c>
      <c r="AD65" s="94"/>
      <c r="AF65" s="213"/>
    </row>
    <row r="66" spans="2:32">
      <c r="B66" s="43" t="str">
        <f>'2017 Determination - Revenue'!$B$36</f>
        <v>Peel</v>
      </c>
      <c r="C66" s="38" t="str">
        <f t="shared" si="8"/>
        <v>ML</v>
      </c>
      <c r="D66" s="38"/>
      <c r="E66" s="38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>
        <v>0</v>
      </c>
      <c r="Y66" s="103">
        <v>0</v>
      </c>
      <c r="Z66" s="103">
        <v>0</v>
      </c>
      <c r="AA66" s="103">
        <v>0</v>
      </c>
      <c r="AB66" s="103" t="s">
        <v>219</v>
      </c>
      <c r="AC66" s="103" t="s">
        <v>219</v>
      </c>
      <c r="AD66" s="94"/>
      <c r="AF66" s="213"/>
    </row>
    <row r="67" spans="2:32">
      <c r="B67" s="43" t="str">
        <f>'2017 Determination - Revenue'!$B$37</f>
        <v>Lachlan</v>
      </c>
      <c r="C67" s="38" t="str">
        <f t="shared" si="8"/>
        <v>ML</v>
      </c>
      <c r="D67" s="38"/>
      <c r="E67" s="38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>
        <v>0</v>
      </c>
      <c r="Y67" s="103">
        <v>0</v>
      </c>
      <c r="Z67" s="103">
        <v>0</v>
      </c>
      <c r="AA67" s="103">
        <v>0</v>
      </c>
      <c r="AB67" s="103" t="s">
        <v>219</v>
      </c>
      <c r="AC67" s="103" t="s">
        <v>219</v>
      </c>
      <c r="AD67" s="94"/>
      <c r="AF67" s="213"/>
    </row>
    <row r="68" spans="2:32">
      <c r="B68" s="43" t="str">
        <f>'2017 Determination - Revenue'!$B$38</f>
        <v>Macquarie</v>
      </c>
      <c r="C68" s="38" t="str">
        <f t="shared" si="8"/>
        <v>ML</v>
      </c>
      <c r="D68" s="38"/>
      <c r="E68" s="38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>
        <v>0</v>
      </c>
      <c r="Y68" s="103">
        <v>0</v>
      </c>
      <c r="Z68" s="103">
        <v>0</v>
      </c>
      <c r="AA68" s="103">
        <v>0</v>
      </c>
      <c r="AB68" s="103" t="s">
        <v>219</v>
      </c>
      <c r="AC68" s="103" t="s">
        <v>219</v>
      </c>
      <c r="AD68" s="94"/>
      <c r="AF68" s="213"/>
    </row>
    <row r="69" spans="2:32">
      <c r="B69" s="43" t="str">
        <f>'2017 Determination - Revenue'!$B$39</f>
        <v>Murray</v>
      </c>
      <c r="C69" s="38" t="str">
        <f t="shared" si="8"/>
        <v>ML</v>
      </c>
      <c r="D69" s="38"/>
      <c r="E69" s="38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>
        <v>0</v>
      </c>
      <c r="Y69" s="103">
        <v>0</v>
      </c>
      <c r="Z69" s="103">
        <v>0</v>
      </c>
      <c r="AA69" s="103">
        <v>0</v>
      </c>
      <c r="AB69" s="103" t="s">
        <v>219</v>
      </c>
      <c r="AC69" s="103" t="s">
        <v>219</v>
      </c>
      <c r="AD69" s="94"/>
      <c r="AF69" s="213"/>
    </row>
    <row r="70" spans="2:32">
      <c r="B70" s="43" t="str">
        <f>'2017 Determination - Revenue'!$B$40</f>
        <v>Murrumbidgee</v>
      </c>
      <c r="C70" s="38" t="str">
        <f t="shared" si="8"/>
        <v>ML</v>
      </c>
      <c r="D70" s="38"/>
      <c r="E70" s="38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>
        <v>0</v>
      </c>
      <c r="Y70" s="103">
        <v>0</v>
      </c>
      <c r="Z70" s="103">
        <v>0</v>
      </c>
      <c r="AA70" s="103">
        <v>0</v>
      </c>
      <c r="AB70" s="103" t="s">
        <v>219</v>
      </c>
      <c r="AC70" s="103" t="s">
        <v>219</v>
      </c>
      <c r="AD70" s="94"/>
      <c r="AF70" s="213"/>
    </row>
    <row r="71" spans="2:32">
      <c r="B71" s="43" t="str">
        <f>'2017 Determination - Revenue'!$B$41</f>
        <v>Lowbidgee</v>
      </c>
      <c r="C71" s="38" t="str">
        <f t="shared" si="8"/>
        <v>ML</v>
      </c>
      <c r="D71" s="38"/>
      <c r="E71" s="38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>
        <v>747000</v>
      </c>
      <c r="Y71" s="103">
        <v>747000</v>
      </c>
      <c r="Z71" s="103">
        <v>747000</v>
      </c>
      <c r="AA71" s="103">
        <v>747000</v>
      </c>
      <c r="AB71" s="103">
        <v>747000</v>
      </c>
      <c r="AC71" s="103">
        <v>747000</v>
      </c>
      <c r="AD71" s="94"/>
      <c r="AF71" s="213"/>
    </row>
    <row r="72" spans="2:32">
      <c r="B72" s="45"/>
      <c r="C72" s="36"/>
      <c r="D72" s="36"/>
      <c r="E72" s="3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176"/>
      <c r="AD72" s="97"/>
      <c r="AF72" s="213"/>
    </row>
    <row r="73" spans="2:32">
      <c r="AF73" s="213"/>
    </row>
    <row r="74" spans="2:32" s="110" customFormat="1"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213"/>
    </row>
    <row r="75" spans="2:32">
      <c r="B75" s="33" t="s">
        <v>120</v>
      </c>
      <c r="AF75" s="213"/>
    </row>
    <row r="76" spans="2:32">
      <c r="B76" s="63" t="str">
        <f>'2017 Determination - Revenue'!B$16</f>
        <v>Financial year</v>
      </c>
      <c r="C76" s="41" t="str">
        <f>'2017 Determination - Revenue'!C$28</f>
        <v>Units</v>
      </c>
      <c r="D76" s="41"/>
      <c r="E76" s="41"/>
      <c r="F76" s="126" t="str">
        <f t="shared" ref="F76:Z76" si="9">F$16</f>
        <v>1996-97</v>
      </c>
      <c r="G76" s="126" t="str">
        <f t="shared" si="9"/>
        <v>1997-98</v>
      </c>
      <c r="H76" s="126" t="str">
        <f t="shared" si="9"/>
        <v>1998-99</v>
      </c>
      <c r="I76" s="126" t="str">
        <f t="shared" si="9"/>
        <v>1999-00</v>
      </c>
      <c r="J76" s="126" t="str">
        <f t="shared" si="9"/>
        <v>2000-01</v>
      </c>
      <c r="K76" s="126" t="str">
        <f t="shared" si="9"/>
        <v>2001-02</v>
      </c>
      <c r="L76" s="126" t="str">
        <f t="shared" si="9"/>
        <v>2002-03</v>
      </c>
      <c r="M76" s="126" t="str">
        <f t="shared" si="9"/>
        <v>2003-04</v>
      </c>
      <c r="N76" s="126" t="str">
        <f t="shared" si="9"/>
        <v>2004-05</v>
      </c>
      <c r="O76" s="126" t="str">
        <f t="shared" si="9"/>
        <v>2005-06</v>
      </c>
      <c r="P76" s="126" t="str">
        <f t="shared" si="9"/>
        <v>2006-07</v>
      </c>
      <c r="Q76" s="126" t="str">
        <f t="shared" si="9"/>
        <v>2007-08</v>
      </c>
      <c r="R76" s="126" t="str">
        <f t="shared" si="9"/>
        <v>2008-09</v>
      </c>
      <c r="S76" s="126" t="str">
        <f t="shared" si="9"/>
        <v>2009-10</v>
      </c>
      <c r="T76" s="126" t="str">
        <f t="shared" si="9"/>
        <v>2010-11</v>
      </c>
      <c r="U76" s="126" t="str">
        <f t="shared" si="9"/>
        <v>2011-12</v>
      </c>
      <c r="V76" s="126" t="str">
        <f t="shared" si="9"/>
        <v>2012-13</v>
      </c>
      <c r="W76" s="126" t="str">
        <f t="shared" si="9"/>
        <v>2013-14</v>
      </c>
      <c r="X76" s="126" t="str">
        <f t="shared" si="9"/>
        <v>2014-15</v>
      </c>
      <c r="Y76" s="126" t="str">
        <f t="shared" si="9"/>
        <v>2015-16</v>
      </c>
      <c r="Z76" s="126" t="str">
        <f t="shared" si="9"/>
        <v>2016-17</v>
      </c>
      <c r="AA76" s="126" t="str">
        <f>AA$16</f>
        <v>2017-18</v>
      </c>
      <c r="AB76" s="126" t="str">
        <f>AB$16</f>
        <v>2018-19</v>
      </c>
      <c r="AC76" s="126" t="str">
        <f>AC$16</f>
        <v>2019-20</v>
      </c>
      <c r="AD76" s="93"/>
      <c r="AF76" s="213"/>
    </row>
    <row r="77" spans="2:32">
      <c r="B77" s="43"/>
      <c r="D77" s="38"/>
      <c r="E77" s="38"/>
      <c r="F77" s="144" t="str">
        <f>F39</f>
        <v>Actual</v>
      </c>
      <c r="G77" s="144" t="str">
        <f t="shared" ref="G77:AA77" si="10">G39</f>
        <v>Actual</v>
      </c>
      <c r="H77" s="144" t="str">
        <f t="shared" si="10"/>
        <v>Actual</v>
      </c>
      <c r="I77" s="144" t="str">
        <f t="shared" si="10"/>
        <v>Actual</v>
      </c>
      <c r="J77" s="144" t="str">
        <f t="shared" si="10"/>
        <v>Actual</v>
      </c>
      <c r="K77" s="144" t="str">
        <f t="shared" si="10"/>
        <v>Actual</v>
      </c>
      <c r="L77" s="144" t="str">
        <f t="shared" si="10"/>
        <v>Actual</v>
      </c>
      <c r="M77" s="144" t="str">
        <f t="shared" si="10"/>
        <v>Actual</v>
      </c>
      <c r="N77" s="144" t="str">
        <f t="shared" si="10"/>
        <v>Actual</v>
      </c>
      <c r="O77" s="144" t="str">
        <f t="shared" si="10"/>
        <v>Actual</v>
      </c>
      <c r="P77" s="144" t="str">
        <f t="shared" si="10"/>
        <v>Actual</v>
      </c>
      <c r="Q77" s="144" t="str">
        <f t="shared" si="10"/>
        <v>Actual</v>
      </c>
      <c r="R77" s="144" t="str">
        <f t="shared" si="10"/>
        <v>Actual</v>
      </c>
      <c r="S77" s="144" t="str">
        <f t="shared" si="10"/>
        <v>Actual</v>
      </c>
      <c r="T77" s="144" t="str">
        <f t="shared" si="10"/>
        <v>Actual</v>
      </c>
      <c r="U77" s="144" t="str">
        <f t="shared" si="10"/>
        <v>Actual</v>
      </c>
      <c r="V77" s="144" t="str">
        <f t="shared" si="10"/>
        <v>Actual</v>
      </c>
      <c r="W77" s="144" t="str">
        <f t="shared" si="10"/>
        <v>Actual</v>
      </c>
      <c r="X77" s="144" t="str">
        <f t="shared" si="10"/>
        <v>Actual</v>
      </c>
      <c r="Y77" s="144" t="str">
        <f t="shared" si="10"/>
        <v>Actual</v>
      </c>
      <c r="Z77" s="144" t="str">
        <f t="shared" si="10"/>
        <v>Actual</v>
      </c>
      <c r="AA77" s="144" t="str">
        <f t="shared" si="10"/>
        <v>Actual</v>
      </c>
      <c r="AB77" s="144" t="str">
        <f t="shared" ref="AB77" si="11">AB$17</f>
        <v>Estimate</v>
      </c>
      <c r="AC77" s="144" t="str">
        <f>AC39</f>
        <v>Forecast</v>
      </c>
      <c r="AD77" s="94"/>
      <c r="AF77" s="213"/>
    </row>
    <row r="78" spans="2:32" ht="12">
      <c r="B78" s="84" t="s">
        <v>183</v>
      </c>
      <c r="C78" s="38"/>
      <c r="D78" s="38"/>
      <c r="E78" s="38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94"/>
      <c r="AF78" s="213"/>
    </row>
    <row r="79" spans="2:32" ht="12">
      <c r="B79" s="49" t="s">
        <v>30</v>
      </c>
      <c r="C79" s="38"/>
      <c r="D79" s="38"/>
      <c r="E79" s="38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99"/>
      <c r="AA79" s="89"/>
      <c r="AB79" s="89"/>
      <c r="AC79" s="89"/>
      <c r="AD79" s="94"/>
      <c r="AF79" s="213"/>
    </row>
    <row r="80" spans="2:32" ht="12" customHeight="1">
      <c r="B80" s="43" t="str">
        <f>'2017 Determination - Revenue'!$B$33</f>
        <v>Border</v>
      </c>
      <c r="C80" s="50" t="str">
        <f>'2017 Determination - Revenue'!$C$22</f>
        <v>%</v>
      </c>
      <c r="D80" s="38"/>
      <c r="E80" s="38"/>
      <c r="F80" s="30">
        <v>0.65</v>
      </c>
      <c r="G80" s="30">
        <v>0.55000000000000004</v>
      </c>
      <c r="H80" s="30">
        <v>0.35</v>
      </c>
      <c r="I80" s="30">
        <v>0.6</v>
      </c>
      <c r="J80" s="30">
        <v>0.4</v>
      </c>
      <c r="K80" s="30">
        <v>0.96160074708827048</v>
      </c>
      <c r="L80" s="30">
        <v>0.13839384105607955</v>
      </c>
      <c r="M80" s="30">
        <v>0.539439584742478</v>
      </c>
      <c r="N80" s="30">
        <v>0.16670339942696896</v>
      </c>
      <c r="O80" s="30">
        <v>0.3804940350611139</v>
      </c>
      <c r="P80" s="30">
        <v>0.25184189888614927</v>
      </c>
      <c r="Q80" s="30">
        <v>0.25349809885931562</v>
      </c>
      <c r="R80" s="30">
        <v>0.23741444866920153</v>
      </c>
      <c r="S80" s="30">
        <v>2.688212927756654E-2</v>
      </c>
      <c r="T80" s="30">
        <v>1</v>
      </c>
      <c r="U80" s="30">
        <v>1</v>
      </c>
      <c r="V80" s="30">
        <v>1</v>
      </c>
      <c r="W80" s="102">
        <v>0.35189999999999999</v>
      </c>
      <c r="X80" s="102">
        <v>0.1</v>
      </c>
      <c r="Y80" s="30">
        <v>0.32705384480963978</v>
      </c>
      <c r="Z80" s="30">
        <v>1.1238046030286699</v>
      </c>
      <c r="AA80" s="102">
        <v>0.26300000000000001</v>
      </c>
      <c r="AB80" s="102">
        <v>2.7000000000000003E-2</v>
      </c>
      <c r="AC80" s="102">
        <v>0.47360133154527262</v>
      </c>
      <c r="AD80" s="94"/>
      <c r="AF80" s="213"/>
    </row>
    <row r="81" spans="2:32">
      <c r="B81" s="43" t="str">
        <f>'2017 Determination - Revenue'!$B$34</f>
        <v>Gwydir</v>
      </c>
      <c r="C81" s="50" t="str">
        <f>'2017 Determination - Revenue'!$C$22</f>
        <v>%</v>
      </c>
      <c r="D81" s="38"/>
      <c r="E81" s="38"/>
      <c r="F81" s="30">
        <v>0.75</v>
      </c>
      <c r="G81" s="30">
        <v>0.82</v>
      </c>
      <c r="H81" s="30">
        <v>1.6818532818532819</v>
      </c>
      <c r="I81" s="30">
        <v>0.49365735483382545</v>
      </c>
      <c r="J81" s="30">
        <v>0.44698039215686275</v>
      </c>
      <c r="K81" s="30">
        <v>0.26623529411764707</v>
      </c>
      <c r="L81" s="30">
        <v>0</v>
      </c>
      <c r="M81" s="30">
        <v>0.30715686274509807</v>
      </c>
      <c r="N81" s="30">
        <v>4.598039215686274E-2</v>
      </c>
      <c r="O81" s="30">
        <v>0.21882630029440631</v>
      </c>
      <c r="P81" s="30">
        <v>0</v>
      </c>
      <c r="Q81" s="30">
        <v>0.24245098039215687</v>
      </c>
      <c r="R81" s="30">
        <v>0</v>
      </c>
      <c r="S81" s="30">
        <v>0</v>
      </c>
      <c r="T81" s="30">
        <v>0.82900000000000007</v>
      </c>
      <c r="U81" s="30">
        <v>1</v>
      </c>
      <c r="V81" s="30">
        <v>1.62</v>
      </c>
      <c r="W81" s="30">
        <v>0</v>
      </c>
      <c r="X81" s="30">
        <v>0</v>
      </c>
      <c r="Y81" s="30">
        <v>5.2815084418196247E-2</v>
      </c>
      <c r="Z81" s="30">
        <v>0.78630178646758153</v>
      </c>
      <c r="AA81" s="102">
        <v>0.17600000000000002</v>
      </c>
      <c r="AB81" s="102">
        <v>0</v>
      </c>
      <c r="AC81" s="102">
        <v>0.40836288647179597</v>
      </c>
      <c r="AD81" s="94"/>
      <c r="AF81" s="213"/>
    </row>
    <row r="82" spans="2:32">
      <c r="B82" s="43" t="str">
        <f>'2017 Determination - Revenue'!$B$35</f>
        <v>Namoi</v>
      </c>
      <c r="C82" s="50" t="str">
        <f>'2017 Determination - Revenue'!$C$22</f>
        <v>%</v>
      </c>
      <c r="D82" s="38"/>
      <c r="E82" s="38"/>
      <c r="F82" s="30">
        <v>1</v>
      </c>
      <c r="G82" s="30">
        <v>1</v>
      </c>
      <c r="H82" s="30">
        <v>2.3193548387096774</v>
      </c>
      <c r="I82" s="30">
        <v>0.66704453441295553</v>
      </c>
      <c r="J82" s="30">
        <v>1.2267206477732793</v>
      </c>
      <c r="K82" s="30">
        <v>0.29801619433198379</v>
      </c>
      <c r="L82" s="30">
        <v>0</v>
      </c>
      <c r="M82" s="30">
        <v>0.46469635627530365</v>
      </c>
      <c r="N82" s="30">
        <v>0.14133603238866396</v>
      </c>
      <c r="O82" s="30">
        <v>0.29975719497365222</v>
      </c>
      <c r="P82" s="30">
        <v>0</v>
      </c>
      <c r="Q82" s="30">
        <v>0.1362753036437247</v>
      </c>
      <c r="R82" s="30">
        <v>0.23732793522267207</v>
      </c>
      <c r="S82" s="30">
        <v>5.7489878542510116E-3</v>
      </c>
      <c r="T82" s="30">
        <v>1.093</v>
      </c>
      <c r="U82" s="30">
        <v>1.165</v>
      </c>
      <c r="V82" s="30">
        <v>1</v>
      </c>
      <c r="W82" s="30">
        <v>0.53180000000000005</v>
      </c>
      <c r="X82" s="30">
        <v>0.04</v>
      </c>
      <c r="Y82" s="30">
        <v>2.2961498605644164E-2</v>
      </c>
      <c r="Z82" s="30">
        <v>1.2368683685158548</v>
      </c>
      <c r="AA82" s="102">
        <v>0.11</v>
      </c>
      <c r="AB82" s="102">
        <v>0.04</v>
      </c>
      <c r="AC82" s="102">
        <v>0.54979539463538318</v>
      </c>
      <c r="AD82" s="94"/>
      <c r="AF82" s="213"/>
    </row>
    <row r="83" spans="2:32">
      <c r="B83" s="43" t="str">
        <f>'2017 Determination - Revenue'!$B$36</f>
        <v>Peel</v>
      </c>
      <c r="C83" s="50" t="str">
        <f>'2017 Determination - Revenue'!$C$22</f>
        <v>%</v>
      </c>
      <c r="D83" s="38"/>
      <c r="E83" s="38"/>
      <c r="F83" s="30">
        <v>0.65</v>
      </c>
      <c r="G83" s="30">
        <v>1</v>
      </c>
      <c r="H83" s="30">
        <v>1</v>
      </c>
      <c r="I83" s="30">
        <v>1</v>
      </c>
      <c r="J83" s="30">
        <v>1</v>
      </c>
      <c r="K83" s="30">
        <v>1</v>
      </c>
      <c r="L83" s="30">
        <v>0.6</v>
      </c>
      <c r="M83" s="30">
        <v>0.35</v>
      </c>
      <c r="N83" s="30">
        <v>0.65</v>
      </c>
      <c r="O83" s="30">
        <v>0.45</v>
      </c>
      <c r="P83" s="30">
        <v>0</v>
      </c>
      <c r="Q83" s="30">
        <v>0.5</v>
      </c>
      <c r="R83" s="30">
        <v>0.8</v>
      </c>
      <c r="S83" s="30">
        <v>0</v>
      </c>
      <c r="T83" s="30">
        <v>1</v>
      </c>
      <c r="U83" s="30">
        <v>1</v>
      </c>
      <c r="V83" s="30">
        <v>0.83</v>
      </c>
      <c r="W83" s="30">
        <v>0.45</v>
      </c>
      <c r="X83" s="30">
        <v>0</v>
      </c>
      <c r="Y83" s="30">
        <v>0.17000460102537135</v>
      </c>
      <c r="Z83" s="30">
        <v>0.99999671355330622</v>
      </c>
      <c r="AA83" s="102">
        <v>1.0270000000000001</v>
      </c>
      <c r="AB83" s="102">
        <v>0.38</v>
      </c>
      <c r="AC83" s="102">
        <v>0.64135006572893383</v>
      </c>
      <c r="AD83" s="94"/>
      <c r="AF83" s="213"/>
    </row>
    <row r="84" spans="2:32">
      <c r="B84" s="43" t="str">
        <f>'2017 Determination - Revenue'!$B$37</f>
        <v>Lachlan</v>
      </c>
      <c r="C84" s="50" t="str">
        <f>'2017 Determination - Revenue'!$C$22</f>
        <v>%</v>
      </c>
      <c r="D84" s="38"/>
      <c r="E84" s="38"/>
      <c r="F84" s="30">
        <v>1</v>
      </c>
      <c r="G84" s="30">
        <v>0.65</v>
      </c>
      <c r="H84" s="30">
        <v>1</v>
      </c>
      <c r="I84" s="30">
        <v>0.74</v>
      </c>
      <c r="J84" s="30">
        <v>0.84</v>
      </c>
      <c r="K84" s="30">
        <v>0.57999999999999996</v>
      </c>
      <c r="L84" s="30">
        <v>0.03</v>
      </c>
      <c r="M84" s="30">
        <v>0</v>
      </c>
      <c r="N84" s="30">
        <v>0</v>
      </c>
      <c r="O84" s="30">
        <v>0.19</v>
      </c>
      <c r="P84" s="30">
        <v>0</v>
      </c>
      <c r="Q84" s="30">
        <v>0</v>
      </c>
      <c r="R84" s="30">
        <v>0</v>
      </c>
      <c r="S84" s="30">
        <v>0</v>
      </c>
      <c r="T84" s="30">
        <v>1</v>
      </c>
      <c r="U84" s="30">
        <v>1</v>
      </c>
      <c r="V84" s="30">
        <v>0</v>
      </c>
      <c r="W84" s="30">
        <v>0</v>
      </c>
      <c r="X84" s="30">
        <v>0.02</v>
      </c>
      <c r="Y84" s="30">
        <v>0.2586422779225177</v>
      </c>
      <c r="Z84" s="30">
        <v>1.38</v>
      </c>
      <c r="AA84" s="102">
        <v>0.05</v>
      </c>
      <c r="AB84" s="102">
        <v>0.03</v>
      </c>
      <c r="AC84" s="102">
        <v>0.35443211389612583</v>
      </c>
      <c r="AD84" s="94"/>
      <c r="AF84" s="213"/>
    </row>
    <row r="85" spans="2:32">
      <c r="B85" s="43" t="str">
        <f>'2017 Determination - Revenue'!$B$38</f>
        <v>Macquarie</v>
      </c>
      <c r="C85" s="50" t="str">
        <f>'2017 Determination - Revenue'!$C$22</f>
        <v>%</v>
      </c>
      <c r="D85" s="38"/>
      <c r="E85" s="38"/>
      <c r="F85" s="30">
        <v>0.85</v>
      </c>
      <c r="G85" s="30">
        <v>0.1</v>
      </c>
      <c r="H85" s="30">
        <v>1</v>
      </c>
      <c r="I85" s="30">
        <v>1</v>
      </c>
      <c r="J85" s="30">
        <v>1</v>
      </c>
      <c r="K85" s="30">
        <v>0.9</v>
      </c>
      <c r="L85" s="30">
        <v>0</v>
      </c>
      <c r="M85" s="30">
        <v>0.19</v>
      </c>
      <c r="N85" s="30">
        <v>0.09</v>
      </c>
      <c r="O85" s="30">
        <v>0.44</v>
      </c>
      <c r="P85" s="30">
        <v>0</v>
      </c>
      <c r="Q85" s="30">
        <v>0.05</v>
      </c>
      <c r="R85" s="30">
        <v>0.1</v>
      </c>
      <c r="S85" s="30">
        <v>0</v>
      </c>
      <c r="T85" s="30">
        <v>1</v>
      </c>
      <c r="U85" s="30">
        <v>0.49</v>
      </c>
      <c r="V85" s="30">
        <v>0.64</v>
      </c>
      <c r="W85" s="30">
        <v>5.9999999999999995E-4</v>
      </c>
      <c r="X85" s="30">
        <v>0.02</v>
      </c>
      <c r="Y85" s="30">
        <v>7.0003751979750409E-2</v>
      </c>
      <c r="Z85" s="30">
        <v>1</v>
      </c>
      <c r="AA85" s="102">
        <v>0.38</v>
      </c>
      <c r="AB85" s="102">
        <v>0</v>
      </c>
      <c r="AC85" s="102">
        <v>0.41853018759898752</v>
      </c>
      <c r="AD85" s="94"/>
      <c r="AF85" s="213"/>
    </row>
    <row r="86" spans="2:32">
      <c r="B86" s="43" t="str">
        <f>'2017 Determination - Revenue'!$B$39</f>
        <v>Murray</v>
      </c>
      <c r="C86" s="50" t="str">
        <f>'2017 Determination - Revenue'!$C$22</f>
        <v>%</v>
      </c>
      <c r="D86" s="38"/>
      <c r="E86" s="38"/>
      <c r="F86" s="30">
        <v>1</v>
      </c>
      <c r="G86" s="30">
        <v>0.84</v>
      </c>
      <c r="H86" s="30">
        <v>0.93</v>
      </c>
      <c r="I86" s="30">
        <v>0.35</v>
      </c>
      <c r="J86" s="30">
        <v>0.95</v>
      </c>
      <c r="K86" s="30">
        <v>1.05</v>
      </c>
      <c r="L86" s="30">
        <v>0.1</v>
      </c>
      <c r="M86" s="30">
        <v>0.55000000000000004</v>
      </c>
      <c r="N86" s="30">
        <v>0.49</v>
      </c>
      <c r="O86" s="30">
        <v>0.63</v>
      </c>
      <c r="P86" s="30">
        <v>0</v>
      </c>
      <c r="Q86" s="30">
        <v>0</v>
      </c>
      <c r="R86" s="30">
        <v>0.09</v>
      </c>
      <c r="S86" s="30">
        <v>0.27</v>
      </c>
      <c r="T86" s="30">
        <v>1</v>
      </c>
      <c r="U86" s="30">
        <v>1</v>
      </c>
      <c r="V86" s="30">
        <v>1</v>
      </c>
      <c r="W86" s="30">
        <v>1</v>
      </c>
      <c r="X86" s="30">
        <v>0.65</v>
      </c>
      <c r="Y86" s="30">
        <v>0.27808785904052524</v>
      </c>
      <c r="Z86" s="30">
        <v>1</v>
      </c>
      <c r="AA86" s="102">
        <v>0.51</v>
      </c>
      <c r="AB86" s="102">
        <v>0</v>
      </c>
      <c r="AC86" s="102">
        <v>0.59240439295202629</v>
      </c>
      <c r="AD86" s="94"/>
      <c r="AF86" s="213"/>
    </row>
    <row r="87" spans="2:32">
      <c r="B87" s="43" t="str">
        <f>'2017 Determination - Revenue'!$B$40</f>
        <v>Murrumbidgee</v>
      </c>
      <c r="C87" s="50" t="str">
        <f>'2017 Determination - Revenue'!$C$22</f>
        <v>%</v>
      </c>
      <c r="D87" s="38"/>
      <c r="E87" s="38"/>
      <c r="F87" s="30">
        <v>1</v>
      </c>
      <c r="G87" s="30">
        <v>0.9</v>
      </c>
      <c r="H87" s="30">
        <v>0.85</v>
      </c>
      <c r="I87" s="30">
        <v>0.78</v>
      </c>
      <c r="J87" s="30">
        <v>0.9</v>
      </c>
      <c r="K87" s="30">
        <v>0.72</v>
      </c>
      <c r="L87" s="30">
        <v>0.38</v>
      </c>
      <c r="M87" s="30">
        <v>0.41</v>
      </c>
      <c r="N87" s="30">
        <v>0.4</v>
      </c>
      <c r="O87" s="30">
        <v>0.54</v>
      </c>
      <c r="P87" s="30">
        <v>0.1</v>
      </c>
      <c r="Q87" s="30">
        <v>0.13</v>
      </c>
      <c r="R87" s="30">
        <v>0.21</v>
      </c>
      <c r="S87" s="30">
        <v>0.27</v>
      </c>
      <c r="T87" s="30">
        <v>1</v>
      </c>
      <c r="U87" s="30">
        <v>1</v>
      </c>
      <c r="V87" s="30">
        <v>1</v>
      </c>
      <c r="W87" s="30">
        <v>0.79979999999999996</v>
      </c>
      <c r="X87" s="30">
        <v>0.59</v>
      </c>
      <c r="Y87" s="30">
        <v>0.44246020635437283</v>
      </c>
      <c r="Z87" s="30">
        <v>1.0000004409438206</v>
      </c>
      <c r="AA87" s="102">
        <v>0.51700000000000002</v>
      </c>
      <c r="AB87" s="102">
        <v>0.17600000000000002</v>
      </c>
      <c r="AC87" s="102">
        <v>0.60196303236490956</v>
      </c>
      <c r="AD87" s="94"/>
      <c r="AF87" s="213"/>
    </row>
    <row r="88" spans="2:32">
      <c r="B88" s="43" t="str">
        <f>'2017 Determination - Revenue'!$B$41</f>
        <v>Lowbidgee</v>
      </c>
      <c r="C88" s="50" t="str">
        <f>'2017 Determination - Revenue'!$C$22</f>
        <v>%</v>
      </c>
      <c r="D88" s="38"/>
      <c r="E88" s="38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102"/>
      <c r="AB88" s="102"/>
      <c r="AC88" s="102"/>
      <c r="AD88" s="94"/>
      <c r="AF88" s="213"/>
    </row>
    <row r="89" spans="2:32">
      <c r="B89" s="43"/>
      <c r="C89" s="50"/>
      <c r="D89" s="38"/>
      <c r="E89" s="38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94"/>
      <c r="AF89" s="213"/>
    </row>
    <row r="90" spans="2:32" ht="12">
      <c r="B90" s="49" t="s">
        <v>31</v>
      </c>
      <c r="C90" s="50"/>
      <c r="D90" s="38"/>
      <c r="E90" s="38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99"/>
      <c r="AA90" s="89"/>
      <c r="AB90" s="89"/>
      <c r="AC90" s="89"/>
      <c r="AD90" s="94"/>
      <c r="AF90" s="213"/>
    </row>
    <row r="91" spans="2:32" ht="12" customHeight="1">
      <c r="B91" s="43" t="str">
        <f>'2017 Determination - Revenue'!$B$33</f>
        <v>Border</v>
      </c>
      <c r="C91" s="50" t="str">
        <f>'2017 Determination - Revenue'!$C$22</f>
        <v>%</v>
      </c>
      <c r="D91" s="38"/>
      <c r="E91" s="38"/>
      <c r="F91" s="30">
        <v>1</v>
      </c>
      <c r="G91" s="30">
        <v>1</v>
      </c>
      <c r="H91" s="30">
        <v>1</v>
      </c>
      <c r="I91" s="30">
        <v>1</v>
      </c>
      <c r="J91" s="30">
        <v>1</v>
      </c>
      <c r="K91" s="30">
        <v>1</v>
      </c>
      <c r="L91" s="30">
        <v>1</v>
      </c>
      <c r="M91" s="30">
        <v>1</v>
      </c>
      <c r="N91" s="30">
        <v>1</v>
      </c>
      <c r="O91" s="30">
        <v>1</v>
      </c>
      <c r="P91" s="30">
        <v>1</v>
      </c>
      <c r="Q91" s="30">
        <v>1</v>
      </c>
      <c r="R91" s="30">
        <v>1</v>
      </c>
      <c r="S91" s="30">
        <v>1</v>
      </c>
      <c r="T91" s="30">
        <v>1</v>
      </c>
      <c r="U91" s="30">
        <v>1</v>
      </c>
      <c r="V91" s="30">
        <v>1</v>
      </c>
      <c r="W91" s="30">
        <v>1</v>
      </c>
      <c r="X91" s="30">
        <v>1</v>
      </c>
      <c r="Y91" s="30">
        <v>1.0003204101249599</v>
      </c>
      <c r="Z91" s="30">
        <v>1</v>
      </c>
      <c r="AA91" s="102">
        <v>1</v>
      </c>
      <c r="AB91" s="102">
        <v>1</v>
      </c>
      <c r="AC91" s="102">
        <v>1.000016020506248</v>
      </c>
      <c r="AD91" s="94"/>
      <c r="AF91" s="213"/>
    </row>
    <row r="92" spans="2:32">
      <c r="B92" s="43" t="str">
        <f>'2017 Determination - Revenue'!$B$34</f>
        <v>Gwydir</v>
      </c>
      <c r="C92" s="50" t="str">
        <f>'2017 Determination - Revenue'!$C$22</f>
        <v>%</v>
      </c>
      <c r="D92" s="38"/>
      <c r="E92" s="38"/>
      <c r="F92" s="30">
        <v>1</v>
      </c>
      <c r="G92" s="30">
        <v>1</v>
      </c>
      <c r="H92" s="30">
        <v>1</v>
      </c>
      <c r="I92" s="30">
        <v>1</v>
      </c>
      <c r="J92" s="30">
        <v>1</v>
      </c>
      <c r="K92" s="30">
        <v>1</v>
      </c>
      <c r="L92" s="30">
        <v>1</v>
      </c>
      <c r="M92" s="30">
        <v>1</v>
      </c>
      <c r="N92" s="30">
        <v>1</v>
      </c>
      <c r="O92" s="30">
        <v>1</v>
      </c>
      <c r="P92" s="30">
        <v>1</v>
      </c>
      <c r="Q92" s="30">
        <v>1</v>
      </c>
      <c r="R92" s="30">
        <v>1</v>
      </c>
      <c r="S92" s="30">
        <v>1</v>
      </c>
      <c r="T92" s="30">
        <v>1</v>
      </c>
      <c r="U92" s="30">
        <v>1</v>
      </c>
      <c r="V92" s="30">
        <v>1</v>
      </c>
      <c r="W92" s="30">
        <v>1</v>
      </c>
      <c r="X92" s="30">
        <v>1</v>
      </c>
      <c r="Y92" s="30">
        <v>0.99754828212586233</v>
      </c>
      <c r="Z92" s="30">
        <v>1</v>
      </c>
      <c r="AA92" s="102">
        <v>1</v>
      </c>
      <c r="AB92" s="102">
        <v>1</v>
      </c>
      <c r="AC92" s="102">
        <v>0.99987741410629316</v>
      </c>
      <c r="AD92" s="94"/>
      <c r="AF92" s="213"/>
    </row>
    <row r="93" spans="2:32">
      <c r="B93" s="43" t="str">
        <f>'2017 Determination - Revenue'!$B$35</f>
        <v>Namoi</v>
      </c>
      <c r="C93" s="50" t="str">
        <f>'2017 Determination - Revenue'!$C$22</f>
        <v>%</v>
      </c>
      <c r="D93" s="38"/>
      <c r="E93" s="38"/>
      <c r="F93" s="30">
        <v>1</v>
      </c>
      <c r="G93" s="30">
        <v>1</v>
      </c>
      <c r="H93" s="30">
        <v>1</v>
      </c>
      <c r="I93" s="30">
        <v>1</v>
      </c>
      <c r="J93" s="30">
        <v>1</v>
      </c>
      <c r="K93" s="30">
        <v>1</v>
      </c>
      <c r="L93" s="30">
        <v>1</v>
      </c>
      <c r="M93" s="30">
        <v>1</v>
      </c>
      <c r="N93" s="30">
        <v>1</v>
      </c>
      <c r="O93" s="30">
        <v>1</v>
      </c>
      <c r="P93" s="30">
        <v>1</v>
      </c>
      <c r="Q93" s="30">
        <v>1</v>
      </c>
      <c r="R93" s="30">
        <v>1</v>
      </c>
      <c r="S93" s="30">
        <v>1</v>
      </c>
      <c r="T93" s="30">
        <v>1</v>
      </c>
      <c r="U93" s="30">
        <v>1</v>
      </c>
      <c r="V93" s="30">
        <v>1</v>
      </c>
      <c r="W93" s="30">
        <v>1</v>
      </c>
      <c r="X93" s="30">
        <v>1</v>
      </c>
      <c r="Y93" s="30">
        <v>1.0018046469659372</v>
      </c>
      <c r="Z93" s="30">
        <v>1</v>
      </c>
      <c r="AA93" s="102">
        <v>1</v>
      </c>
      <c r="AB93" s="102">
        <v>1</v>
      </c>
      <c r="AC93" s="102">
        <v>1.0000902323482967</v>
      </c>
      <c r="AD93" s="94"/>
      <c r="AF93" s="213"/>
    </row>
    <row r="94" spans="2:32">
      <c r="B94" s="43" t="str">
        <f>'2017 Determination - Revenue'!$B$36</f>
        <v>Peel</v>
      </c>
      <c r="C94" s="50" t="str">
        <f>'2017 Determination - Revenue'!$C$22</f>
        <v>%</v>
      </c>
      <c r="D94" s="38"/>
      <c r="E94" s="38"/>
      <c r="F94" s="30">
        <v>1</v>
      </c>
      <c r="G94" s="30">
        <v>1</v>
      </c>
      <c r="H94" s="30">
        <v>1</v>
      </c>
      <c r="I94" s="30">
        <v>1</v>
      </c>
      <c r="J94" s="30">
        <v>1</v>
      </c>
      <c r="K94" s="30">
        <v>1</v>
      </c>
      <c r="L94" s="30">
        <v>1</v>
      </c>
      <c r="M94" s="30">
        <v>1</v>
      </c>
      <c r="N94" s="30">
        <v>1</v>
      </c>
      <c r="O94" s="30">
        <v>1</v>
      </c>
      <c r="P94" s="30">
        <v>1</v>
      </c>
      <c r="Q94" s="30">
        <v>1</v>
      </c>
      <c r="R94" s="30">
        <v>1</v>
      </c>
      <c r="S94" s="30">
        <v>1</v>
      </c>
      <c r="T94" s="30">
        <v>1</v>
      </c>
      <c r="U94" s="30">
        <v>1</v>
      </c>
      <c r="V94" s="30">
        <v>1</v>
      </c>
      <c r="W94" s="30">
        <v>1</v>
      </c>
      <c r="X94" s="30">
        <v>0.69</v>
      </c>
      <c r="Y94" s="30">
        <v>1</v>
      </c>
      <c r="Z94" s="30">
        <v>1</v>
      </c>
      <c r="AA94" s="102">
        <v>1</v>
      </c>
      <c r="AB94" s="102">
        <v>1</v>
      </c>
      <c r="AC94" s="102">
        <v>0.98450000000000004</v>
      </c>
      <c r="AD94" s="94"/>
      <c r="AF94" s="213"/>
    </row>
    <row r="95" spans="2:32">
      <c r="B95" s="43" t="str">
        <f>'2017 Determination - Revenue'!$B$37</f>
        <v>Lachlan</v>
      </c>
      <c r="C95" s="50" t="str">
        <f>'2017 Determination - Revenue'!$C$22</f>
        <v>%</v>
      </c>
      <c r="D95" s="38"/>
      <c r="E95" s="38"/>
      <c r="F95" s="30">
        <v>1</v>
      </c>
      <c r="G95" s="30">
        <v>1</v>
      </c>
      <c r="H95" s="30">
        <v>1</v>
      </c>
      <c r="I95" s="30">
        <v>1</v>
      </c>
      <c r="J95" s="30">
        <v>1</v>
      </c>
      <c r="K95" s="30">
        <v>1</v>
      </c>
      <c r="L95" s="30">
        <v>1</v>
      </c>
      <c r="M95" s="30">
        <v>0.7</v>
      </c>
      <c r="N95" s="30">
        <v>0.3</v>
      </c>
      <c r="O95" s="30">
        <v>1</v>
      </c>
      <c r="P95" s="30">
        <v>0.8</v>
      </c>
      <c r="Q95" s="30">
        <v>0.3</v>
      </c>
      <c r="R95" s="30">
        <v>0.3</v>
      </c>
      <c r="S95" s="30">
        <v>0.1</v>
      </c>
      <c r="T95" s="30">
        <v>1</v>
      </c>
      <c r="U95" s="30">
        <v>1</v>
      </c>
      <c r="V95" s="30">
        <v>1</v>
      </c>
      <c r="W95" s="30">
        <v>1</v>
      </c>
      <c r="X95" s="30">
        <v>1</v>
      </c>
      <c r="Y95" s="30">
        <v>1.0036594304062543</v>
      </c>
      <c r="Z95" s="30">
        <v>1.0000924940227918</v>
      </c>
      <c r="AA95" s="102">
        <v>1</v>
      </c>
      <c r="AB95" s="102">
        <v>1</v>
      </c>
      <c r="AC95" s="102">
        <v>0.82518759622145232</v>
      </c>
      <c r="AD95" s="94"/>
      <c r="AF95" s="213"/>
    </row>
    <row r="96" spans="2:32">
      <c r="B96" s="43" t="str">
        <f>'2017 Determination - Revenue'!$B$38</f>
        <v>Macquarie</v>
      </c>
      <c r="C96" s="50" t="str">
        <f>'2017 Determination - Revenue'!$C$22</f>
        <v>%</v>
      </c>
      <c r="D96" s="38"/>
      <c r="E96" s="38"/>
      <c r="F96" s="30">
        <v>1</v>
      </c>
      <c r="G96" s="30">
        <v>1</v>
      </c>
      <c r="H96" s="30">
        <v>1</v>
      </c>
      <c r="I96" s="30">
        <v>1</v>
      </c>
      <c r="J96" s="30">
        <v>1</v>
      </c>
      <c r="K96" s="30">
        <v>1</v>
      </c>
      <c r="L96" s="30">
        <v>1</v>
      </c>
      <c r="M96" s="30">
        <v>1</v>
      </c>
      <c r="N96" s="30">
        <v>1</v>
      </c>
      <c r="O96" s="30">
        <v>1</v>
      </c>
      <c r="P96" s="30">
        <v>1</v>
      </c>
      <c r="Q96" s="30">
        <v>1</v>
      </c>
      <c r="R96" s="30">
        <v>1</v>
      </c>
      <c r="S96" s="30">
        <v>1</v>
      </c>
      <c r="T96" s="30">
        <v>1</v>
      </c>
      <c r="U96" s="30">
        <v>1</v>
      </c>
      <c r="V96" s="30">
        <v>1</v>
      </c>
      <c r="W96" s="30">
        <v>1</v>
      </c>
      <c r="X96" s="30">
        <v>1</v>
      </c>
      <c r="Y96" s="30">
        <v>0.99932337516388836</v>
      </c>
      <c r="Z96" s="30">
        <v>1.0005692466266867</v>
      </c>
      <c r="AA96" s="102">
        <v>1</v>
      </c>
      <c r="AB96" s="102">
        <v>1</v>
      </c>
      <c r="AC96" s="102">
        <v>0.9999946310895288</v>
      </c>
      <c r="AD96" s="94"/>
      <c r="AF96" s="213"/>
    </row>
    <row r="97" spans="2:32">
      <c r="B97" s="43" t="str">
        <f>'2017 Determination - Revenue'!$B$39</f>
        <v>Murray</v>
      </c>
      <c r="C97" s="50" t="str">
        <f>'2017 Determination - Revenue'!$C$22</f>
        <v>%</v>
      </c>
      <c r="D97" s="38"/>
      <c r="E97" s="38"/>
      <c r="F97" s="30">
        <v>1</v>
      </c>
      <c r="G97" s="30">
        <v>1</v>
      </c>
      <c r="H97" s="30">
        <v>1</v>
      </c>
      <c r="I97" s="30">
        <v>1</v>
      </c>
      <c r="J97" s="30">
        <v>1</v>
      </c>
      <c r="K97" s="30">
        <v>1</v>
      </c>
      <c r="L97" s="30">
        <v>1</v>
      </c>
      <c r="M97" s="30">
        <v>1</v>
      </c>
      <c r="N97" s="30">
        <v>0.97</v>
      </c>
      <c r="O97" s="30">
        <v>0.97</v>
      </c>
      <c r="P97" s="30">
        <v>0.69</v>
      </c>
      <c r="Q97" s="30">
        <v>0.5</v>
      </c>
      <c r="R97" s="30">
        <v>0.95</v>
      </c>
      <c r="S97" s="30">
        <v>0.97</v>
      </c>
      <c r="T97" s="30">
        <v>1</v>
      </c>
      <c r="U97" s="30">
        <v>1</v>
      </c>
      <c r="V97" s="30">
        <v>1</v>
      </c>
      <c r="W97" s="30">
        <v>1</v>
      </c>
      <c r="X97" s="30">
        <v>0.98</v>
      </c>
      <c r="Y97" s="30">
        <v>0.95624823835531536</v>
      </c>
      <c r="Z97" s="30">
        <v>1</v>
      </c>
      <c r="AA97" s="102">
        <v>0.99</v>
      </c>
      <c r="AB97" s="102">
        <v>0.71599999999999997</v>
      </c>
      <c r="AC97" s="102">
        <v>0.94881241191776555</v>
      </c>
      <c r="AD97" s="94"/>
      <c r="AF97" s="213"/>
    </row>
    <row r="98" spans="2:32">
      <c r="B98" s="43" t="str">
        <f>'2017 Determination - Revenue'!$B$40</f>
        <v>Murrumbidgee</v>
      </c>
      <c r="C98" s="50" t="str">
        <f>'2017 Determination - Revenue'!$C$22</f>
        <v>%</v>
      </c>
      <c r="D98" s="38"/>
      <c r="E98" s="38"/>
      <c r="F98" s="30">
        <v>1</v>
      </c>
      <c r="G98" s="30">
        <v>1</v>
      </c>
      <c r="H98" s="30">
        <v>1</v>
      </c>
      <c r="I98" s="30">
        <v>1</v>
      </c>
      <c r="J98" s="30">
        <v>1</v>
      </c>
      <c r="K98" s="30">
        <v>1</v>
      </c>
      <c r="L98" s="30">
        <v>1</v>
      </c>
      <c r="M98" s="30">
        <v>0.95</v>
      </c>
      <c r="N98" s="30">
        <v>0.95</v>
      </c>
      <c r="O98" s="30">
        <v>0.95</v>
      </c>
      <c r="P98" s="30">
        <v>0.9</v>
      </c>
      <c r="Q98" s="30">
        <v>0.9</v>
      </c>
      <c r="R98" s="30">
        <v>0.95</v>
      </c>
      <c r="S98" s="30">
        <v>0.95</v>
      </c>
      <c r="T98" s="30">
        <v>0.99960000000000004</v>
      </c>
      <c r="U98" s="30">
        <v>1</v>
      </c>
      <c r="V98" s="30">
        <v>1</v>
      </c>
      <c r="W98" s="30">
        <v>0.97499999999999998</v>
      </c>
      <c r="X98" s="30">
        <v>0.96</v>
      </c>
      <c r="Y98" s="30">
        <v>0.95903132725386231</v>
      </c>
      <c r="Z98" s="30">
        <v>1.0000662916797587</v>
      </c>
      <c r="AA98" s="102">
        <v>0.96</v>
      </c>
      <c r="AB98" s="102">
        <v>0.96499999999999997</v>
      </c>
      <c r="AC98" s="102">
        <v>0.97018488094668087</v>
      </c>
      <c r="AD98" s="94"/>
      <c r="AF98" s="213"/>
    </row>
    <row r="99" spans="2:32">
      <c r="B99" s="43" t="str">
        <f>'2017 Determination - Revenue'!$B$41</f>
        <v>Lowbidgee</v>
      </c>
      <c r="C99" s="50" t="str">
        <f>'2017 Determination - Revenue'!$C$22</f>
        <v>%</v>
      </c>
      <c r="D99" s="38"/>
      <c r="E99" s="38"/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  <c r="R99" s="30">
        <v>0</v>
      </c>
      <c r="S99" s="30">
        <v>0</v>
      </c>
      <c r="T99" s="30">
        <v>0</v>
      </c>
      <c r="U99" s="30">
        <v>0</v>
      </c>
      <c r="V99" s="30">
        <v>0</v>
      </c>
      <c r="W99" s="30">
        <v>0</v>
      </c>
      <c r="X99" s="30">
        <v>0</v>
      </c>
      <c r="Y99" s="30">
        <v>0</v>
      </c>
      <c r="Z99" s="30"/>
      <c r="AA99" s="102"/>
      <c r="AB99" s="102"/>
      <c r="AC99" s="102"/>
      <c r="AD99" s="94"/>
      <c r="AF99" s="213"/>
    </row>
    <row r="100" spans="2:32">
      <c r="B100" s="43"/>
      <c r="C100" s="50"/>
      <c r="D100" s="38"/>
      <c r="E100" s="38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94"/>
      <c r="AF100" s="213"/>
    </row>
    <row r="101" spans="2:32" ht="12">
      <c r="B101" s="49" t="s">
        <v>32</v>
      </c>
      <c r="C101" s="50"/>
      <c r="D101" s="38"/>
      <c r="E101" s="38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99"/>
      <c r="AA101" s="107"/>
      <c r="AB101" s="89"/>
      <c r="AC101" s="89"/>
      <c r="AD101" s="94"/>
      <c r="AF101" s="213"/>
    </row>
    <row r="102" spans="2:32" ht="12" customHeight="1">
      <c r="B102" s="43" t="str">
        <f>'2017 Determination - Revenue'!$B$33</f>
        <v>Border</v>
      </c>
      <c r="C102" s="50" t="str">
        <f>'2017 Determination - Revenue'!$C$22</f>
        <v>%</v>
      </c>
      <c r="D102" s="38"/>
      <c r="E102" s="38"/>
      <c r="F102" s="30">
        <v>0</v>
      </c>
      <c r="G102" s="30">
        <v>0</v>
      </c>
      <c r="H102" s="30">
        <v>0</v>
      </c>
      <c r="I102" s="30">
        <v>0</v>
      </c>
      <c r="J102" s="30">
        <v>0</v>
      </c>
      <c r="K102" s="30">
        <v>0</v>
      </c>
      <c r="L102" s="30">
        <v>0</v>
      </c>
      <c r="M102" s="30">
        <v>0</v>
      </c>
      <c r="N102" s="30">
        <v>0</v>
      </c>
      <c r="O102" s="30">
        <v>0</v>
      </c>
      <c r="P102" s="30">
        <v>0</v>
      </c>
      <c r="Q102" s="30">
        <v>0</v>
      </c>
      <c r="R102" s="30">
        <v>0</v>
      </c>
      <c r="S102" s="30">
        <v>0</v>
      </c>
      <c r="T102" s="30">
        <v>0</v>
      </c>
      <c r="U102" s="30">
        <v>0</v>
      </c>
      <c r="V102" s="30">
        <v>0</v>
      </c>
      <c r="W102" s="30">
        <v>0</v>
      </c>
      <c r="X102" s="30">
        <v>0</v>
      </c>
      <c r="Y102" s="30">
        <v>0</v>
      </c>
      <c r="Z102" s="30">
        <v>0</v>
      </c>
      <c r="AA102" s="102">
        <v>0</v>
      </c>
      <c r="AB102" s="102" t="s">
        <v>219</v>
      </c>
      <c r="AC102" s="102" t="s">
        <v>219</v>
      </c>
      <c r="AD102" s="94"/>
      <c r="AF102" s="213"/>
    </row>
    <row r="103" spans="2:32">
      <c r="B103" s="43" t="str">
        <f>'2017 Determination - Revenue'!$B$34</f>
        <v>Gwydir</v>
      </c>
      <c r="C103" s="50" t="str">
        <f>'2017 Determination - Revenue'!$C$22</f>
        <v>%</v>
      </c>
      <c r="D103" s="38"/>
      <c r="E103" s="38"/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102">
        <v>0</v>
      </c>
      <c r="AB103" s="102" t="s">
        <v>219</v>
      </c>
      <c r="AC103" s="102" t="s">
        <v>219</v>
      </c>
      <c r="AD103" s="94"/>
      <c r="AF103" s="213"/>
    </row>
    <row r="104" spans="2:32">
      <c r="B104" s="43" t="str">
        <f>'2017 Determination - Revenue'!$B$35</f>
        <v>Namoi</v>
      </c>
      <c r="C104" s="50" t="str">
        <f>'2017 Determination - Revenue'!$C$22</f>
        <v>%</v>
      </c>
      <c r="D104" s="38"/>
      <c r="E104" s="38"/>
      <c r="F104" s="30">
        <v>0</v>
      </c>
      <c r="G104" s="30">
        <v>0</v>
      </c>
      <c r="H104" s="30">
        <v>0</v>
      </c>
      <c r="I104" s="30"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0</v>
      </c>
      <c r="O104" s="30">
        <v>0</v>
      </c>
      <c r="P104" s="30">
        <v>0</v>
      </c>
      <c r="Q104" s="30">
        <v>0</v>
      </c>
      <c r="R104" s="30">
        <v>0</v>
      </c>
      <c r="S104" s="30">
        <v>0</v>
      </c>
      <c r="T104" s="30">
        <v>0</v>
      </c>
      <c r="U104" s="30">
        <v>0</v>
      </c>
      <c r="V104" s="30">
        <v>0</v>
      </c>
      <c r="W104" s="30">
        <v>0</v>
      </c>
      <c r="X104" s="30">
        <v>0</v>
      </c>
      <c r="Y104" s="30">
        <v>0</v>
      </c>
      <c r="Z104" s="30">
        <v>0</v>
      </c>
      <c r="AA104" s="102">
        <v>0</v>
      </c>
      <c r="AB104" s="102" t="s">
        <v>219</v>
      </c>
      <c r="AC104" s="102" t="s">
        <v>219</v>
      </c>
      <c r="AD104" s="94"/>
      <c r="AF104" s="213"/>
    </row>
    <row r="105" spans="2:32">
      <c r="B105" s="43" t="str">
        <f>'2017 Determination - Revenue'!$B$36</f>
        <v>Peel</v>
      </c>
      <c r="C105" s="50" t="str">
        <f>'2017 Determination - Revenue'!$C$22</f>
        <v>%</v>
      </c>
      <c r="D105" s="38"/>
      <c r="E105" s="38"/>
      <c r="F105" s="30">
        <v>0</v>
      </c>
      <c r="G105" s="30">
        <v>0</v>
      </c>
      <c r="H105" s="30">
        <v>0</v>
      </c>
      <c r="I105" s="30">
        <v>0</v>
      </c>
      <c r="J105" s="30">
        <v>0</v>
      </c>
      <c r="K105" s="30">
        <v>0</v>
      </c>
      <c r="L105" s="30">
        <v>0</v>
      </c>
      <c r="M105" s="30">
        <v>0</v>
      </c>
      <c r="N105" s="30">
        <v>0</v>
      </c>
      <c r="O105" s="30">
        <v>0</v>
      </c>
      <c r="P105" s="30">
        <v>0</v>
      </c>
      <c r="Q105" s="30">
        <v>0</v>
      </c>
      <c r="R105" s="30">
        <v>0</v>
      </c>
      <c r="S105" s="30">
        <v>0</v>
      </c>
      <c r="T105" s="30">
        <v>0</v>
      </c>
      <c r="U105" s="30">
        <v>0</v>
      </c>
      <c r="V105" s="30">
        <v>0</v>
      </c>
      <c r="W105" s="30">
        <v>0</v>
      </c>
      <c r="X105" s="30">
        <v>0</v>
      </c>
      <c r="Y105" s="30">
        <v>0</v>
      </c>
      <c r="Z105" s="30">
        <v>0</v>
      </c>
      <c r="AA105" s="102">
        <v>0</v>
      </c>
      <c r="AB105" s="102" t="s">
        <v>219</v>
      </c>
      <c r="AC105" s="102" t="s">
        <v>219</v>
      </c>
      <c r="AD105" s="94"/>
      <c r="AF105" s="213"/>
    </row>
    <row r="106" spans="2:32">
      <c r="B106" s="43" t="str">
        <f>'2017 Determination - Revenue'!$B$37</f>
        <v>Lachlan</v>
      </c>
      <c r="C106" s="50" t="str">
        <f>'2017 Determination - Revenue'!$C$22</f>
        <v>%</v>
      </c>
      <c r="D106" s="38"/>
      <c r="E106" s="38"/>
      <c r="F106" s="30">
        <v>0</v>
      </c>
      <c r="G106" s="30">
        <v>0</v>
      </c>
      <c r="H106" s="30">
        <v>0</v>
      </c>
      <c r="I106" s="30">
        <v>0</v>
      </c>
      <c r="J106" s="30">
        <v>0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0</v>
      </c>
      <c r="R106" s="30">
        <v>0</v>
      </c>
      <c r="S106" s="30">
        <v>0</v>
      </c>
      <c r="T106" s="30">
        <v>0</v>
      </c>
      <c r="U106" s="30">
        <v>0</v>
      </c>
      <c r="V106" s="30">
        <v>0</v>
      </c>
      <c r="W106" s="30">
        <v>0</v>
      </c>
      <c r="X106" s="30">
        <v>0</v>
      </c>
      <c r="Y106" s="30">
        <v>0</v>
      </c>
      <c r="Z106" s="30">
        <v>0</v>
      </c>
      <c r="AA106" s="102">
        <v>0</v>
      </c>
      <c r="AB106" s="102" t="s">
        <v>219</v>
      </c>
      <c r="AC106" s="102" t="s">
        <v>219</v>
      </c>
      <c r="AD106" s="94"/>
      <c r="AF106" s="213"/>
    </row>
    <row r="107" spans="2:32">
      <c r="B107" s="43" t="str">
        <f>'2017 Determination - Revenue'!$B$38</f>
        <v>Macquarie</v>
      </c>
      <c r="C107" s="50" t="str">
        <f>'2017 Determination - Revenue'!$C$22</f>
        <v>%</v>
      </c>
      <c r="D107" s="38"/>
      <c r="E107" s="38"/>
      <c r="F107" s="30">
        <v>0</v>
      </c>
      <c r="G107" s="30">
        <v>0</v>
      </c>
      <c r="H107" s="30">
        <v>0</v>
      </c>
      <c r="I107" s="30">
        <v>0</v>
      </c>
      <c r="J107" s="30">
        <v>0</v>
      </c>
      <c r="K107" s="30">
        <v>0</v>
      </c>
      <c r="L107" s="30">
        <v>0</v>
      </c>
      <c r="M107" s="30">
        <v>0</v>
      </c>
      <c r="N107" s="30">
        <v>0</v>
      </c>
      <c r="O107" s="30">
        <v>0</v>
      </c>
      <c r="P107" s="30">
        <v>0</v>
      </c>
      <c r="Q107" s="30">
        <v>0</v>
      </c>
      <c r="R107" s="30">
        <v>0</v>
      </c>
      <c r="S107" s="30">
        <v>0</v>
      </c>
      <c r="T107" s="30">
        <v>0</v>
      </c>
      <c r="U107" s="30">
        <v>0</v>
      </c>
      <c r="V107" s="30">
        <v>0</v>
      </c>
      <c r="W107" s="30">
        <v>0</v>
      </c>
      <c r="X107" s="30">
        <v>0</v>
      </c>
      <c r="Y107" s="30">
        <v>0</v>
      </c>
      <c r="Z107" s="30">
        <v>0</v>
      </c>
      <c r="AA107" s="102">
        <v>0</v>
      </c>
      <c r="AB107" s="102" t="s">
        <v>219</v>
      </c>
      <c r="AC107" s="102" t="s">
        <v>219</v>
      </c>
      <c r="AD107" s="94"/>
      <c r="AF107" s="213"/>
    </row>
    <row r="108" spans="2:32">
      <c r="B108" s="43" t="str">
        <f>'2017 Determination - Revenue'!$B$39</f>
        <v>Murray</v>
      </c>
      <c r="C108" s="50" t="str">
        <f>'2017 Determination - Revenue'!$C$22</f>
        <v>%</v>
      </c>
      <c r="D108" s="38"/>
      <c r="E108" s="38"/>
      <c r="F108" s="30">
        <v>0</v>
      </c>
      <c r="G108" s="30">
        <v>0</v>
      </c>
      <c r="H108" s="30">
        <v>0</v>
      </c>
      <c r="I108" s="30">
        <v>0</v>
      </c>
      <c r="J108" s="30">
        <v>0</v>
      </c>
      <c r="K108" s="30">
        <v>0</v>
      </c>
      <c r="L108" s="30">
        <v>0</v>
      </c>
      <c r="M108" s="30">
        <v>0</v>
      </c>
      <c r="N108" s="30">
        <v>0</v>
      </c>
      <c r="O108" s="30">
        <v>0</v>
      </c>
      <c r="P108" s="30">
        <v>0</v>
      </c>
      <c r="Q108" s="30">
        <v>0</v>
      </c>
      <c r="R108" s="30">
        <v>0</v>
      </c>
      <c r="S108" s="30">
        <v>0</v>
      </c>
      <c r="T108" s="30">
        <v>0</v>
      </c>
      <c r="U108" s="30">
        <v>0</v>
      </c>
      <c r="V108" s="30">
        <v>0</v>
      </c>
      <c r="W108" s="30">
        <v>0</v>
      </c>
      <c r="X108" s="30">
        <v>0</v>
      </c>
      <c r="Y108" s="30">
        <v>0</v>
      </c>
      <c r="Z108" s="30">
        <v>0</v>
      </c>
      <c r="AA108" s="102">
        <v>0</v>
      </c>
      <c r="AB108" s="102" t="s">
        <v>219</v>
      </c>
      <c r="AC108" s="102" t="s">
        <v>219</v>
      </c>
      <c r="AD108" s="94"/>
      <c r="AF108" s="213"/>
    </row>
    <row r="109" spans="2:32">
      <c r="B109" s="43" t="str">
        <f>'2017 Determination - Revenue'!$B$40</f>
        <v>Murrumbidgee</v>
      </c>
      <c r="C109" s="50" t="str">
        <f>'2017 Determination - Revenue'!$C$22</f>
        <v>%</v>
      </c>
      <c r="D109" s="38"/>
      <c r="E109" s="38"/>
      <c r="F109" s="30">
        <v>0</v>
      </c>
      <c r="G109" s="30">
        <v>0</v>
      </c>
      <c r="H109" s="30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v>0</v>
      </c>
      <c r="P109" s="30">
        <v>0</v>
      </c>
      <c r="Q109" s="30">
        <v>0</v>
      </c>
      <c r="R109" s="30">
        <v>0</v>
      </c>
      <c r="S109" s="30">
        <v>0</v>
      </c>
      <c r="T109" s="30">
        <v>0</v>
      </c>
      <c r="U109" s="30">
        <v>0</v>
      </c>
      <c r="V109" s="30">
        <v>0</v>
      </c>
      <c r="W109" s="30">
        <v>0</v>
      </c>
      <c r="X109" s="30">
        <v>0</v>
      </c>
      <c r="Y109" s="30">
        <v>0</v>
      </c>
      <c r="Z109" s="30">
        <v>0</v>
      </c>
      <c r="AA109" s="102">
        <v>0</v>
      </c>
      <c r="AB109" s="102" t="s">
        <v>219</v>
      </c>
      <c r="AC109" s="102" t="s">
        <v>219</v>
      </c>
      <c r="AD109" s="94"/>
      <c r="AF109" s="213"/>
    </row>
    <row r="110" spans="2:32">
      <c r="B110" s="43" t="str">
        <f>'2017 Determination - Revenue'!$B$41</f>
        <v>Lowbidgee</v>
      </c>
      <c r="C110" s="50" t="str">
        <f>'2017 Determination - Revenue'!$C$22</f>
        <v>%</v>
      </c>
      <c r="D110" s="38"/>
      <c r="E110" s="38"/>
      <c r="F110" s="30">
        <v>1</v>
      </c>
      <c r="G110" s="30">
        <v>1</v>
      </c>
      <c r="H110" s="30">
        <v>1</v>
      </c>
      <c r="I110" s="30">
        <v>1</v>
      </c>
      <c r="J110" s="30">
        <v>1</v>
      </c>
      <c r="K110" s="30">
        <v>1</v>
      </c>
      <c r="L110" s="30">
        <v>1</v>
      </c>
      <c r="M110" s="30">
        <v>1</v>
      </c>
      <c r="N110" s="30">
        <v>1</v>
      </c>
      <c r="O110" s="30">
        <v>1</v>
      </c>
      <c r="P110" s="30">
        <v>1</v>
      </c>
      <c r="Q110" s="30">
        <v>1</v>
      </c>
      <c r="R110" s="30">
        <v>1</v>
      </c>
      <c r="S110" s="30">
        <v>1</v>
      </c>
      <c r="T110" s="30">
        <v>1</v>
      </c>
      <c r="U110" s="30">
        <v>1</v>
      </c>
      <c r="V110" s="30">
        <v>1</v>
      </c>
      <c r="W110" s="30">
        <v>1</v>
      </c>
      <c r="X110" s="30">
        <v>1</v>
      </c>
      <c r="Y110" s="30">
        <v>1</v>
      </c>
      <c r="Z110" s="30">
        <v>1</v>
      </c>
      <c r="AA110" s="102">
        <v>1</v>
      </c>
      <c r="AB110" s="102" t="s">
        <v>219</v>
      </c>
      <c r="AC110" s="102" t="s">
        <v>219</v>
      </c>
      <c r="AD110" s="94"/>
      <c r="AF110" s="213"/>
    </row>
    <row r="111" spans="2:32" ht="12">
      <c r="B111" s="43"/>
      <c r="C111" s="38"/>
      <c r="D111" s="38"/>
      <c r="E111" s="38"/>
      <c r="F111" s="98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107"/>
      <c r="AB111" s="89"/>
      <c r="AC111" s="89"/>
      <c r="AD111" s="94"/>
      <c r="AF111" s="213"/>
    </row>
    <row r="112" spans="2:32">
      <c r="B112" s="45"/>
      <c r="C112" s="36"/>
      <c r="D112" s="36"/>
      <c r="E112" s="3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7"/>
      <c r="AF112" s="213"/>
    </row>
    <row r="113" spans="2:32">
      <c r="AF113" s="213"/>
    </row>
    <row r="114" spans="2:32">
      <c r="AF114" s="213"/>
    </row>
    <row r="115" spans="2:32">
      <c r="B115" s="33" t="s">
        <v>146</v>
      </c>
      <c r="C115" s="38"/>
      <c r="D115" s="38"/>
      <c r="E115" s="38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F115" s="213"/>
    </row>
    <row r="116" spans="2:32">
      <c r="B116" s="63" t="str">
        <f>'2017 Determination - Revenue'!B$16</f>
        <v>Financial year</v>
      </c>
      <c r="C116" s="41" t="str">
        <f>'2017 Determination - Revenue'!C$28</f>
        <v>Units</v>
      </c>
      <c r="D116" s="41"/>
      <c r="E116" s="41"/>
      <c r="F116" s="150" t="str">
        <f t="shared" ref="F116:Z116" si="12">F$16</f>
        <v>1996-97</v>
      </c>
      <c r="G116" s="150" t="str">
        <f t="shared" si="12"/>
        <v>1997-98</v>
      </c>
      <c r="H116" s="150" t="str">
        <f t="shared" si="12"/>
        <v>1998-99</v>
      </c>
      <c r="I116" s="150" t="str">
        <f t="shared" si="12"/>
        <v>1999-00</v>
      </c>
      <c r="J116" s="150" t="str">
        <f t="shared" si="12"/>
        <v>2000-01</v>
      </c>
      <c r="K116" s="150" t="str">
        <f t="shared" si="12"/>
        <v>2001-02</v>
      </c>
      <c r="L116" s="150" t="str">
        <f t="shared" si="12"/>
        <v>2002-03</v>
      </c>
      <c r="M116" s="150" t="str">
        <f t="shared" si="12"/>
        <v>2003-04</v>
      </c>
      <c r="N116" s="150" t="str">
        <f t="shared" si="12"/>
        <v>2004-05</v>
      </c>
      <c r="O116" s="150" t="str">
        <f t="shared" si="12"/>
        <v>2005-06</v>
      </c>
      <c r="P116" s="150" t="str">
        <f t="shared" si="12"/>
        <v>2006-07</v>
      </c>
      <c r="Q116" s="150" t="str">
        <f t="shared" si="12"/>
        <v>2007-08</v>
      </c>
      <c r="R116" s="150" t="str">
        <f t="shared" si="12"/>
        <v>2008-09</v>
      </c>
      <c r="S116" s="150" t="str">
        <f t="shared" si="12"/>
        <v>2009-10</v>
      </c>
      <c r="T116" s="150" t="str">
        <f t="shared" si="12"/>
        <v>2010-11</v>
      </c>
      <c r="U116" s="150" t="str">
        <f t="shared" si="12"/>
        <v>2011-12</v>
      </c>
      <c r="V116" s="150" t="str">
        <f t="shared" si="12"/>
        <v>2012-13</v>
      </c>
      <c r="W116" s="150" t="str">
        <f t="shared" si="12"/>
        <v>2013-14</v>
      </c>
      <c r="X116" s="150" t="str">
        <f t="shared" si="12"/>
        <v>2014-15</v>
      </c>
      <c r="Y116" s="150" t="str">
        <f t="shared" si="12"/>
        <v>2015-16</v>
      </c>
      <c r="Z116" s="150" t="str">
        <f t="shared" si="12"/>
        <v>2016-17</v>
      </c>
      <c r="AA116" s="126" t="str">
        <f>AA$16</f>
        <v>2017-18</v>
      </c>
      <c r="AB116" s="126" t="str">
        <f>'2017 Determination - Revenue'!G$16</f>
        <v>2018-19</v>
      </c>
      <c r="AC116" s="126" t="str">
        <f>'2017 Determination - Revenue'!H$16</f>
        <v>2019-20</v>
      </c>
      <c r="AD116" s="93"/>
      <c r="AF116" s="213"/>
    </row>
    <row r="117" spans="2:32">
      <c r="B117" s="49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149" t="s">
        <v>133</v>
      </c>
      <c r="AA117" s="144" t="str">
        <f>AA17</f>
        <v>Actual</v>
      </c>
      <c r="AB117" s="144" t="str">
        <f t="shared" ref="AB117" si="13">AB$17</f>
        <v>Estimate</v>
      </c>
      <c r="AC117" s="144" t="s">
        <v>103</v>
      </c>
      <c r="AD117" s="94"/>
      <c r="AF117" s="213"/>
    </row>
    <row r="118" spans="2:32" ht="12">
      <c r="B118" s="49"/>
      <c r="C118" s="38"/>
      <c r="D118" s="38"/>
      <c r="E118" s="38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104"/>
      <c r="Z118" s="99"/>
      <c r="AA118" s="89"/>
      <c r="AB118" s="89"/>
      <c r="AC118" s="89"/>
      <c r="AD118" s="94"/>
      <c r="AF118" s="213"/>
    </row>
    <row r="119" spans="2:32" s="110" customFormat="1" ht="12">
      <c r="B119" s="49" t="s">
        <v>147</v>
      </c>
      <c r="C119" s="38"/>
      <c r="D119" s="38"/>
      <c r="E119" s="38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104"/>
      <c r="Z119" s="99"/>
      <c r="AA119" s="89"/>
      <c r="AB119" s="89"/>
      <c r="AC119" s="89"/>
      <c r="AD119" s="94"/>
      <c r="AE119" s="34"/>
      <c r="AF119" s="213"/>
    </row>
    <row r="120" spans="2:32">
      <c r="B120" s="78" t="str">
        <f>'Updated Volumes'!B$33</f>
        <v xml:space="preserve">Minor customers (filtered) </v>
      </c>
      <c r="C120" s="38" t="str">
        <f>'MDB calcs'!$C$102</f>
        <v>#</v>
      </c>
      <c r="D120" s="38"/>
      <c r="E120" s="38"/>
      <c r="F120" s="148" t="s">
        <v>133</v>
      </c>
      <c r="G120" s="148" t="s">
        <v>133</v>
      </c>
      <c r="H120" s="148" t="s">
        <v>133</v>
      </c>
      <c r="I120" s="148" t="s">
        <v>133</v>
      </c>
      <c r="J120" s="148" t="s">
        <v>133</v>
      </c>
      <c r="K120" s="148" t="s">
        <v>133</v>
      </c>
      <c r="L120" s="148" t="s">
        <v>133</v>
      </c>
      <c r="M120" s="148" t="s">
        <v>133</v>
      </c>
      <c r="N120" s="148" t="s">
        <v>133</v>
      </c>
      <c r="O120" s="148" t="s">
        <v>133</v>
      </c>
      <c r="P120" s="148" t="s">
        <v>133</v>
      </c>
      <c r="Q120" s="148" t="s">
        <v>133</v>
      </c>
      <c r="R120" s="148" t="s">
        <v>133</v>
      </c>
      <c r="S120" s="148" t="s">
        <v>133</v>
      </c>
      <c r="T120" s="148" t="s">
        <v>133</v>
      </c>
      <c r="U120" s="148" t="s">
        <v>133</v>
      </c>
      <c r="V120" s="148" t="s">
        <v>133</v>
      </c>
      <c r="W120" s="148" t="s">
        <v>133</v>
      </c>
      <c r="X120" s="148" t="s">
        <v>133</v>
      </c>
      <c r="Y120" s="148" t="s">
        <v>133</v>
      </c>
      <c r="Z120" s="148" t="s">
        <v>133</v>
      </c>
      <c r="AA120" s="103">
        <v>228</v>
      </c>
      <c r="AB120" s="103">
        <v>231</v>
      </c>
      <c r="AC120" s="103">
        <v>228</v>
      </c>
      <c r="AD120" s="94"/>
      <c r="AF120" s="213"/>
    </row>
    <row r="121" spans="2:32">
      <c r="B121" s="78" t="str">
        <f>'Updated Volumes'!B$32</f>
        <v xml:space="preserve">Minor customers (raw) </v>
      </c>
      <c r="C121" s="38" t="str">
        <f>'MDB calcs'!$C$102</f>
        <v>#</v>
      </c>
      <c r="D121" s="38"/>
      <c r="E121" s="38"/>
      <c r="F121" s="148" t="s">
        <v>133</v>
      </c>
      <c r="G121" s="148" t="s">
        <v>133</v>
      </c>
      <c r="H121" s="148" t="s">
        <v>133</v>
      </c>
      <c r="I121" s="148" t="s">
        <v>133</v>
      </c>
      <c r="J121" s="148" t="s">
        <v>133</v>
      </c>
      <c r="K121" s="148" t="s">
        <v>133</v>
      </c>
      <c r="L121" s="148" t="s">
        <v>133</v>
      </c>
      <c r="M121" s="148" t="s">
        <v>133</v>
      </c>
      <c r="N121" s="148" t="s">
        <v>133</v>
      </c>
      <c r="O121" s="148" t="s">
        <v>133</v>
      </c>
      <c r="P121" s="148" t="s">
        <v>133</v>
      </c>
      <c r="Q121" s="148" t="s">
        <v>133</v>
      </c>
      <c r="R121" s="148" t="s">
        <v>133</v>
      </c>
      <c r="S121" s="148" t="s">
        <v>133</v>
      </c>
      <c r="T121" s="148" t="s">
        <v>133</v>
      </c>
      <c r="U121" s="148" t="s">
        <v>133</v>
      </c>
      <c r="V121" s="148" t="s">
        <v>133</v>
      </c>
      <c r="W121" s="148" t="s">
        <v>133</v>
      </c>
      <c r="X121" s="148" t="s">
        <v>133</v>
      </c>
      <c r="Y121" s="148" t="s">
        <v>133</v>
      </c>
      <c r="Z121" s="148" t="s">
        <v>133</v>
      </c>
      <c r="AA121" s="103">
        <v>83</v>
      </c>
      <c r="AB121" s="103">
        <v>84</v>
      </c>
      <c r="AC121" s="103">
        <v>83</v>
      </c>
      <c r="AD121" s="94"/>
      <c r="AF121" s="213"/>
    </row>
    <row r="122" spans="2:32" s="110" customFormat="1">
      <c r="B122" s="78"/>
      <c r="C122" s="38"/>
      <c r="D122" s="38"/>
      <c r="E122" s="38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103"/>
      <c r="AB122" s="103"/>
      <c r="AC122" s="103"/>
      <c r="AD122" s="94"/>
      <c r="AE122" s="34"/>
      <c r="AF122" s="213"/>
    </row>
    <row r="123" spans="2:32" s="110" customFormat="1">
      <c r="B123" s="49" t="s">
        <v>121</v>
      </c>
      <c r="C123" s="38"/>
      <c r="D123" s="38"/>
      <c r="E123" s="38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104"/>
      <c r="Z123" s="89"/>
      <c r="AA123" s="89"/>
      <c r="AB123" s="89"/>
      <c r="AC123" s="89"/>
      <c r="AD123" s="94"/>
      <c r="AE123" s="34"/>
      <c r="AF123" s="213"/>
    </row>
    <row r="124" spans="2:32" s="110" customFormat="1">
      <c r="B124" s="43" t="str">
        <f>B$31</f>
        <v xml:space="preserve">Energy Australia </v>
      </c>
      <c r="C124" s="38" t="str">
        <f>C$20</f>
        <v>ML</v>
      </c>
      <c r="D124" s="38"/>
      <c r="E124" s="38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104"/>
      <c r="AA124" s="103">
        <v>8184</v>
      </c>
      <c r="AB124" s="103">
        <v>8184</v>
      </c>
      <c r="AC124" s="103">
        <v>8184</v>
      </c>
      <c r="AD124" s="94"/>
      <c r="AE124" s="34"/>
      <c r="AF124" s="213"/>
    </row>
    <row r="125" spans="2:32" s="110" customFormat="1">
      <c r="B125" s="43" t="str">
        <f>B$32</f>
        <v xml:space="preserve">Minor customers (raw) </v>
      </c>
      <c r="C125" s="38" t="str">
        <f>C$20</f>
        <v>ML</v>
      </c>
      <c r="D125" s="38"/>
      <c r="E125" s="38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104"/>
      <c r="AA125" s="103">
        <v>16.600000000000001</v>
      </c>
      <c r="AB125" s="103">
        <v>16.8</v>
      </c>
      <c r="AC125" s="103">
        <v>16.600000000000001</v>
      </c>
      <c r="AD125" s="94"/>
      <c r="AE125" s="34"/>
      <c r="AF125" s="213"/>
    </row>
    <row r="126" spans="2:32" s="110" customFormat="1">
      <c r="B126" s="43" t="str">
        <f>B$33</f>
        <v xml:space="preserve">Minor customers (filtered) </v>
      </c>
      <c r="C126" s="38" t="str">
        <f>C$20</f>
        <v>ML</v>
      </c>
      <c r="D126" s="38"/>
      <c r="E126" s="38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104"/>
      <c r="AA126" s="103">
        <v>45.6</v>
      </c>
      <c r="AB126" s="103">
        <v>46.2</v>
      </c>
      <c r="AC126" s="103">
        <v>45.6</v>
      </c>
      <c r="AD126" s="94"/>
      <c r="AE126" s="34"/>
      <c r="AF126" s="213"/>
    </row>
    <row r="127" spans="2:32">
      <c r="B127" s="45"/>
      <c r="C127" s="36"/>
      <c r="D127" s="36"/>
      <c r="E127" s="3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7"/>
      <c r="AF127" s="213"/>
    </row>
    <row r="128" spans="2:32">
      <c r="AA128" s="32"/>
      <c r="AB128" s="32"/>
      <c r="AC128" s="32"/>
      <c r="AD128" s="32"/>
      <c r="AE128" s="32"/>
      <c r="AF128" s="213"/>
    </row>
    <row r="129" spans="27:32">
      <c r="AA129" s="32"/>
      <c r="AB129" s="32"/>
      <c r="AC129" s="32"/>
      <c r="AD129" s="32"/>
      <c r="AE129" s="32"/>
      <c r="AF129" s="213"/>
    </row>
    <row r="130" spans="27:32">
      <c r="AA130" s="32"/>
      <c r="AB130" s="32"/>
      <c r="AC130" s="32"/>
      <c r="AD130" s="32"/>
      <c r="AE130" s="32"/>
      <c r="AF130" s="213"/>
    </row>
    <row r="131" spans="27:32">
      <c r="AA131" s="32"/>
      <c r="AB131" s="32"/>
      <c r="AC131" s="32"/>
      <c r="AD131" s="32"/>
      <c r="AE131" s="32"/>
      <c r="AF131" s="213"/>
    </row>
    <row r="132" spans="27:32">
      <c r="AA132" s="32"/>
      <c r="AB132" s="32"/>
      <c r="AC132" s="32"/>
      <c r="AD132" s="32"/>
      <c r="AE132" s="32"/>
    </row>
    <row r="133" spans="27:32">
      <c r="AA133" s="32"/>
      <c r="AB133" s="32"/>
      <c r="AC133" s="32"/>
      <c r="AD133" s="32"/>
      <c r="AE133" s="32"/>
    </row>
    <row r="134" spans="27:32">
      <c r="AA134" s="32"/>
      <c r="AB134" s="32"/>
      <c r="AC134" s="32"/>
      <c r="AD134" s="32"/>
      <c r="AE134" s="32"/>
    </row>
    <row r="135" spans="27:32">
      <c r="AA135" s="32"/>
      <c r="AB135" s="32"/>
      <c r="AC135" s="32"/>
      <c r="AD135" s="32"/>
      <c r="AE135" s="32"/>
    </row>
    <row r="136" spans="27:32">
      <c r="AA136" s="32"/>
      <c r="AB136" s="32"/>
      <c r="AC136" s="32"/>
      <c r="AD136" s="32"/>
      <c r="AE136" s="3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K212"/>
  <sheetViews>
    <sheetView showGridLines="0" zoomScaleNormal="100" workbookViewId="0">
      <selection activeCell="F206" sqref="F206"/>
    </sheetView>
  </sheetViews>
  <sheetFormatPr defaultColWidth="9.09765625" defaultRowHeight="11.5"/>
  <cols>
    <col min="1" max="1" width="3" style="32" customWidth="1"/>
    <col min="2" max="2" width="50.19921875" style="32" customWidth="1"/>
    <col min="3" max="3" width="9" style="32" customWidth="1"/>
    <col min="4" max="4" width="5.69921875" style="32" customWidth="1"/>
    <col min="5" max="5" width="14.5" style="32" customWidth="1"/>
    <col min="6" max="7" width="13.69921875" style="32" customWidth="1"/>
    <col min="8" max="8" width="13.69921875" style="110" customWidth="1"/>
    <col min="9" max="9" width="5.69921875" style="32" customWidth="1"/>
    <col min="10" max="10" width="11.8984375" style="32" bestFit="1" customWidth="1"/>
    <col min="11" max="11" width="9.09765625" style="213"/>
    <col min="12" max="16384" width="9.09765625" style="32"/>
  </cols>
  <sheetData>
    <row r="2" spans="1:11" ht="18">
      <c r="B2" s="35" t="s">
        <v>165</v>
      </c>
    </row>
    <row r="3" spans="1:11">
      <c r="B3" s="32" t="s">
        <v>175</v>
      </c>
    </row>
    <row r="5" spans="1:11">
      <c r="B5" s="118" t="s">
        <v>28</v>
      </c>
      <c r="C5" s="118"/>
      <c r="D5" s="118"/>
      <c r="F5" s="153" t="s">
        <v>29</v>
      </c>
    </row>
    <row r="6" spans="1:11" ht="14.25" customHeight="1">
      <c r="B6" s="154" t="str">
        <f>B14</f>
        <v>TABLE 2.1 - INFLATION AS PER 2017 DETERMINATION</v>
      </c>
      <c r="C6" s="155"/>
      <c r="D6" s="155"/>
      <c r="E6" s="41"/>
      <c r="F6" s="156">
        <f>ROW(B14)</f>
        <v>14</v>
      </c>
    </row>
    <row r="7" spans="1:11">
      <c r="B7" s="151" t="str">
        <f>B27</f>
        <v xml:space="preserve">TABLE 2.2 - REVENUE REQUIREMENT EXCLUDING MDBA/BRC REVENUE </v>
      </c>
      <c r="C7" s="151"/>
      <c r="D7" s="151"/>
      <c r="E7" s="38"/>
      <c r="F7" s="114">
        <f>ROW(B27)</f>
        <v>27</v>
      </c>
    </row>
    <row r="8" spans="1:11">
      <c r="B8" s="151" t="str">
        <f>B75</f>
        <v>TABLE 2.3 - MDBA/BRC REVENUE REQUIREMENT</v>
      </c>
      <c r="C8" s="151"/>
      <c r="D8" s="151"/>
      <c r="E8" s="38"/>
      <c r="F8" s="114">
        <f>ROW(B75)</f>
        <v>75</v>
      </c>
    </row>
    <row r="9" spans="1:11">
      <c r="B9" s="151" t="str">
        <f>B105</f>
        <v>TABLE 2.4 - SECURITY FACTORS</v>
      </c>
      <c r="C9" s="151"/>
      <c r="D9" s="151"/>
      <c r="E9" s="38"/>
      <c r="F9" s="114">
        <f>ROW(B105)</f>
        <v>105</v>
      </c>
    </row>
    <row r="10" spans="1:11" s="110" customFormat="1">
      <c r="B10" s="152" t="str">
        <f>B124</f>
        <v>TABLE 2.5 - CUSTOMER USAGE VOLUMES FOR CALCULATION OF BILLS</v>
      </c>
      <c r="C10" s="152"/>
      <c r="D10" s="152"/>
      <c r="E10" s="36"/>
      <c r="F10" s="100">
        <f>ROW(B124)</f>
        <v>124</v>
      </c>
      <c r="K10" s="213"/>
    </row>
    <row r="13" spans="1:11">
      <c r="A13" s="110"/>
      <c r="B13" s="110"/>
      <c r="C13" s="110"/>
      <c r="D13" s="110"/>
      <c r="E13" s="110"/>
    </row>
    <row r="14" spans="1:11">
      <c r="B14" s="33" t="s">
        <v>239</v>
      </c>
      <c r="I14" s="110"/>
    </row>
    <row r="15" spans="1:11">
      <c r="B15" s="40" t="s">
        <v>25</v>
      </c>
      <c r="C15" s="41" t="str">
        <f>C$28</f>
        <v>Units</v>
      </c>
      <c r="D15" s="41"/>
      <c r="E15" s="140">
        <v>2017</v>
      </c>
      <c r="F15" s="139">
        <f>E15+1</f>
        <v>2018</v>
      </c>
      <c r="G15" s="139">
        <f t="shared" ref="G15:H15" si="0">F15+1</f>
        <v>2019</v>
      </c>
      <c r="H15" s="139">
        <f t="shared" si="0"/>
        <v>2020</v>
      </c>
      <c r="I15" s="42"/>
    </row>
    <row r="16" spans="1:11" ht="12" customHeight="1">
      <c r="B16" s="43" t="s">
        <v>26</v>
      </c>
      <c r="C16" s="38"/>
      <c r="D16" s="38"/>
      <c r="E16" s="127" t="str">
        <f>E15-1&amp;"-"&amp;RIGHT(E15,2)</f>
        <v>2016-17</v>
      </c>
      <c r="F16" s="127" t="str">
        <f>F15-1&amp;"-"&amp;RIGHT(F15,2)</f>
        <v>2017-18</v>
      </c>
      <c r="G16" s="127" t="str">
        <f>G15-1&amp;"-"&amp;RIGHT(G15,2)</f>
        <v>2018-19</v>
      </c>
      <c r="H16" s="127" t="str">
        <f>H15-1&amp;"-"&amp;RIGHT(H15,2)</f>
        <v>2019-20</v>
      </c>
      <c r="I16" s="44"/>
    </row>
    <row r="17" spans="2:11" s="110" customFormat="1" ht="12" customHeight="1">
      <c r="B17" s="43"/>
      <c r="C17" s="38"/>
      <c r="D17" s="38"/>
      <c r="E17" s="38"/>
      <c r="F17" s="153"/>
      <c r="G17" s="153"/>
      <c r="H17" s="153"/>
      <c r="I17" s="44"/>
      <c r="K17" s="213"/>
    </row>
    <row r="18" spans="2:11" s="110" customFormat="1" ht="12" customHeight="1">
      <c r="B18" s="49" t="s">
        <v>228</v>
      </c>
      <c r="C18" s="28" t="s">
        <v>1</v>
      </c>
      <c r="D18" s="38"/>
      <c r="E18" s="38"/>
      <c r="F18" s="193">
        <v>2.1000000000000001E-2</v>
      </c>
      <c r="G18" s="153"/>
      <c r="H18" s="153"/>
      <c r="I18" s="44"/>
      <c r="K18" s="213"/>
    </row>
    <row r="19" spans="2:11" s="110" customFormat="1" ht="12" customHeight="1">
      <c r="B19" s="43"/>
      <c r="C19" s="38"/>
      <c r="D19" s="38"/>
      <c r="E19" s="38"/>
      <c r="F19" s="153"/>
      <c r="G19" s="153"/>
      <c r="H19" s="153"/>
      <c r="I19" s="44"/>
      <c r="K19" s="213"/>
    </row>
    <row r="20" spans="2:11" ht="12" customHeight="1">
      <c r="B20" s="43" t="s">
        <v>229</v>
      </c>
      <c r="C20" s="38"/>
      <c r="D20" s="38"/>
      <c r="E20" s="38"/>
      <c r="F20" s="108"/>
      <c r="G20" s="38"/>
      <c r="H20" s="38"/>
      <c r="I20" s="44"/>
    </row>
    <row r="21" spans="2:11" s="110" customFormat="1" ht="12" customHeight="1">
      <c r="B21" s="43" t="s">
        <v>225</v>
      </c>
      <c r="C21" s="38"/>
      <c r="D21" s="38"/>
      <c r="E21" s="101">
        <v>110.5</v>
      </c>
      <c r="F21" s="101">
        <v>112.6</v>
      </c>
      <c r="G21" s="101">
        <v>114.1</v>
      </c>
      <c r="H21" s="101"/>
      <c r="I21" s="44"/>
      <c r="K21" s="213"/>
    </row>
    <row r="22" spans="2:11" ht="12" customHeight="1">
      <c r="B22" s="43" t="s">
        <v>237</v>
      </c>
      <c r="C22" s="28" t="s">
        <v>1</v>
      </c>
      <c r="D22" s="38"/>
      <c r="E22" s="38"/>
      <c r="F22" s="53"/>
      <c r="G22" s="194">
        <f>IFERROR(ROUND(F21/$E$21-1,3),"")</f>
        <v>1.9E-2</v>
      </c>
      <c r="H22" s="194">
        <f>IFERROR(ROUND(G21/$E$21-1,3),"")</f>
        <v>3.3000000000000002E-2</v>
      </c>
      <c r="I22" s="44"/>
      <c r="J22" s="115"/>
    </row>
    <row r="23" spans="2:11" s="110" customFormat="1" ht="12" customHeight="1">
      <c r="B23" s="43" t="s">
        <v>236</v>
      </c>
      <c r="C23" s="28" t="s">
        <v>1</v>
      </c>
      <c r="D23" s="38"/>
      <c r="E23" s="38"/>
      <c r="F23" s="53"/>
      <c r="G23" s="194">
        <f>IFERROR(ROUND(F21/$E$21-1,3),"")</f>
        <v>1.9E-2</v>
      </c>
      <c r="H23" s="194">
        <f>IFERROR(ROUND(G21/$F$21-1,3),"")</f>
        <v>1.2999999999999999E-2</v>
      </c>
      <c r="I23" s="44"/>
      <c r="J23" s="115"/>
      <c r="K23" s="213"/>
    </row>
    <row r="24" spans="2:11">
      <c r="B24" s="45"/>
      <c r="C24" s="36"/>
      <c r="D24" s="36"/>
      <c r="E24" s="36"/>
      <c r="F24" s="36"/>
      <c r="G24" s="36"/>
      <c r="H24" s="36"/>
      <c r="I24" s="46"/>
    </row>
    <row r="27" spans="2:11">
      <c r="B27" s="33" t="s">
        <v>63</v>
      </c>
      <c r="I27" s="110"/>
      <c r="J27" s="110"/>
    </row>
    <row r="28" spans="2:11">
      <c r="B28" s="40" t="str">
        <f>B16</f>
        <v>Financial year</v>
      </c>
      <c r="C28" s="41" t="s">
        <v>27</v>
      </c>
      <c r="D28" s="41"/>
      <c r="E28" s="41"/>
      <c r="F28" s="128" t="str">
        <f>F$16</f>
        <v>2017-18</v>
      </c>
      <c r="G28" s="128" t="str">
        <f>G$16</f>
        <v>2018-19</v>
      </c>
      <c r="H28" s="128" t="str">
        <f>H$16</f>
        <v>2019-20</v>
      </c>
      <c r="I28" s="141"/>
    </row>
    <row r="29" spans="2:11">
      <c r="B29" s="43"/>
      <c r="C29" s="38"/>
      <c r="D29" s="38"/>
      <c r="E29" s="48"/>
      <c r="F29" s="129" t="s">
        <v>60</v>
      </c>
      <c r="G29" s="130" t="str">
        <f>'2017 Determination - Revenue'!$F$29</f>
        <v>$2016-17</v>
      </c>
      <c r="H29" s="130" t="str">
        <f>'2017 Determination - Revenue'!$F$29</f>
        <v>$2016-17</v>
      </c>
      <c r="I29" s="142"/>
    </row>
    <row r="30" spans="2:11">
      <c r="B30" s="43"/>
      <c r="C30" s="38"/>
      <c r="D30" s="38"/>
      <c r="E30" s="38"/>
      <c r="F30" s="38"/>
      <c r="G30" s="38"/>
      <c r="H30" s="38"/>
      <c r="I30" s="44"/>
    </row>
    <row r="31" spans="2:11">
      <c r="B31" s="49" t="s">
        <v>12</v>
      </c>
      <c r="C31" s="38"/>
      <c r="D31" s="38"/>
      <c r="E31" s="38"/>
      <c r="F31" s="38"/>
      <c r="G31" s="38"/>
      <c r="H31" s="38"/>
      <c r="I31" s="44"/>
    </row>
    <row r="32" spans="2:11" s="110" customFormat="1" ht="12">
      <c r="B32" s="84" t="s">
        <v>177</v>
      </c>
      <c r="C32" s="38"/>
      <c r="D32" s="38"/>
      <c r="E32" s="38"/>
      <c r="F32" s="38"/>
      <c r="G32" s="38"/>
      <c r="H32" s="38"/>
      <c r="I32" s="44"/>
      <c r="K32" s="213"/>
    </row>
    <row r="33" spans="2:11" ht="12" customHeight="1">
      <c r="B33" s="29" t="s">
        <v>17</v>
      </c>
      <c r="C33" s="28" t="s">
        <v>13</v>
      </c>
      <c r="D33" s="38"/>
      <c r="E33" s="38"/>
      <c r="F33" s="101">
        <v>1344.7697650285472</v>
      </c>
      <c r="G33" s="101">
        <v>1344.7697650285472</v>
      </c>
      <c r="H33" s="101">
        <v>1344.7697650285472</v>
      </c>
      <c r="I33" s="44"/>
      <c r="J33" s="110"/>
    </row>
    <row r="34" spans="2:11">
      <c r="B34" s="29" t="s">
        <v>18</v>
      </c>
      <c r="C34" s="38" t="str">
        <f t="shared" ref="C34:C41" si="1">C$33</f>
        <v>$'000</v>
      </c>
      <c r="D34" s="38"/>
      <c r="E34" s="38"/>
      <c r="F34" s="101">
        <v>5187.1886948974634</v>
      </c>
      <c r="G34" s="101">
        <v>5187.1886948974634</v>
      </c>
      <c r="H34" s="101">
        <v>5187.1886948974634</v>
      </c>
      <c r="I34" s="44"/>
      <c r="J34" s="110"/>
    </row>
    <row r="35" spans="2:11">
      <c r="B35" s="29" t="s">
        <v>19</v>
      </c>
      <c r="C35" s="38" t="str">
        <f t="shared" si="1"/>
        <v>$'000</v>
      </c>
      <c r="D35" s="38"/>
      <c r="E35" s="38"/>
      <c r="F35" s="101">
        <v>5486.6491176172922</v>
      </c>
      <c r="G35" s="101">
        <v>5486.6491176172922</v>
      </c>
      <c r="H35" s="101">
        <v>5486.6491176172922</v>
      </c>
      <c r="I35" s="44"/>
      <c r="J35" s="110"/>
    </row>
    <row r="36" spans="2:11">
      <c r="B36" s="29" t="s">
        <v>20</v>
      </c>
      <c r="C36" s="38" t="str">
        <f t="shared" si="1"/>
        <v>$'000</v>
      </c>
      <c r="D36" s="38"/>
      <c r="E36" s="38"/>
      <c r="F36" s="101">
        <v>1055.9400280129389</v>
      </c>
      <c r="G36" s="101">
        <v>1055.9400280129389</v>
      </c>
      <c r="H36" s="101">
        <v>1055.9400280129389</v>
      </c>
      <c r="I36" s="44"/>
      <c r="J36" s="110"/>
    </row>
    <row r="37" spans="2:11">
      <c r="B37" s="29" t="s">
        <v>21</v>
      </c>
      <c r="C37" s="38" t="str">
        <f t="shared" si="1"/>
        <v>$'000</v>
      </c>
      <c r="D37" s="38"/>
      <c r="E37" s="38"/>
      <c r="F37" s="101">
        <v>6536.1319155625815</v>
      </c>
      <c r="G37" s="101">
        <v>6536.1319155625815</v>
      </c>
      <c r="H37" s="101">
        <v>6536.1319155625815</v>
      </c>
      <c r="I37" s="44"/>
      <c r="J37" s="110"/>
    </row>
    <row r="38" spans="2:11">
      <c r="B38" s="29" t="s">
        <v>22</v>
      </c>
      <c r="C38" s="38" t="str">
        <f t="shared" si="1"/>
        <v>$'000</v>
      </c>
      <c r="D38" s="38"/>
      <c r="E38" s="38"/>
      <c r="F38" s="101">
        <v>5952.9292820896098</v>
      </c>
      <c r="G38" s="101">
        <v>5952.9292820896098</v>
      </c>
      <c r="H38" s="101">
        <v>5952.9292820896098</v>
      </c>
      <c r="I38" s="44"/>
      <c r="J38" s="110"/>
    </row>
    <row r="39" spans="2:11">
      <c r="B39" s="29" t="s">
        <v>23</v>
      </c>
      <c r="C39" s="38" t="str">
        <f t="shared" si="1"/>
        <v>$'000</v>
      </c>
      <c r="D39" s="38"/>
      <c r="E39" s="38"/>
      <c r="F39" s="101">
        <v>4947.1990109016042</v>
      </c>
      <c r="G39" s="101">
        <v>4947.1990109016042</v>
      </c>
      <c r="H39" s="101">
        <v>4947.1990109016042</v>
      </c>
      <c r="I39" s="44"/>
      <c r="J39" s="110"/>
    </row>
    <row r="40" spans="2:11">
      <c r="B40" s="29" t="s">
        <v>24</v>
      </c>
      <c r="C40" s="38" t="str">
        <f t="shared" si="1"/>
        <v>$'000</v>
      </c>
      <c r="D40" s="38"/>
      <c r="E40" s="38"/>
      <c r="F40" s="101">
        <v>9568.6577255460525</v>
      </c>
      <c r="G40" s="101">
        <v>9568.6577255460525</v>
      </c>
      <c r="H40" s="101">
        <v>9568.6577255460525</v>
      </c>
      <c r="I40" s="44"/>
      <c r="J40" s="110"/>
    </row>
    <row r="41" spans="2:11">
      <c r="B41" s="29" t="s">
        <v>48</v>
      </c>
      <c r="C41" s="38" t="str">
        <f t="shared" si="1"/>
        <v>$'000</v>
      </c>
      <c r="D41" s="38"/>
      <c r="E41" s="38"/>
      <c r="F41" s="101">
        <v>585.59474030538888</v>
      </c>
      <c r="G41" s="101">
        <v>585.59474030538888</v>
      </c>
      <c r="H41" s="101">
        <v>585.59474030538888</v>
      </c>
      <c r="I41" s="44"/>
      <c r="J41" s="110"/>
    </row>
    <row r="42" spans="2:11">
      <c r="B42" s="43"/>
      <c r="C42" s="38"/>
      <c r="D42" s="38"/>
      <c r="E42" s="38"/>
      <c r="F42" s="50"/>
      <c r="G42" s="50"/>
      <c r="H42" s="50"/>
      <c r="I42" s="44"/>
      <c r="J42" s="110"/>
    </row>
    <row r="43" spans="2:11">
      <c r="B43" s="49" t="s">
        <v>14</v>
      </c>
      <c r="C43" s="38"/>
      <c r="D43" s="38"/>
      <c r="E43" s="38"/>
      <c r="F43" s="50"/>
      <c r="G43" s="50"/>
      <c r="H43" s="50"/>
      <c r="I43" s="44"/>
      <c r="J43" s="110"/>
    </row>
    <row r="44" spans="2:11" s="110" customFormat="1" ht="12">
      <c r="B44" s="84" t="s">
        <v>180</v>
      </c>
      <c r="C44" s="38"/>
      <c r="D44" s="38"/>
      <c r="E44" s="38"/>
      <c r="F44" s="50"/>
      <c r="G44" s="50"/>
      <c r="H44" s="210"/>
      <c r="I44" s="44"/>
      <c r="K44" s="213"/>
    </row>
    <row r="45" spans="2:11" ht="12" customHeight="1">
      <c r="B45" s="43" t="str">
        <f>B$33</f>
        <v>Border</v>
      </c>
      <c r="C45" s="38" t="str">
        <f>C$33</f>
        <v>$'000</v>
      </c>
      <c r="D45" s="38"/>
      <c r="E45" s="38"/>
      <c r="F45" s="101">
        <v>0.42300375905943677</v>
      </c>
      <c r="G45" s="101">
        <v>0.42283210292037304</v>
      </c>
      <c r="H45" s="101">
        <v>0.42218118845764296</v>
      </c>
      <c r="I45" s="44"/>
    </row>
    <row r="46" spans="2:11">
      <c r="B46" s="43" t="str">
        <f>B$34</f>
        <v>Gwydir</v>
      </c>
      <c r="C46" s="38" t="str">
        <f t="shared" ref="C46:C53" si="2">C$33</f>
        <v>$'000</v>
      </c>
      <c r="D46" s="38"/>
      <c r="E46" s="38"/>
      <c r="F46" s="101">
        <v>2.7630963593181632</v>
      </c>
      <c r="G46" s="101">
        <v>2.924583884810791</v>
      </c>
      <c r="H46" s="101">
        <v>3.0449849133465912</v>
      </c>
      <c r="I46" s="44"/>
    </row>
    <row r="47" spans="2:11">
      <c r="B47" s="43" t="str">
        <f>B$35</f>
        <v>Namoi</v>
      </c>
      <c r="C47" s="38" t="str">
        <f t="shared" si="2"/>
        <v>$'000</v>
      </c>
      <c r="D47" s="38"/>
      <c r="E47" s="38"/>
      <c r="F47" s="101">
        <v>2.9666332624247782</v>
      </c>
      <c r="G47" s="101">
        <v>3.1721037305938724</v>
      </c>
      <c r="H47" s="101">
        <v>3.3058744757181415</v>
      </c>
      <c r="I47" s="44"/>
    </row>
    <row r="48" spans="2:11">
      <c r="B48" s="43" t="str">
        <f>B$36</f>
        <v>Peel</v>
      </c>
      <c r="C48" s="38" t="str">
        <f t="shared" si="2"/>
        <v>$'000</v>
      </c>
      <c r="D48" s="38"/>
      <c r="E48" s="38"/>
      <c r="F48" s="101">
        <v>0.57981288010505405</v>
      </c>
      <c r="G48" s="101">
        <v>0.62893235568073658</v>
      </c>
      <c r="H48" s="101">
        <v>0.66407884775508175</v>
      </c>
      <c r="I48" s="44"/>
    </row>
    <row r="49" spans="2:11">
      <c r="B49" s="43" t="str">
        <f>B$37</f>
        <v>Lachlan</v>
      </c>
      <c r="C49" s="38" t="str">
        <f t="shared" si="2"/>
        <v>$'000</v>
      </c>
      <c r="D49" s="38"/>
      <c r="E49" s="38"/>
      <c r="F49" s="101">
        <v>4.3930446623463713</v>
      </c>
      <c r="G49" s="101">
        <v>4.6462324913137074</v>
      </c>
      <c r="H49" s="101">
        <v>4.8601403039993167</v>
      </c>
      <c r="I49" s="44"/>
    </row>
    <row r="50" spans="2:11">
      <c r="B50" s="43" t="str">
        <f>B$38</f>
        <v>Macquarie</v>
      </c>
      <c r="C50" s="38" t="str">
        <f t="shared" si="2"/>
        <v>$'000</v>
      </c>
      <c r="D50" s="38"/>
      <c r="E50" s="38"/>
      <c r="F50" s="101">
        <v>3.5063339822320896</v>
      </c>
      <c r="G50" s="101">
        <v>3.6716043145472503</v>
      </c>
      <c r="H50" s="101">
        <v>3.7962973484946567</v>
      </c>
      <c r="I50" s="44"/>
    </row>
    <row r="51" spans="2:11">
      <c r="B51" s="43" t="str">
        <f>B$39</f>
        <v>Murray</v>
      </c>
      <c r="C51" s="38" t="str">
        <f t="shared" si="2"/>
        <v>$'000</v>
      </c>
      <c r="D51" s="38"/>
      <c r="E51" s="38"/>
      <c r="F51" s="101">
        <v>3.2523265922854026</v>
      </c>
      <c r="G51" s="101">
        <v>3.2329692077925882</v>
      </c>
      <c r="H51" s="101">
        <v>3.2368105855893066</v>
      </c>
      <c r="I51" s="44"/>
    </row>
    <row r="52" spans="2:11">
      <c r="B52" s="43" t="str">
        <f>B$40</f>
        <v>Murrumbidgee</v>
      </c>
      <c r="C52" s="38" t="str">
        <f t="shared" si="2"/>
        <v>$'000</v>
      </c>
      <c r="D52" s="38"/>
      <c r="E52" s="38"/>
      <c r="F52" s="101">
        <v>4.8425500382906774</v>
      </c>
      <c r="G52" s="101">
        <v>5.4895476637761655</v>
      </c>
      <c r="H52" s="101">
        <v>6.046252432214172</v>
      </c>
      <c r="I52" s="44"/>
    </row>
    <row r="53" spans="2:11">
      <c r="B53" s="43" t="str">
        <f>B$41</f>
        <v>Lowbidgee</v>
      </c>
      <c r="C53" s="38" t="str">
        <f t="shared" si="2"/>
        <v>$'000</v>
      </c>
      <c r="D53" s="38"/>
      <c r="E53" s="38"/>
      <c r="F53" s="101">
        <v>0.25186174210439005</v>
      </c>
      <c r="G53" s="101">
        <v>0.48143298824675335</v>
      </c>
      <c r="H53" s="101">
        <v>0.7054912241095378</v>
      </c>
      <c r="I53" s="44"/>
    </row>
    <row r="54" spans="2:11">
      <c r="B54" s="43"/>
      <c r="C54" s="38"/>
      <c r="D54" s="38"/>
      <c r="E54" s="38"/>
      <c r="F54" s="85"/>
      <c r="G54" s="85"/>
      <c r="H54" s="85"/>
      <c r="I54" s="44"/>
      <c r="J54" s="110"/>
    </row>
    <row r="55" spans="2:11">
      <c r="B55" s="49" t="s">
        <v>35</v>
      </c>
      <c r="C55" s="38"/>
      <c r="D55" s="38"/>
      <c r="E55" s="38"/>
      <c r="F55" s="50"/>
      <c r="G55" s="50"/>
      <c r="H55" s="50"/>
      <c r="I55" s="44"/>
      <c r="J55" s="110"/>
    </row>
    <row r="56" spans="2:11" s="110" customFormat="1" ht="12">
      <c r="B56" s="84" t="s">
        <v>178</v>
      </c>
      <c r="C56" s="38"/>
      <c r="D56" s="38"/>
      <c r="E56" s="38"/>
      <c r="F56" s="50"/>
      <c r="G56" s="50"/>
      <c r="H56" s="50"/>
      <c r="I56" s="44"/>
      <c r="K56" s="213"/>
    </row>
    <row r="57" spans="2:11" ht="12" customHeight="1">
      <c r="B57" s="43" t="str">
        <f>B$33</f>
        <v>Border</v>
      </c>
      <c r="C57" s="38" t="str">
        <f t="shared" ref="C57:C65" si="3">C$22</f>
        <v>%</v>
      </c>
      <c r="D57" s="38"/>
      <c r="E57" s="38"/>
      <c r="F57" s="113">
        <v>0.39985398308317421</v>
      </c>
      <c r="G57" s="113">
        <v>0.39985398308317421</v>
      </c>
      <c r="H57" s="113">
        <v>0.39985398308317421</v>
      </c>
      <c r="I57" s="44"/>
      <c r="J57" s="110"/>
    </row>
    <row r="58" spans="2:11">
      <c r="B58" s="43" t="str">
        <f>B$34</f>
        <v>Gwydir</v>
      </c>
      <c r="C58" s="38" t="str">
        <f t="shared" si="3"/>
        <v>%</v>
      </c>
      <c r="D58" s="38"/>
      <c r="E58" s="38"/>
      <c r="F58" s="113">
        <v>0.39964720618660354</v>
      </c>
      <c r="G58" s="113">
        <v>0.39964720618660354</v>
      </c>
      <c r="H58" s="113">
        <v>0.39964720618660354</v>
      </c>
      <c r="I58" s="44"/>
      <c r="J58" s="110"/>
    </row>
    <row r="59" spans="2:11">
      <c r="B59" s="43" t="str">
        <f>B$35</f>
        <v>Namoi</v>
      </c>
      <c r="C59" s="38" t="str">
        <f t="shared" si="3"/>
        <v>%</v>
      </c>
      <c r="D59" s="38"/>
      <c r="E59" s="38"/>
      <c r="F59" s="113">
        <v>0.39941731550503651</v>
      </c>
      <c r="G59" s="113">
        <v>0.39941731550503651</v>
      </c>
      <c r="H59" s="113">
        <v>0.39941731550503651</v>
      </c>
      <c r="I59" s="44"/>
      <c r="J59" s="295"/>
    </row>
    <row r="60" spans="2:11" ht="12" customHeight="1">
      <c r="B60" s="43" t="str">
        <f>B$36</f>
        <v>Peel</v>
      </c>
      <c r="C60" s="38" t="str">
        <f t="shared" si="3"/>
        <v>%</v>
      </c>
      <c r="D60" s="38"/>
      <c r="E60" s="38"/>
      <c r="F60" s="113">
        <v>0.39992435178089208</v>
      </c>
      <c r="G60" s="113">
        <v>0.79994956149462293</v>
      </c>
      <c r="H60" s="113">
        <v>0.79994956149462293</v>
      </c>
      <c r="I60" s="44"/>
      <c r="J60" s="295"/>
    </row>
    <row r="61" spans="2:11">
      <c r="B61" s="43" t="str">
        <f>B$37</f>
        <v>Lachlan</v>
      </c>
      <c r="C61" s="38" t="str">
        <f t="shared" si="3"/>
        <v>%</v>
      </c>
      <c r="D61" s="38"/>
      <c r="E61" s="38"/>
      <c r="F61" s="113">
        <v>0.39953044957981787</v>
      </c>
      <c r="G61" s="113">
        <v>0.39953044957981787</v>
      </c>
      <c r="H61" s="113">
        <v>0.39953044957981787</v>
      </c>
      <c r="I61" s="44"/>
      <c r="J61" s="295"/>
    </row>
    <row r="62" spans="2:11">
      <c r="B62" s="43" t="str">
        <f>B$38</f>
        <v>Macquarie</v>
      </c>
      <c r="C62" s="38" t="str">
        <f t="shared" si="3"/>
        <v>%</v>
      </c>
      <c r="D62" s="38"/>
      <c r="E62" s="38"/>
      <c r="F62" s="113">
        <v>0.39966791364333193</v>
      </c>
      <c r="G62" s="113">
        <v>0.39966791364333193</v>
      </c>
      <c r="H62" s="113">
        <v>0.39966791364333193</v>
      </c>
      <c r="I62" s="44"/>
      <c r="J62" s="295"/>
    </row>
    <row r="63" spans="2:11">
      <c r="B63" s="43" t="str">
        <f>B$39</f>
        <v>Murray</v>
      </c>
      <c r="C63" s="38" t="str">
        <f t="shared" si="3"/>
        <v>%</v>
      </c>
      <c r="D63" s="38"/>
      <c r="E63" s="38"/>
      <c r="F63" s="113">
        <v>0.39961980123667473</v>
      </c>
      <c r="G63" s="113">
        <v>0.39961980123667473</v>
      </c>
      <c r="H63" s="113">
        <v>0.39961980123667473</v>
      </c>
      <c r="I63" s="44"/>
      <c r="J63" s="295"/>
    </row>
    <row r="64" spans="2:11">
      <c r="B64" s="43" t="str">
        <f>B$40</f>
        <v>Murrumbidgee</v>
      </c>
      <c r="C64" s="38" t="str">
        <f t="shared" si="3"/>
        <v>%</v>
      </c>
      <c r="D64" s="38"/>
      <c r="E64" s="38"/>
      <c r="F64" s="113">
        <v>0.3996816330095963</v>
      </c>
      <c r="G64" s="113">
        <v>0.3996816330095963</v>
      </c>
      <c r="H64" s="113">
        <v>0.3996816330095963</v>
      </c>
      <c r="I64" s="44"/>
      <c r="J64" s="295"/>
    </row>
    <row r="65" spans="2:11">
      <c r="B65" s="43" t="str">
        <f>B$41</f>
        <v>Lowbidgee</v>
      </c>
      <c r="C65" s="38" t="str">
        <f t="shared" si="3"/>
        <v>%</v>
      </c>
      <c r="D65" s="38"/>
      <c r="E65" s="38"/>
      <c r="F65" s="113">
        <v>1</v>
      </c>
      <c r="G65" s="113">
        <v>1</v>
      </c>
      <c r="H65" s="113">
        <v>1</v>
      </c>
      <c r="I65" s="44"/>
      <c r="J65" s="295"/>
    </row>
    <row r="66" spans="2:11" ht="12" customHeight="1">
      <c r="B66" s="43"/>
      <c r="C66" s="38"/>
      <c r="D66" s="38"/>
      <c r="E66" s="38"/>
      <c r="F66" s="50"/>
      <c r="G66" s="50"/>
      <c r="H66" s="50"/>
      <c r="I66" s="44"/>
    </row>
    <row r="67" spans="2:11">
      <c r="B67" s="49" t="s">
        <v>54</v>
      </c>
      <c r="C67" s="38"/>
      <c r="D67" s="38"/>
      <c r="E67" s="38"/>
      <c r="F67" s="50"/>
      <c r="G67" s="50"/>
      <c r="H67" s="50"/>
      <c r="I67" s="44"/>
    </row>
    <row r="68" spans="2:11" s="110" customFormat="1" ht="12">
      <c r="B68" s="84" t="s">
        <v>176</v>
      </c>
      <c r="C68" s="38"/>
      <c r="D68" s="38"/>
      <c r="E68" s="38"/>
      <c r="F68" s="50"/>
      <c r="G68" s="50"/>
      <c r="H68" s="50"/>
      <c r="I68" s="44"/>
      <c r="K68" s="213"/>
    </row>
    <row r="69" spans="2:11">
      <c r="B69" s="43" t="str">
        <f>'Updated Volumes'!B$31</f>
        <v xml:space="preserve">Energy Australia </v>
      </c>
      <c r="C69" s="38" t="str">
        <f>C$33</f>
        <v>$'000</v>
      </c>
      <c r="D69" s="38"/>
      <c r="E69" s="38"/>
      <c r="F69" s="101">
        <v>3582.3064354548201</v>
      </c>
      <c r="G69" s="101">
        <v>3582.3064354548201</v>
      </c>
      <c r="H69" s="101">
        <v>3582.3064354548201</v>
      </c>
      <c r="I69" s="44"/>
      <c r="J69" s="110"/>
    </row>
    <row r="70" spans="2:11" s="110" customFormat="1">
      <c r="B70" s="43" t="str">
        <f>'Updated Volumes'!B$32</f>
        <v xml:space="preserve">Minor customers (raw) </v>
      </c>
      <c r="C70" s="38" t="str">
        <f>C$33</f>
        <v>$'000</v>
      </c>
      <c r="D70" s="38"/>
      <c r="E70" s="38"/>
      <c r="F70" s="101">
        <v>31.820077004246794</v>
      </c>
      <c r="G70" s="101">
        <v>31.820077004246794</v>
      </c>
      <c r="H70" s="101">
        <v>31.820077004246794</v>
      </c>
      <c r="I70" s="44"/>
      <c r="K70" s="213"/>
    </row>
    <row r="71" spans="2:11" s="110" customFormat="1">
      <c r="B71" s="43" t="str">
        <f>'Updated Volumes'!B$33</f>
        <v xml:space="preserve">Minor customers (filtered) </v>
      </c>
      <c r="C71" s="38" t="str">
        <f>C$33</f>
        <v>$'000</v>
      </c>
      <c r="D71" s="38"/>
      <c r="E71" s="38"/>
      <c r="F71" s="101">
        <v>140.89264543944256</v>
      </c>
      <c r="G71" s="101">
        <v>140.89264543944256</v>
      </c>
      <c r="H71" s="101">
        <v>140.89264543944256</v>
      </c>
      <c r="I71" s="44"/>
      <c r="K71" s="213"/>
    </row>
    <row r="72" spans="2:11">
      <c r="B72" s="45"/>
      <c r="C72" s="36"/>
      <c r="D72" s="36"/>
      <c r="E72" s="36"/>
      <c r="F72" s="56"/>
      <c r="G72" s="56"/>
      <c r="H72" s="56"/>
      <c r="I72" s="46"/>
    </row>
    <row r="73" spans="2:11">
      <c r="B73" s="41"/>
      <c r="C73" s="41"/>
      <c r="D73" s="41"/>
      <c r="E73" s="51"/>
      <c r="F73" s="52"/>
      <c r="G73" s="52"/>
      <c r="H73" s="52"/>
      <c r="I73" s="41"/>
    </row>
    <row r="74" spans="2:11">
      <c r="F74" s="54"/>
      <c r="G74" s="54"/>
      <c r="H74" s="54"/>
    </row>
    <row r="75" spans="2:11">
      <c r="B75" s="33" t="s">
        <v>139</v>
      </c>
      <c r="F75" s="54"/>
      <c r="G75" s="54"/>
      <c r="H75" s="54"/>
    </row>
    <row r="76" spans="2:11">
      <c r="B76" s="40" t="str">
        <f>B$16</f>
        <v>Financial year</v>
      </c>
      <c r="C76" s="41" t="str">
        <f>C$28</f>
        <v>Units</v>
      </c>
      <c r="D76" s="41"/>
      <c r="E76" s="41"/>
      <c r="F76" s="131" t="str">
        <f>F$16</f>
        <v>2017-18</v>
      </c>
      <c r="G76" s="131" t="str">
        <f>G$16</f>
        <v>2018-19</v>
      </c>
      <c r="H76" s="131" t="str">
        <f>H$16</f>
        <v>2019-20</v>
      </c>
      <c r="I76" s="42"/>
    </row>
    <row r="77" spans="2:11">
      <c r="B77" s="43"/>
      <c r="C77" s="38"/>
      <c r="D77" s="38"/>
      <c r="E77" s="38"/>
      <c r="F77" s="132" t="str">
        <f>'2017 Determination - Revenue'!$F$29</f>
        <v>$2016-17</v>
      </c>
      <c r="G77" s="132" t="str">
        <f>'2017 Determination - Revenue'!$F$29</f>
        <v>$2016-17</v>
      </c>
      <c r="H77" s="132" t="str">
        <f>'2017 Determination - Revenue'!$F$29</f>
        <v>$2016-17</v>
      </c>
      <c r="I77" s="44"/>
    </row>
    <row r="78" spans="2:11">
      <c r="B78" s="49" t="s">
        <v>148</v>
      </c>
      <c r="C78" s="38"/>
      <c r="D78" s="38"/>
      <c r="E78" s="38"/>
      <c r="F78" s="50"/>
      <c r="G78" s="50"/>
      <c r="H78" s="50"/>
      <c r="I78" s="44"/>
    </row>
    <row r="79" spans="2:11" s="110" customFormat="1" ht="12">
      <c r="B79" s="84" t="s">
        <v>181</v>
      </c>
      <c r="C79" s="38"/>
      <c r="D79" s="38"/>
      <c r="E79" s="38"/>
      <c r="F79" s="50"/>
      <c r="G79" s="50"/>
      <c r="H79" s="50"/>
      <c r="I79" s="44"/>
      <c r="K79" s="213"/>
    </row>
    <row r="80" spans="2:11" ht="12" customHeight="1">
      <c r="B80" s="43" t="str">
        <f>B$33</f>
        <v>Border</v>
      </c>
      <c r="C80" s="38" t="str">
        <f>C$33</f>
        <v>$'000</v>
      </c>
      <c r="D80" s="38"/>
      <c r="E80" s="38"/>
      <c r="F80" s="101">
        <v>580.74690708289779</v>
      </c>
      <c r="G80" s="101">
        <v>580.74690708289779</v>
      </c>
      <c r="H80" s="101">
        <v>580.74690708289779</v>
      </c>
      <c r="I80" s="44"/>
      <c r="J80" s="182"/>
    </row>
    <row r="81" spans="2:11">
      <c r="B81" s="43" t="str">
        <f>B$34</f>
        <v>Gwydir</v>
      </c>
      <c r="C81" s="38" t="str">
        <f t="shared" ref="C81:C88" si="4">C$33</f>
        <v>$'000</v>
      </c>
      <c r="D81" s="38"/>
      <c r="E81" s="38"/>
      <c r="F81" s="101">
        <v>0</v>
      </c>
      <c r="G81" s="101">
        <v>0</v>
      </c>
      <c r="H81" s="101">
        <v>0</v>
      </c>
      <c r="I81" s="44"/>
      <c r="J81" s="182"/>
    </row>
    <row r="82" spans="2:11">
      <c r="B82" s="43" t="str">
        <f>B$35</f>
        <v>Namoi</v>
      </c>
      <c r="C82" s="38" t="str">
        <f t="shared" si="4"/>
        <v>$'000</v>
      </c>
      <c r="D82" s="38"/>
      <c r="E82" s="38"/>
      <c r="F82" s="101">
        <v>0</v>
      </c>
      <c r="G82" s="101">
        <v>0</v>
      </c>
      <c r="H82" s="101">
        <v>0</v>
      </c>
      <c r="I82" s="44"/>
      <c r="J82" s="182"/>
    </row>
    <row r="83" spans="2:11">
      <c r="B83" s="43" t="str">
        <f>B$36</f>
        <v>Peel</v>
      </c>
      <c r="C83" s="38" t="str">
        <f t="shared" si="4"/>
        <v>$'000</v>
      </c>
      <c r="D83" s="38"/>
      <c r="E83" s="38"/>
      <c r="F83" s="101">
        <v>0</v>
      </c>
      <c r="G83" s="101">
        <v>0</v>
      </c>
      <c r="H83" s="101">
        <v>0</v>
      </c>
      <c r="I83" s="44"/>
      <c r="J83" s="182"/>
    </row>
    <row r="84" spans="2:11">
      <c r="B84" s="43" t="str">
        <f>B$37</f>
        <v>Lachlan</v>
      </c>
      <c r="C84" s="38" t="str">
        <f t="shared" si="4"/>
        <v>$'000</v>
      </c>
      <c r="D84" s="38"/>
      <c r="E84" s="38"/>
      <c r="F84" s="101">
        <v>0</v>
      </c>
      <c r="G84" s="101">
        <v>0</v>
      </c>
      <c r="H84" s="101">
        <v>0</v>
      </c>
      <c r="I84" s="44"/>
      <c r="J84" s="182"/>
    </row>
    <row r="85" spans="2:11">
      <c r="B85" s="43" t="str">
        <f>B$38</f>
        <v>Macquarie</v>
      </c>
      <c r="C85" s="38" t="str">
        <f t="shared" si="4"/>
        <v>$'000</v>
      </c>
      <c r="D85" s="38"/>
      <c r="E85" s="38"/>
      <c r="F85" s="101">
        <v>0</v>
      </c>
      <c r="G85" s="101">
        <v>0</v>
      </c>
      <c r="H85" s="101">
        <v>0</v>
      </c>
      <c r="I85" s="44"/>
      <c r="J85" s="182"/>
    </row>
    <row r="86" spans="2:11">
      <c r="B86" s="43" t="str">
        <f>B$39</f>
        <v>Murray</v>
      </c>
      <c r="C86" s="38" t="str">
        <f t="shared" si="4"/>
        <v>$'000</v>
      </c>
      <c r="D86" s="38"/>
      <c r="E86" s="38"/>
      <c r="F86" s="101">
        <v>11669.017502586279</v>
      </c>
      <c r="G86" s="101">
        <v>11669.017502586279</v>
      </c>
      <c r="H86" s="101">
        <v>11669.017502586279</v>
      </c>
      <c r="I86" s="44"/>
      <c r="J86" s="182"/>
    </row>
    <row r="87" spans="2:11">
      <c r="B87" s="43" t="str">
        <f>B$40</f>
        <v>Murrumbidgee</v>
      </c>
      <c r="C87" s="38" t="str">
        <f t="shared" si="4"/>
        <v>$'000</v>
      </c>
      <c r="D87" s="38"/>
      <c r="E87" s="38"/>
      <c r="F87" s="101">
        <v>2609.0415598931481</v>
      </c>
      <c r="G87" s="101">
        <v>2609.0415598931481</v>
      </c>
      <c r="H87" s="101">
        <v>2609.0415598931481</v>
      </c>
      <c r="I87" s="44"/>
      <c r="J87" s="182"/>
    </row>
    <row r="88" spans="2:11">
      <c r="B88" s="43" t="str">
        <f>B$41</f>
        <v>Lowbidgee</v>
      </c>
      <c r="C88" s="38" t="str">
        <f t="shared" si="4"/>
        <v>$'000</v>
      </c>
      <c r="D88" s="38"/>
      <c r="E88" s="38"/>
      <c r="F88" s="101">
        <v>0</v>
      </c>
      <c r="G88" s="101">
        <v>0</v>
      </c>
      <c r="H88" s="101">
        <v>0</v>
      </c>
      <c r="I88" s="44"/>
      <c r="J88" s="182"/>
    </row>
    <row r="89" spans="2:11">
      <c r="B89" s="43"/>
      <c r="C89" s="38"/>
      <c r="D89" s="38"/>
      <c r="E89" s="38"/>
      <c r="F89" s="50"/>
      <c r="G89" s="50"/>
      <c r="H89" s="50"/>
      <c r="I89" s="44"/>
    </row>
    <row r="90" spans="2:11">
      <c r="B90" s="49" t="s">
        <v>149</v>
      </c>
      <c r="C90" s="38"/>
      <c r="D90" s="38"/>
      <c r="E90" s="38"/>
      <c r="F90" s="50"/>
      <c r="G90" s="50"/>
      <c r="H90" s="50"/>
      <c r="I90" s="44"/>
    </row>
    <row r="91" spans="2:11" s="110" customFormat="1" ht="12">
      <c r="B91" s="84" t="s">
        <v>179</v>
      </c>
      <c r="C91" s="38"/>
      <c r="D91" s="38"/>
      <c r="E91" s="38"/>
      <c r="F91" s="50"/>
      <c r="G91" s="50"/>
      <c r="H91" s="50"/>
      <c r="I91" s="44"/>
      <c r="K91" s="213"/>
    </row>
    <row r="92" spans="2:11" ht="12" customHeight="1">
      <c r="B92" s="43" t="str">
        <f>B$33</f>
        <v>Border</v>
      </c>
      <c r="C92" s="38" t="str">
        <f t="shared" ref="C92:C100" si="5">C$22</f>
        <v>%</v>
      </c>
      <c r="D92" s="38"/>
      <c r="E92" s="38"/>
      <c r="F92" s="113">
        <v>0.8</v>
      </c>
      <c r="G92" s="113">
        <v>0.8</v>
      </c>
      <c r="H92" s="113">
        <v>0.8</v>
      </c>
      <c r="I92" s="44"/>
    </row>
    <row r="93" spans="2:11">
      <c r="B93" s="43" t="str">
        <f>B$34</f>
        <v>Gwydir</v>
      </c>
      <c r="C93" s="38" t="str">
        <f t="shared" si="5"/>
        <v>%</v>
      </c>
      <c r="D93" s="38"/>
      <c r="E93" s="38"/>
      <c r="F93" s="113">
        <v>0</v>
      </c>
      <c r="G93" s="113">
        <v>0</v>
      </c>
      <c r="H93" s="113">
        <v>0</v>
      </c>
      <c r="I93" s="44"/>
    </row>
    <row r="94" spans="2:11">
      <c r="B94" s="43" t="str">
        <f>B$35</f>
        <v>Namoi</v>
      </c>
      <c r="C94" s="38" t="str">
        <f t="shared" si="5"/>
        <v>%</v>
      </c>
      <c r="D94" s="38"/>
      <c r="E94" s="38"/>
      <c r="F94" s="113">
        <v>0</v>
      </c>
      <c r="G94" s="113">
        <v>0</v>
      </c>
      <c r="H94" s="113">
        <v>0</v>
      </c>
      <c r="I94" s="44"/>
    </row>
    <row r="95" spans="2:11">
      <c r="B95" s="43" t="str">
        <f>B$36</f>
        <v>Peel</v>
      </c>
      <c r="C95" s="38" t="str">
        <f t="shared" si="5"/>
        <v>%</v>
      </c>
      <c r="D95" s="38"/>
      <c r="E95" s="38"/>
      <c r="F95" s="113">
        <v>0</v>
      </c>
      <c r="G95" s="113">
        <v>0</v>
      </c>
      <c r="H95" s="113">
        <v>0</v>
      </c>
      <c r="I95" s="44"/>
    </row>
    <row r="96" spans="2:11">
      <c r="B96" s="43" t="str">
        <f>B$37</f>
        <v>Lachlan</v>
      </c>
      <c r="C96" s="38" t="str">
        <f t="shared" si="5"/>
        <v>%</v>
      </c>
      <c r="D96" s="38"/>
      <c r="E96" s="38"/>
      <c r="F96" s="113">
        <v>0</v>
      </c>
      <c r="G96" s="113">
        <v>0</v>
      </c>
      <c r="H96" s="113">
        <v>0</v>
      </c>
      <c r="I96" s="44"/>
    </row>
    <row r="97" spans="2:11">
      <c r="B97" s="43" t="str">
        <f>B$38</f>
        <v>Macquarie</v>
      </c>
      <c r="C97" s="38" t="str">
        <f t="shared" si="5"/>
        <v>%</v>
      </c>
      <c r="D97" s="38"/>
      <c r="E97" s="38"/>
      <c r="F97" s="113">
        <v>0</v>
      </c>
      <c r="G97" s="113">
        <v>0</v>
      </c>
      <c r="H97" s="113">
        <v>0</v>
      </c>
      <c r="I97" s="44"/>
    </row>
    <row r="98" spans="2:11">
      <c r="B98" s="43" t="str">
        <f>B$39</f>
        <v>Murray</v>
      </c>
      <c r="C98" s="38" t="str">
        <f t="shared" si="5"/>
        <v>%</v>
      </c>
      <c r="D98" s="38"/>
      <c r="E98" s="38"/>
      <c r="F98" s="113">
        <v>0.8</v>
      </c>
      <c r="G98" s="113">
        <v>0.8</v>
      </c>
      <c r="H98" s="113">
        <v>0.8</v>
      </c>
      <c r="I98" s="44"/>
    </row>
    <row r="99" spans="2:11">
      <c r="B99" s="43" t="str">
        <f>B$40</f>
        <v>Murrumbidgee</v>
      </c>
      <c r="C99" s="38" t="str">
        <f t="shared" si="5"/>
        <v>%</v>
      </c>
      <c r="D99" s="38"/>
      <c r="E99" s="38"/>
      <c r="F99" s="113">
        <v>0.8</v>
      </c>
      <c r="G99" s="113">
        <v>0.8</v>
      </c>
      <c r="H99" s="113">
        <v>0.8</v>
      </c>
      <c r="I99" s="44"/>
    </row>
    <row r="100" spans="2:11">
      <c r="B100" s="43" t="str">
        <f>B$41</f>
        <v>Lowbidgee</v>
      </c>
      <c r="C100" s="38" t="str">
        <f t="shared" si="5"/>
        <v>%</v>
      </c>
      <c r="D100" s="38"/>
      <c r="E100" s="38"/>
      <c r="F100" s="113">
        <v>0</v>
      </c>
      <c r="G100" s="113">
        <v>0</v>
      </c>
      <c r="H100" s="113">
        <v>0</v>
      </c>
      <c r="I100" s="44"/>
    </row>
    <row r="101" spans="2:11">
      <c r="B101" s="43"/>
      <c r="C101" s="38"/>
      <c r="D101" s="38"/>
      <c r="E101" s="38"/>
      <c r="F101" s="50"/>
      <c r="G101" s="50"/>
      <c r="H101" s="50"/>
      <c r="I101" s="44"/>
    </row>
    <row r="102" spans="2:11">
      <c r="B102" s="45"/>
      <c r="C102" s="36"/>
      <c r="D102" s="36"/>
      <c r="E102" s="36"/>
      <c r="F102" s="56"/>
      <c r="G102" s="56"/>
      <c r="H102" s="56"/>
      <c r="I102" s="46"/>
    </row>
    <row r="103" spans="2:11">
      <c r="F103" s="54"/>
      <c r="G103" s="54"/>
      <c r="H103" s="54"/>
    </row>
    <row r="104" spans="2:11">
      <c r="F104" s="54"/>
      <c r="G104" s="54"/>
      <c r="H104" s="54"/>
    </row>
    <row r="105" spans="2:11">
      <c r="B105" s="33" t="s">
        <v>173</v>
      </c>
      <c r="F105" s="54"/>
      <c r="G105" s="54"/>
      <c r="H105" s="54"/>
      <c r="I105" s="54"/>
    </row>
    <row r="106" spans="2:11">
      <c r="B106" s="40" t="str">
        <f>B$16</f>
        <v>Financial year</v>
      </c>
      <c r="C106" s="41" t="str">
        <f>C$28</f>
        <v>Units</v>
      </c>
      <c r="D106" s="41"/>
      <c r="E106" s="41"/>
      <c r="F106" s="133" t="str">
        <f>F$16</f>
        <v>2017-18</v>
      </c>
      <c r="G106" s="133" t="str">
        <f>G$16</f>
        <v>2018-19</v>
      </c>
      <c r="H106" s="133" t="str">
        <f>H$16</f>
        <v>2019-20</v>
      </c>
      <c r="I106" s="42"/>
    </row>
    <row r="107" spans="2:11" s="110" customFormat="1">
      <c r="B107" s="43"/>
      <c r="C107" s="38"/>
      <c r="D107" s="38"/>
      <c r="E107" s="38"/>
      <c r="F107" s="50"/>
      <c r="G107" s="50"/>
      <c r="H107" s="50"/>
      <c r="I107" s="44"/>
      <c r="K107" s="213"/>
    </row>
    <row r="108" spans="2:11" ht="12">
      <c r="B108" s="84" t="s">
        <v>166</v>
      </c>
      <c r="C108" s="38"/>
      <c r="D108" s="38"/>
      <c r="E108" s="38"/>
      <c r="F108" s="38"/>
      <c r="G108" s="38"/>
      <c r="H108" s="38"/>
      <c r="I108" s="44"/>
    </row>
    <row r="109" spans="2:11">
      <c r="B109" s="49" t="s">
        <v>150</v>
      </c>
      <c r="C109" s="38"/>
      <c r="D109" s="38"/>
      <c r="E109" s="38"/>
      <c r="F109" s="50"/>
      <c r="G109" s="50"/>
      <c r="H109" s="50"/>
      <c r="I109" s="44"/>
    </row>
    <row r="110" spans="2:11" s="110" customFormat="1" ht="12">
      <c r="B110" s="84" t="s">
        <v>182</v>
      </c>
      <c r="C110" s="38"/>
      <c r="D110" s="38"/>
      <c r="E110" s="38"/>
      <c r="F110" s="50"/>
      <c r="G110" s="50"/>
      <c r="H110" s="50"/>
      <c r="I110" s="44"/>
      <c r="K110" s="213"/>
    </row>
    <row r="111" spans="2:11" ht="12" customHeight="1">
      <c r="B111" s="43" t="str">
        <f>B$33</f>
        <v>Border</v>
      </c>
      <c r="C111" s="28" t="s">
        <v>16</v>
      </c>
      <c r="D111" s="38"/>
      <c r="E111" s="38"/>
      <c r="F111" s="101">
        <v>1.25</v>
      </c>
      <c r="G111" s="101">
        <v>1.25</v>
      </c>
      <c r="H111" s="101">
        <v>1.25</v>
      </c>
      <c r="I111" s="44"/>
      <c r="J111" s="110"/>
    </row>
    <row r="112" spans="2:11">
      <c r="B112" s="43" t="str">
        <f>B$34</f>
        <v>Gwydir</v>
      </c>
      <c r="C112" s="38" t="str">
        <f t="shared" ref="C112:C119" si="6">$C$111</f>
        <v>#</v>
      </c>
      <c r="D112" s="38"/>
      <c r="E112" s="38"/>
      <c r="F112" s="101">
        <v>1.3973221876662663</v>
      </c>
      <c r="G112" s="101">
        <v>1.3973221876662663</v>
      </c>
      <c r="H112" s="101">
        <v>1.3973221876662663</v>
      </c>
      <c r="I112" s="44"/>
      <c r="J112" s="110"/>
    </row>
    <row r="113" spans="2:11">
      <c r="B113" s="43" t="str">
        <f>B$35</f>
        <v>Namoi</v>
      </c>
      <c r="C113" s="38" t="str">
        <f t="shared" si="6"/>
        <v>#</v>
      </c>
      <c r="D113" s="38"/>
      <c r="E113" s="38"/>
      <c r="F113" s="101">
        <v>1.25</v>
      </c>
      <c r="G113" s="101">
        <v>1.25</v>
      </c>
      <c r="H113" s="101">
        <v>1.25</v>
      </c>
      <c r="I113" s="44"/>
      <c r="J113" s="110"/>
    </row>
    <row r="114" spans="2:11" ht="12" customHeight="1">
      <c r="B114" s="43" t="str">
        <f>B$36</f>
        <v>Peel</v>
      </c>
      <c r="C114" s="38" t="str">
        <f t="shared" si="6"/>
        <v>#</v>
      </c>
      <c r="D114" s="38"/>
      <c r="E114" s="38"/>
      <c r="F114" s="101">
        <v>6.5419452232046584</v>
      </c>
      <c r="G114" s="101">
        <v>6.5419452232046584</v>
      </c>
      <c r="H114" s="101">
        <v>6.5419452232046584</v>
      </c>
      <c r="I114" s="44"/>
      <c r="J114" s="110"/>
    </row>
    <row r="115" spans="2:11">
      <c r="B115" s="43" t="str">
        <f>B$37</f>
        <v>Lachlan</v>
      </c>
      <c r="C115" s="38" t="str">
        <f t="shared" si="6"/>
        <v>#</v>
      </c>
      <c r="D115" s="38"/>
      <c r="E115" s="38"/>
      <c r="F115" s="101">
        <v>2.4952177609078148</v>
      </c>
      <c r="G115" s="101">
        <v>2.4952177609078148</v>
      </c>
      <c r="H115" s="101">
        <v>2.4952177609078148</v>
      </c>
      <c r="I115" s="44"/>
      <c r="J115" s="110"/>
    </row>
    <row r="116" spans="2:11" ht="12" customHeight="1">
      <c r="B116" s="43" t="str">
        <f>B$38</f>
        <v>Macquarie</v>
      </c>
      <c r="C116" s="38" t="str">
        <f t="shared" si="6"/>
        <v>#</v>
      </c>
      <c r="D116" s="38"/>
      <c r="E116" s="38"/>
      <c r="F116" s="101">
        <v>1.8848346670243046</v>
      </c>
      <c r="G116" s="101">
        <v>1.8848346670243046</v>
      </c>
      <c r="H116" s="101">
        <v>1.8848346670243046</v>
      </c>
      <c r="I116" s="44"/>
      <c r="J116" s="110"/>
    </row>
    <row r="117" spans="2:11">
      <c r="B117" s="43" t="str">
        <f>B$39</f>
        <v>Murray</v>
      </c>
      <c r="C117" s="38" t="str">
        <f t="shared" si="6"/>
        <v>#</v>
      </c>
      <c r="D117" s="38"/>
      <c r="E117" s="38"/>
      <c r="F117" s="101">
        <v>1.308492141839708</v>
      </c>
      <c r="G117" s="101">
        <v>1.308492141839708</v>
      </c>
      <c r="H117" s="101">
        <v>1.308492141839708</v>
      </c>
      <c r="I117" s="44"/>
      <c r="J117" s="110"/>
    </row>
    <row r="118" spans="2:11">
      <c r="B118" s="43" t="str">
        <f>B$40</f>
        <v>Murrumbidgee</v>
      </c>
      <c r="C118" s="38" t="str">
        <f t="shared" si="6"/>
        <v>#</v>
      </c>
      <c r="D118" s="38"/>
      <c r="E118" s="38"/>
      <c r="F118" s="101">
        <v>1.6929690711534331</v>
      </c>
      <c r="G118" s="101">
        <v>1.6929690711534331</v>
      </c>
      <c r="H118" s="101">
        <v>1.6929690711534331</v>
      </c>
      <c r="I118" s="44"/>
      <c r="J118" s="110"/>
    </row>
    <row r="119" spans="2:11">
      <c r="B119" s="43" t="str">
        <f>B$41</f>
        <v>Lowbidgee</v>
      </c>
      <c r="C119" s="38" t="str">
        <f t="shared" si="6"/>
        <v>#</v>
      </c>
      <c r="D119" s="38"/>
      <c r="E119" s="38"/>
      <c r="F119" s="101">
        <v>0</v>
      </c>
      <c r="G119" s="101">
        <v>0</v>
      </c>
      <c r="H119" s="101">
        <v>0</v>
      </c>
      <c r="I119" s="44"/>
      <c r="J119" s="110"/>
    </row>
    <row r="120" spans="2:11">
      <c r="B120" s="43"/>
      <c r="C120" s="38"/>
      <c r="D120" s="38"/>
      <c r="E120" s="38"/>
      <c r="F120" s="38"/>
      <c r="G120" s="38"/>
      <c r="H120" s="38"/>
      <c r="I120" s="44"/>
    </row>
    <row r="121" spans="2:11">
      <c r="B121" s="45"/>
      <c r="C121" s="36"/>
      <c r="D121" s="36"/>
      <c r="E121" s="36"/>
      <c r="F121" s="36"/>
      <c r="G121" s="36"/>
      <c r="H121" s="36"/>
      <c r="I121" s="46"/>
    </row>
    <row r="122" spans="2:11">
      <c r="B122" s="38"/>
      <c r="C122" s="38"/>
      <c r="D122" s="38"/>
      <c r="E122" s="38"/>
      <c r="F122" s="38"/>
      <c r="G122" s="38"/>
      <c r="H122" s="38"/>
      <c r="I122" s="38"/>
    </row>
    <row r="123" spans="2:11">
      <c r="B123" s="110"/>
    </row>
    <row r="124" spans="2:11">
      <c r="B124" s="33" t="s">
        <v>155</v>
      </c>
      <c r="C124" s="110"/>
      <c r="D124" s="110"/>
      <c r="E124" s="110"/>
      <c r="G124" s="54"/>
      <c r="H124" s="54"/>
      <c r="I124" s="110"/>
      <c r="J124" s="110"/>
    </row>
    <row r="125" spans="2:11">
      <c r="B125" s="40" t="str">
        <f>B$16</f>
        <v>Financial year</v>
      </c>
      <c r="C125" s="41" t="str">
        <f>C$28</f>
        <v>Units</v>
      </c>
      <c r="D125" s="41"/>
      <c r="E125" s="41"/>
      <c r="F125" s="131" t="str">
        <f>F$16</f>
        <v>2017-18</v>
      </c>
      <c r="G125" s="131" t="str">
        <f>G$16</f>
        <v>2018-19</v>
      </c>
      <c r="H125" s="131" t="str">
        <f>H$16</f>
        <v>2019-20</v>
      </c>
      <c r="I125" s="42"/>
      <c r="J125" s="110"/>
    </row>
    <row r="126" spans="2:11" ht="11.25" customHeight="1">
      <c r="B126" s="43"/>
      <c r="C126" s="38"/>
      <c r="D126" s="38"/>
      <c r="E126" s="38"/>
      <c r="F126" s="57"/>
      <c r="G126" s="57"/>
      <c r="H126" s="50"/>
      <c r="I126" s="44"/>
      <c r="J126" s="110"/>
    </row>
    <row r="127" spans="2:11" s="110" customFormat="1" ht="11.25" customHeight="1">
      <c r="B127" s="84" t="s">
        <v>167</v>
      </c>
      <c r="C127" s="38"/>
      <c r="D127" s="38"/>
      <c r="E127" s="38"/>
      <c r="F127" s="50"/>
      <c r="G127" s="50"/>
      <c r="H127" s="50"/>
      <c r="I127" s="44"/>
      <c r="K127" s="213"/>
    </row>
    <row r="128" spans="2:11" s="110" customFormat="1" ht="3" customHeight="1">
      <c r="B128" s="84"/>
      <c r="C128" s="38"/>
      <c r="D128" s="38"/>
      <c r="E128" s="38"/>
      <c r="F128" s="50"/>
      <c r="G128" s="50"/>
      <c r="H128" s="50"/>
      <c r="I128" s="44"/>
      <c r="K128" s="213"/>
    </row>
    <row r="129" spans="2:11">
      <c r="B129" s="49" t="s">
        <v>71</v>
      </c>
      <c r="C129" s="38"/>
      <c r="D129" s="38"/>
      <c r="E129" s="38"/>
      <c r="F129" s="50"/>
      <c r="G129" s="50"/>
      <c r="H129" s="50"/>
      <c r="I129" s="44"/>
      <c r="J129" s="110"/>
    </row>
    <row r="130" spans="2:11">
      <c r="B130" s="43" t="s">
        <v>68</v>
      </c>
      <c r="C130" s="38" t="str">
        <f>'Updated Volumes'!$C$31</f>
        <v>kL</v>
      </c>
      <c r="E130" s="38"/>
      <c r="F130" s="111">
        <v>100</v>
      </c>
      <c r="G130" s="111">
        <v>100</v>
      </c>
      <c r="H130" s="111">
        <v>100</v>
      </c>
      <c r="I130" s="44"/>
      <c r="J130" s="110"/>
    </row>
    <row r="131" spans="2:11">
      <c r="B131" s="43" t="s">
        <v>69</v>
      </c>
      <c r="C131" s="38" t="str">
        <f>'Updated Volumes'!$C$31</f>
        <v>kL</v>
      </c>
      <c r="D131" s="38"/>
      <c r="E131" s="38"/>
      <c r="F131" s="111">
        <v>500</v>
      </c>
      <c r="G131" s="111">
        <v>500</v>
      </c>
      <c r="H131" s="111">
        <v>500</v>
      </c>
      <c r="I131" s="44"/>
      <c r="J131" s="110"/>
    </row>
    <row r="132" spans="2:11">
      <c r="B132" s="43" t="s">
        <v>70</v>
      </c>
      <c r="C132" s="38" t="str">
        <f>'Updated Volumes'!$C$31</f>
        <v>kL</v>
      </c>
      <c r="D132" s="38"/>
      <c r="E132" s="38"/>
      <c r="F132" s="111">
        <v>1000</v>
      </c>
      <c r="G132" s="111">
        <v>1000</v>
      </c>
      <c r="H132" s="111">
        <v>1000</v>
      </c>
      <c r="I132" s="44"/>
      <c r="J132" s="110"/>
    </row>
    <row r="133" spans="2:11">
      <c r="B133" s="43"/>
      <c r="C133" s="38"/>
      <c r="D133" s="38"/>
      <c r="E133" s="38"/>
      <c r="F133" s="112"/>
      <c r="G133" s="112"/>
      <c r="H133" s="112"/>
      <c r="I133" s="44"/>
      <c r="J133" s="110"/>
    </row>
    <row r="134" spans="2:11">
      <c r="B134" s="49" t="s">
        <v>72</v>
      </c>
      <c r="C134" s="38"/>
      <c r="D134" s="38"/>
      <c r="E134" s="38"/>
      <c r="F134" s="112"/>
      <c r="G134" s="112"/>
      <c r="H134" s="112"/>
      <c r="I134" s="44"/>
      <c r="J134" s="110"/>
    </row>
    <row r="135" spans="2:11">
      <c r="B135" s="43" t="str">
        <f>B$130</f>
        <v>Small consumption customers</v>
      </c>
      <c r="C135" s="38" t="str">
        <f>C$22</f>
        <v>%</v>
      </c>
      <c r="D135" s="38"/>
      <c r="E135" s="38"/>
      <c r="F135" s="113">
        <v>1</v>
      </c>
      <c r="G135" s="113">
        <v>1</v>
      </c>
      <c r="H135" s="113">
        <v>1</v>
      </c>
      <c r="I135" s="44"/>
      <c r="J135" s="110"/>
    </row>
    <row r="136" spans="2:11">
      <c r="B136" s="43" t="str">
        <f>B$131</f>
        <v>Medium consumption customers</v>
      </c>
      <c r="C136" s="38" t="str">
        <f>C$22</f>
        <v>%</v>
      </c>
      <c r="D136" s="38"/>
      <c r="E136" s="38"/>
      <c r="F136" s="113">
        <v>1</v>
      </c>
      <c r="G136" s="113">
        <v>1</v>
      </c>
      <c r="H136" s="113">
        <v>1</v>
      </c>
      <c r="I136" s="44"/>
      <c r="J136" s="110"/>
    </row>
    <row r="137" spans="2:11">
      <c r="B137" s="43" t="str">
        <f>B$132</f>
        <v>Large consumption customers</v>
      </c>
      <c r="C137" s="38" t="str">
        <f>C$22</f>
        <v>%</v>
      </c>
      <c r="D137" s="38"/>
      <c r="E137" s="38"/>
      <c r="F137" s="113">
        <v>1</v>
      </c>
      <c r="G137" s="113">
        <v>1</v>
      </c>
      <c r="H137" s="113">
        <v>1</v>
      </c>
      <c r="I137" s="44"/>
      <c r="J137" s="110"/>
    </row>
    <row r="138" spans="2:11" s="110" customFormat="1">
      <c r="B138" s="43"/>
      <c r="C138" s="38"/>
      <c r="D138" s="38"/>
      <c r="E138" s="38"/>
      <c r="F138" s="38"/>
      <c r="G138" s="38"/>
      <c r="H138" s="38"/>
      <c r="I138" s="44"/>
      <c r="K138" s="213"/>
    </row>
    <row r="139" spans="2:11" s="110" customFormat="1">
      <c r="B139" s="49" t="s">
        <v>73</v>
      </c>
      <c r="C139" s="38"/>
      <c r="D139" s="38"/>
      <c r="E139" s="38"/>
      <c r="F139" s="112"/>
      <c r="G139" s="112"/>
      <c r="H139" s="112"/>
      <c r="I139" s="44"/>
      <c r="K139" s="213"/>
    </row>
    <row r="140" spans="2:11" s="110" customFormat="1">
      <c r="B140" s="43" t="str">
        <f>B$130</f>
        <v>Small consumption customers</v>
      </c>
      <c r="C140" s="38" t="str">
        <f>'Updated Volumes'!$C$31</f>
        <v>kL</v>
      </c>
      <c r="D140" s="38"/>
      <c r="E140" s="38"/>
      <c r="F140" s="111">
        <v>100</v>
      </c>
      <c r="G140" s="111">
        <v>100</v>
      </c>
      <c r="H140" s="111">
        <v>100</v>
      </c>
      <c r="I140" s="44"/>
      <c r="K140" s="213"/>
    </row>
    <row r="141" spans="2:11" s="110" customFormat="1">
      <c r="B141" s="43" t="str">
        <f>B$131</f>
        <v>Medium consumption customers</v>
      </c>
      <c r="C141" s="38" t="str">
        <f>'Updated Volumes'!$C$31</f>
        <v>kL</v>
      </c>
      <c r="D141" s="38"/>
      <c r="E141" s="38"/>
      <c r="F141" s="111">
        <v>500</v>
      </c>
      <c r="G141" s="111">
        <v>500</v>
      </c>
      <c r="H141" s="111">
        <v>500</v>
      </c>
      <c r="I141" s="44"/>
      <c r="K141" s="213"/>
    </row>
    <row r="142" spans="2:11" s="110" customFormat="1">
      <c r="B142" s="43" t="str">
        <f>B$132</f>
        <v>Large consumption customers</v>
      </c>
      <c r="C142" s="38" t="str">
        <f>'Updated Volumes'!$C$31</f>
        <v>kL</v>
      </c>
      <c r="D142" s="38"/>
      <c r="E142" s="38"/>
      <c r="F142" s="111">
        <v>1000</v>
      </c>
      <c r="G142" s="111">
        <v>1000</v>
      </c>
      <c r="H142" s="111">
        <v>1000</v>
      </c>
      <c r="I142" s="44"/>
      <c r="K142" s="213"/>
    </row>
    <row r="143" spans="2:11" s="110" customFormat="1">
      <c r="B143" s="43"/>
      <c r="C143" s="38"/>
      <c r="D143" s="38"/>
      <c r="E143" s="38"/>
      <c r="F143" s="38"/>
      <c r="G143" s="38"/>
      <c r="H143" s="38"/>
      <c r="I143" s="44"/>
      <c r="K143" s="213"/>
    </row>
    <row r="144" spans="2:11" s="110" customFormat="1">
      <c r="B144" s="49" t="s">
        <v>74</v>
      </c>
      <c r="C144" s="38"/>
      <c r="D144" s="38"/>
      <c r="E144" s="38"/>
      <c r="F144" s="112"/>
      <c r="G144" s="112"/>
      <c r="H144" s="112"/>
      <c r="I144" s="44"/>
      <c r="K144" s="213"/>
    </row>
    <row r="145" spans="2:11" s="110" customFormat="1">
      <c r="B145" s="43" t="str">
        <f>B$130</f>
        <v>Small consumption customers</v>
      </c>
      <c r="C145" s="38" t="str">
        <f>C$22</f>
        <v>%</v>
      </c>
      <c r="D145" s="38"/>
      <c r="E145" s="38"/>
      <c r="F145" s="113">
        <v>0.6</v>
      </c>
      <c r="G145" s="113">
        <v>0.6</v>
      </c>
      <c r="H145" s="113">
        <v>0.6</v>
      </c>
      <c r="I145" s="44"/>
      <c r="K145" s="213"/>
    </row>
    <row r="146" spans="2:11" s="110" customFormat="1">
      <c r="B146" s="43" t="str">
        <f>B$131</f>
        <v>Medium consumption customers</v>
      </c>
      <c r="C146" s="38" t="str">
        <f>C$22</f>
        <v>%</v>
      </c>
      <c r="D146" s="38"/>
      <c r="E146" s="38"/>
      <c r="F146" s="113">
        <v>0.6</v>
      </c>
      <c r="G146" s="113">
        <v>0.6</v>
      </c>
      <c r="H146" s="113">
        <v>0.6</v>
      </c>
      <c r="I146" s="44"/>
      <c r="K146" s="213"/>
    </row>
    <row r="147" spans="2:11" s="110" customFormat="1">
      <c r="B147" s="43" t="str">
        <f>B$132</f>
        <v>Large consumption customers</v>
      </c>
      <c r="C147" s="38" t="str">
        <f>C$22</f>
        <v>%</v>
      </c>
      <c r="D147" s="38"/>
      <c r="E147" s="38"/>
      <c r="F147" s="113">
        <v>0.6</v>
      </c>
      <c r="G147" s="113">
        <v>0.6</v>
      </c>
      <c r="H147" s="113">
        <v>0.6</v>
      </c>
      <c r="I147" s="44"/>
      <c r="K147" s="213"/>
    </row>
    <row r="148" spans="2:11">
      <c r="B148" s="45"/>
      <c r="C148" s="36"/>
      <c r="D148" s="36"/>
      <c r="E148" s="36"/>
      <c r="F148" s="36"/>
      <c r="G148" s="36"/>
      <c r="H148" s="36"/>
      <c r="I148" s="46"/>
      <c r="J148" s="110"/>
    </row>
    <row r="212" spans="10:10">
      <c r="J212" s="5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10"/>
  <sheetViews>
    <sheetView showGridLines="0" zoomScaleNormal="100" workbookViewId="0">
      <selection activeCell="R18" sqref="R18"/>
    </sheetView>
  </sheetViews>
  <sheetFormatPr defaultColWidth="9.09765625" defaultRowHeight="11.5"/>
  <cols>
    <col min="1" max="1" width="4.69921875" style="61" customWidth="1"/>
    <col min="2" max="2" width="50" style="61" bestFit="1" customWidth="1"/>
    <col min="3" max="5" width="9.09765625" style="61"/>
    <col min="6" max="7" width="9.3984375" style="61" bestFit="1" customWidth="1"/>
    <col min="8" max="9" width="9.09765625" style="106"/>
    <col min="10" max="11" width="10.8984375" style="106" customWidth="1"/>
    <col min="12" max="12" width="10.8984375" style="54" customWidth="1"/>
    <col min="13" max="14" width="9.09765625" style="61"/>
    <col min="15" max="15" width="9.09765625" style="106"/>
    <col min="16" max="16" width="9.3984375" style="61" bestFit="1" customWidth="1"/>
    <col min="17" max="16384" width="9.09765625" style="61"/>
  </cols>
  <sheetData>
    <row r="2" spans="2:25" ht="18">
      <c r="B2" s="60" t="s">
        <v>59</v>
      </c>
    </row>
    <row r="3" spans="2:25">
      <c r="B3" s="61" t="s">
        <v>168</v>
      </c>
    </row>
    <row r="5" spans="2:25">
      <c r="B5" s="36" t="s">
        <v>28</v>
      </c>
      <c r="C5" s="36"/>
      <c r="D5" s="36"/>
      <c r="E5" s="37" t="s">
        <v>29</v>
      </c>
    </row>
    <row r="6" spans="2:25">
      <c r="B6" s="32" t="str">
        <f>B13</f>
        <v>TABLE 3.1 - USAGE CHARGES</v>
      </c>
      <c r="C6" s="32"/>
      <c r="D6" s="32"/>
      <c r="E6" s="32">
        <f>ROW(B13)</f>
        <v>13</v>
      </c>
    </row>
    <row r="7" spans="2:25">
      <c r="B7" s="32" t="str">
        <f>B30</f>
        <v>TABLE 3.2 - GENERAL SECURITY ENTITLEMENT CHARGES</v>
      </c>
      <c r="C7" s="32"/>
      <c r="D7" s="32"/>
      <c r="E7" s="32">
        <f>ROW(B30)</f>
        <v>30</v>
      </c>
    </row>
    <row r="8" spans="2:25">
      <c r="B8" s="38" t="str">
        <f>B47</f>
        <v xml:space="preserve">TABLE 3.3 - HIGH SECURITY ENTITLEMENT CHARGES </v>
      </c>
      <c r="C8" s="38"/>
      <c r="D8" s="38"/>
      <c r="E8" s="39">
        <f>ROW(B47)</f>
        <v>47</v>
      </c>
    </row>
    <row r="9" spans="2:25" s="106" customFormat="1">
      <c r="B9" s="110" t="str">
        <f>B64</f>
        <v>TABLE 3.4 - MDBA AND BRC USAGE AND ENTITLEMENT CHARGES</v>
      </c>
      <c r="C9" s="110"/>
      <c r="D9" s="110"/>
      <c r="E9" s="110">
        <f>ROW(B64)</f>
        <v>64</v>
      </c>
    </row>
    <row r="10" spans="2:25">
      <c r="B10" s="36" t="str">
        <f>B86</f>
        <v>TABLE 3.5 - FISH RIVER WATER SUPPLY SCHEME CHARGES</v>
      </c>
      <c r="C10" s="36"/>
      <c r="D10" s="36"/>
      <c r="E10" s="36">
        <f>ROW(B86)</f>
        <v>86</v>
      </c>
      <c r="L10" s="106"/>
      <c r="M10" s="106"/>
      <c r="N10" s="106"/>
      <c r="P10" s="106"/>
    </row>
    <row r="11" spans="2:25">
      <c r="L11" s="106"/>
      <c r="M11" s="106"/>
      <c r="N11" s="106"/>
      <c r="P11" s="106"/>
    </row>
    <row r="12" spans="2:25">
      <c r="I12" s="213"/>
      <c r="J12" s="213"/>
      <c r="K12" s="213"/>
      <c r="L12" s="213"/>
      <c r="M12" s="213"/>
      <c r="N12" s="213"/>
      <c r="O12" s="213"/>
      <c r="P12" s="106"/>
    </row>
    <row r="13" spans="2:25">
      <c r="B13" s="62" t="s">
        <v>187</v>
      </c>
      <c r="E13" s="106"/>
      <c r="F13" s="54"/>
      <c r="G13" s="54"/>
      <c r="H13" s="54"/>
      <c r="I13" s="54"/>
      <c r="J13" s="54"/>
      <c r="K13" s="54"/>
      <c r="M13" s="54"/>
    </row>
    <row r="14" spans="2:25">
      <c r="B14" s="63" t="str">
        <f>'2017 Determination - Revenue'!B$16</f>
        <v>Financial year</v>
      </c>
      <c r="C14" s="64" t="str">
        <f>'2017 Determination - Revenue'!C$28</f>
        <v>Units</v>
      </c>
      <c r="D14" s="51"/>
      <c r="E14" s="51"/>
      <c r="F14" s="131" t="str">
        <f>'2017 Determination - Revenue'!F$16</f>
        <v>2017-18</v>
      </c>
      <c r="G14" s="131" t="str">
        <f>'2017 Determination - Revenue'!G$16</f>
        <v>2018-19</v>
      </c>
      <c r="H14" s="131" t="str">
        <f>'2017 Determination - Revenue'!H$16</f>
        <v>2019-20</v>
      </c>
      <c r="I14" s="131"/>
      <c r="J14" s="137" t="s">
        <v>227</v>
      </c>
      <c r="K14" s="137" t="s">
        <v>91</v>
      </c>
      <c r="L14" s="174" t="s">
        <v>215</v>
      </c>
      <c r="M14" s="65"/>
      <c r="Q14" s="187"/>
    </row>
    <row r="15" spans="2:25">
      <c r="B15" s="66"/>
      <c r="C15" s="53"/>
      <c r="D15" s="53"/>
      <c r="E15" s="53"/>
      <c r="F15" s="200" t="str">
        <f>'2017 Determination - Revenue'!$F$29</f>
        <v>$2016-17</v>
      </c>
      <c r="G15" s="132" t="str">
        <f>F15</f>
        <v>$2016-17</v>
      </c>
      <c r="H15" s="132" t="str">
        <f>G15</f>
        <v>$2016-17</v>
      </c>
      <c r="I15" s="132"/>
      <c r="J15" s="188" t="s">
        <v>226</v>
      </c>
      <c r="K15" s="130" t="s">
        <v>90</v>
      </c>
      <c r="L15" s="130" t="s">
        <v>214</v>
      </c>
      <c r="M15" s="68"/>
      <c r="N15" s="106"/>
      <c r="O15" s="213"/>
      <c r="P15" s="106"/>
      <c r="Q15" s="187"/>
      <c r="R15" s="106"/>
      <c r="S15" s="106"/>
      <c r="T15" s="106"/>
      <c r="U15" s="106"/>
      <c r="V15" s="106"/>
      <c r="W15" s="106"/>
      <c r="X15" s="106"/>
      <c r="Y15" s="106"/>
    </row>
    <row r="16" spans="2:25">
      <c r="B16" s="66"/>
      <c r="C16" s="53"/>
      <c r="D16" s="53"/>
      <c r="E16" s="53"/>
      <c r="F16" s="50"/>
      <c r="G16" s="50"/>
      <c r="H16" s="50"/>
      <c r="I16" s="50"/>
      <c r="J16" s="50"/>
      <c r="K16" s="50"/>
      <c r="L16" s="50"/>
      <c r="M16" s="68"/>
      <c r="N16" s="106"/>
      <c r="O16" s="213"/>
      <c r="P16" s="106"/>
      <c r="Q16" s="187"/>
      <c r="R16" s="106"/>
      <c r="S16" s="106"/>
      <c r="T16" s="106"/>
      <c r="U16" s="106"/>
      <c r="V16" s="106"/>
      <c r="W16" s="106"/>
      <c r="X16" s="106"/>
      <c r="Y16" s="106"/>
    </row>
    <row r="17" spans="2:25">
      <c r="B17" s="66" t="s">
        <v>43</v>
      </c>
      <c r="C17" s="53"/>
      <c r="D17" s="53"/>
      <c r="E17" s="53"/>
      <c r="F17" s="50"/>
      <c r="G17" s="50"/>
      <c r="H17" s="50"/>
      <c r="I17" s="50"/>
      <c r="J17" s="50"/>
      <c r="L17" s="50"/>
      <c r="M17" s="68"/>
      <c r="N17" s="106"/>
      <c r="O17" s="213"/>
      <c r="P17" s="106"/>
      <c r="Q17" s="187"/>
      <c r="R17" s="106"/>
      <c r="S17" s="106"/>
      <c r="T17" s="106"/>
      <c r="U17" s="106"/>
      <c r="V17" s="106"/>
      <c r="W17" s="106"/>
      <c r="X17" s="106"/>
      <c r="Y17" s="106"/>
    </row>
    <row r="18" spans="2:25" ht="12" customHeight="1">
      <c r="B18" s="43" t="str">
        <f>'2017 Determination - Revenue'!$B$33</f>
        <v>Border</v>
      </c>
      <c r="C18" s="69" t="str">
        <f>Outputs!$C$27</f>
        <v>$/ML</v>
      </c>
      <c r="D18" s="53"/>
      <c r="E18" s="53"/>
      <c r="F18" s="116">
        <v>5.4449619575243808</v>
      </c>
      <c r="G18" s="116">
        <v>5.4449619575243808</v>
      </c>
      <c r="H18" s="116">
        <v>5.4449619575243808</v>
      </c>
      <c r="I18" s="50"/>
      <c r="J18" s="117">
        <f>ROUND(F18,2)*(1+'2017 Determination - Revenue'!$F$18)</f>
        <v>5.5542400000000001</v>
      </c>
      <c r="K18" s="117">
        <f>ROUND((ROUND(G18,2)*(1+'2017 Determination - Revenue'!$F$18)),2)*(1+'2017 Determination - Revenue'!$G$22)</f>
        <v>5.6554499999999992</v>
      </c>
      <c r="L18" s="117">
        <f>ROUND((ROUND(H18,2)*(1+'2017 Determination - Revenue'!$F$18)),2)*(1+'2017 Determination - Revenue'!$H$22)</f>
        <v>5.7331499999999993</v>
      </c>
      <c r="M18" s="68"/>
      <c r="N18" s="106"/>
      <c r="O18" s="213"/>
      <c r="P18" s="106"/>
      <c r="Q18" s="187"/>
      <c r="R18" s="106"/>
      <c r="S18" s="106"/>
      <c r="T18" s="106"/>
      <c r="U18" s="106"/>
      <c r="V18" s="106"/>
      <c r="W18" s="106"/>
      <c r="X18" s="106"/>
      <c r="Y18" s="106"/>
    </row>
    <row r="19" spans="2:25">
      <c r="B19" s="43" t="str">
        <f>'2017 Determination - Revenue'!$B$34</f>
        <v>Gwydir</v>
      </c>
      <c r="C19" s="69" t="str">
        <f>Outputs!$C$27</f>
        <v>$/ML</v>
      </c>
      <c r="D19" s="53"/>
      <c r="E19" s="53"/>
      <c r="F19" s="116">
        <v>11.873139524320214</v>
      </c>
      <c r="G19" s="116">
        <v>11.873139524320214</v>
      </c>
      <c r="H19" s="116">
        <v>11.873139524320214</v>
      </c>
      <c r="I19" s="50"/>
      <c r="J19" s="117">
        <f>ROUND(F19,2)*(1+'2017 Determination - Revenue'!$F$18)</f>
        <v>12.119269999999998</v>
      </c>
      <c r="K19" s="117">
        <f>ROUND((ROUND(G19,2)*(1+'2017 Determination - Revenue'!$F$18)),2)*(1+'2017 Determination - Revenue'!$G$22)</f>
        <v>12.350279999999998</v>
      </c>
      <c r="L19" s="117">
        <f>ROUND((ROUND(H19,2)*(1+'2017 Determination - Revenue'!$F$18)),2)*(1+'2017 Determination - Revenue'!$H$22)</f>
        <v>12.519959999999998</v>
      </c>
      <c r="M19" s="68"/>
      <c r="N19" s="106"/>
      <c r="O19" s="213"/>
      <c r="P19" s="106"/>
      <c r="Q19" s="187"/>
      <c r="R19" s="106"/>
      <c r="S19" s="106"/>
      <c r="T19" s="106"/>
      <c r="U19" s="106"/>
      <c r="V19" s="106"/>
      <c r="W19" s="106"/>
      <c r="X19" s="106"/>
      <c r="Y19" s="106"/>
    </row>
    <row r="20" spans="2:25">
      <c r="B20" s="43" t="str">
        <f>'2017 Determination - Revenue'!$B$35</f>
        <v>Namoi</v>
      </c>
      <c r="C20" s="69" t="str">
        <f>Outputs!$C$27</f>
        <v>$/ML</v>
      </c>
      <c r="D20" s="53"/>
      <c r="E20" s="53"/>
      <c r="F20" s="116">
        <v>19.983537685794229</v>
      </c>
      <c r="G20" s="116">
        <v>19.983537685794229</v>
      </c>
      <c r="H20" s="116">
        <v>19.983537685794229</v>
      </c>
      <c r="I20" s="50"/>
      <c r="J20" s="117">
        <f>ROUND(F20,2)*(1+'2017 Determination - Revenue'!$F$18)</f>
        <v>20.39958</v>
      </c>
      <c r="K20" s="117">
        <f>ROUND((ROUND(G20,2)*(1+'2017 Determination - Revenue'!$F$18)),2)*(1+'2017 Determination - Revenue'!$G$22)</f>
        <v>20.787599999999998</v>
      </c>
      <c r="L20" s="117">
        <f>ROUND((ROUND(H20,2)*(1+'2017 Determination - Revenue'!$F$18)),2)*(1+'2017 Determination - Revenue'!$H$22)</f>
        <v>21.073199999999996</v>
      </c>
      <c r="M20" s="68"/>
      <c r="N20" s="106"/>
      <c r="O20" s="213"/>
      <c r="P20" s="106"/>
      <c r="Q20" s="187"/>
      <c r="R20" s="106"/>
      <c r="S20" s="106"/>
      <c r="T20" s="106"/>
      <c r="U20" s="106"/>
      <c r="V20" s="106"/>
      <c r="W20" s="106"/>
      <c r="X20" s="106"/>
      <c r="Y20" s="106"/>
    </row>
    <row r="21" spans="2:25">
      <c r="B21" s="43" t="str">
        <f>'2017 Determination - Revenue'!$B$36</f>
        <v>Peel</v>
      </c>
      <c r="C21" s="69" t="str">
        <f>Outputs!$C$27</f>
        <v>$/ML</v>
      </c>
      <c r="D21" s="53"/>
      <c r="E21" s="53"/>
      <c r="F21" s="116">
        <v>55.091150391764842</v>
      </c>
      <c r="G21" s="116">
        <v>18.363716797254945</v>
      </c>
      <c r="H21" s="116">
        <v>18.363716797254945</v>
      </c>
      <c r="I21" s="50"/>
      <c r="J21" s="117">
        <f>ROUND(F21,2)*(1+'2017 Determination - Revenue'!$F$18)</f>
        <v>56.24689</v>
      </c>
      <c r="K21" s="117">
        <f>ROUND((ROUND(G21,2)*(1+'2017 Determination - Revenue'!$F$18)),2)*(1+'2017 Determination - Revenue'!$G$22)</f>
        <v>19.106249999999999</v>
      </c>
      <c r="L21" s="117">
        <f>ROUND((ROUND(H21,2)*(1+'2017 Determination - Revenue'!$F$18)),2)*(1+'2017 Determination - Revenue'!$H$22)</f>
        <v>19.368749999999999</v>
      </c>
      <c r="M21" s="68"/>
      <c r="N21" s="106"/>
      <c r="O21" s="213"/>
      <c r="P21" s="106"/>
      <c r="Q21" s="187"/>
      <c r="R21" s="106"/>
      <c r="S21" s="106"/>
      <c r="T21" s="106"/>
      <c r="U21" s="106"/>
      <c r="V21" s="106"/>
      <c r="W21" s="106"/>
      <c r="X21" s="106"/>
      <c r="Y21" s="106"/>
    </row>
    <row r="22" spans="2:25">
      <c r="B22" s="43" t="str">
        <f>'2017 Determination - Revenue'!$B$37</f>
        <v>Lachlan</v>
      </c>
      <c r="C22" s="69" t="str">
        <f>Outputs!$C$27</f>
        <v>$/ML</v>
      </c>
      <c r="D22" s="53"/>
      <c r="E22" s="53"/>
      <c r="F22" s="116">
        <v>19.038335664987216</v>
      </c>
      <c r="G22" s="116">
        <v>19.038335664987216</v>
      </c>
      <c r="H22" s="116">
        <v>19.038335664987216</v>
      </c>
      <c r="I22" s="50"/>
      <c r="J22" s="117">
        <f>ROUND(F22,2)*(1+'2017 Determination - Revenue'!$F$18)</f>
        <v>19.439839999999997</v>
      </c>
      <c r="K22" s="117">
        <f>ROUND((ROUND(G22,2)*(1+'2017 Determination - Revenue'!$F$18)),2)*(1+'2017 Determination - Revenue'!$G$22)</f>
        <v>19.809359999999998</v>
      </c>
      <c r="L22" s="117">
        <f>ROUND((ROUND(H22,2)*(1+'2017 Determination - Revenue'!$F$18)),2)*(1+'2017 Determination - Revenue'!$H$22)</f>
        <v>20.081520000000001</v>
      </c>
      <c r="M22" s="68"/>
      <c r="N22" s="106"/>
      <c r="O22" s="213"/>
      <c r="P22" s="106"/>
      <c r="Q22" s="187"/>
      <c r="R22" s="106"/>
      <c r="S22" s="106"/>
      <c r="T22" s="106"/>
      <c r="U22" s="106"/>
      <c r="V22" s="106"/>
      <c r="W22" s="106"/>
      <c r="X22" s="106"/>
      <c r="Y22" s="106"/>
    </row>
    <row r="23" spans="2:25">
      <c r="B23" s="43" t="str">
        <f>'2017 Determination - Revenue'!$B$38</f>
        <v>Macquarie</v>
      </c>
      <c r="C23" s="69" t="str">
        <f>Outputs!$C$27</f>
        <v>$/ML</v>
      </c>
      <c r="D23" s="53"/>
      <c r="E23" s="53"/>
      <c r="F23" s="116">
        <v>13.78434038452443</v>
      </c>
      <c r="G23" s="116">
        <v>13.78434038452443</v>
      </c>
      <c r="H23" s="116">
        <v>13.78434038452443</v>
      </c>
      <c r="I23" s="50"/>
      <c r="J23" s="117">
        <f>ROUND(F23,2)*(1+'2017 Determination - Revenue'!$F$18)</f>
        <v>14.069379999999999</v>
      </c>
      <c r="K23" s="117">
        <f>ROUND((ROUND(G23,2)*(1+'2017 Determination - Revenue'!$F$18)),2)*(1+'2017 Determination - Revenue'!$G$22)</f>
        <v>14.33733</v>
      </c>
      <c r="L23" s="117">
        <f>ROUND((ROUND(H23,2)*(1+'2017 Determination - Revenue'!$F$18)),2)*(1+'2017 Determination - Revenue'!$H$22)</f>
        <v>14.53431</v>
      </c>
      <c r="M23" s="68"/>
      <c r="N23" s="106"/>
      <c r="O23" s="213"/>
      <c r="P23" s="106"/>
      <c r="Q23" s="187"/>
      <c r="R23" s="106"/>
      <c r="S23" s="106"/>
      <c r="T23" s="106"/>
      <c r="U23" s="106"/>
      <c r="V23" s="106"/>
      <c r="W23" s="106"/>
      <c r="X23" s="106"/>
      <c r="Y23" s="106"/>
    </row>
    <row r="24" spans="2:25">
      <c r="B24" s="43" t="str">
        <f>'2017 Determination - Revenue'!$B$39</f>
        <v>Murray</v>
      </c>
      <c r="C24" s="69" t="str">
        <f>Outputs!$C$27</f>
        <v>$/ML</v>
      </c>
      <c r="D24" s="53"/>
      <c r="E24" s="53"/>
      <c r="F24" s="116">
        <v>1.9059075031952837</v>
      </c>
      <c r="G24" s="116">
        <v>1.9059075031952837</v>
      </c>
      <c r="H24" s="116">
        <v>1.9059075031952837</v>
      </c>
      <c r="I24" s="50"/>
      <c r="J24" s="117">
        <f>ROUND(F24,2)*(1+'2017 Determination - Revenue'!$F$18)</f>
        <v>1.9501099999999998</v>
      </c>
      <c r="K24" s="117">
        <f>ROUND((ROUND(G24,2)*(1+'2017 Determination - Revenue'!$F$18)),2)*(1+'2017 Determination - Revenue'!$G$22)</f>
        <v>1.9870499999999998</v>
      </c>
      <c r="L24" s="117">
        <f>ROUND((ROUND(H24,2)*(1+'2017 Determination - Revenue'!$F$18)),2)*(1+'2017 Determination - Revenue'!$H$22)</f>
        <v>2.0143499999999999</v>
      </c>
      <c r="M24" s="68"/>
      <c r="N24" s="106"/>
      <c r="O24" s="213"/>
      <c r="P24" s="106"/>
      <c r="Q24" s="187"/>
      <c r="R24" s="106"/>
      <c r="S24" s="106"/>
      <c r="T24" s="106"/>
      <c r="U24" s="106"/>
      <c r="V24" s="106"/>
      <c r="W24" s="106"/>
      <c r="X24" s="106"/>
      <c r="Y24" s="106"/>
    </row>
    <row r="25" spans="2:25">
      <c r="B25" s="43" t="str">
        <f>'2017 Determination - Revenue'!$B$40</f>
        <v>Murrumbidgee</v>
      </c>
      <c r="C25" s="69" t="str">
        <f>Outputs!$C$27</f>
        <v>$/ML</v>
      </c>
      <c r="D25" s="53"/>
      <c r="E25" s="53"/>
      <c r="F25" s="116">
        <v>3.3066680084074336</v>
      </c>
      <c r="G25" s="116">
        <v>3.3066680084074336</v>
      </c>
      <c r="H25" s="116">
        <v>3.3066680084074336</v>
      </c>
      <c r="I25" s="50"/>
      <c r="J25" s="117">
        <f>ROUND(F25,2)*(1+'2017 Determination - Revenue'!$F$18)</f>
        <v>3.3795099999999998</v>
      </c>
      <c r="K25" s="117">
        <f>ROUND((ROUND(G25,2)*(1+'2017 Determination - Revenue'!$F$18)),2)*(1+'2017 Determination - Revenue'!$G$22)</f>
        <v>3.4442199999999996</v>
      </c>
      <c r="L25" s="117">
        <f>ROUND((ROUND(H25,2)*(1+'2017 Determination - Revenue'!$F$18)),2)*(1+'2017 Determination - Revenue'!$H$22)</f>
        <v>3.4915399999999996</v>
      </c>
      <c r="M25" s="68"/>
      <c r="N25" s="106"/>
      <c r="O25" s="213"/>
      <c r="P25" s="106"/>
      <c r="Q25" s="187"/>
      <c r="R25" s="106"/>
      <c r="S25" s="106"/>
      <c r="T25" s="106"/>
      <c r="U25" s="106"/>
      <c r="V25" s="106"/>
      <c r="W25" s="106"/>
      <c r="X25" s="106"/>
      <c r="Y25" s="106"/>
    </row>
    <row r="26" spans="2:25">
      <c r="B26" s="43" t="str">
        <f>'2017 Determination - Revenue'!$B$41</f>
        <v>Lowbidgee</v>
      </c>
      <c r="C26" s="69" t="str">
        <f>Outputs!$C$27</f>
        <v>$/ML</v>
      </c>
      <c r="D26" s="53"/>
      <c r="E26" s="53"/>
      <c r="F26" s="116">
        <v>0</v>
      </c>
      <c r="G26" s="116">
        <v>0</v>
      </c>
      <c r="H26" s="116">
        <v>0</v>
      </c>
      <c r="I26" s="50"/>
      <c r="J26" s="117">
        <f>ROUND(F26,2)*(1+'2017 Determination - Revenue'!$F$18)</f>
        <v>0</v>
      </c>
      <c r="K26" s="117">
        <f>ROUND((ROUND(G26,2)*(1+'2017 Determination - Revenue'!$F$18)),2)*(1+'2017 Determination - Revenue'!$G$22)</f>
        <v>0</v>
      </c>
      <c r="L26" s="117">
        <f>ROUND((ROUND(H26,2)*(1+'2017 Determination - Revenue'!$F$18)),2)*(1+'2017 Determination - Revenue'!$H$22)</f>
        <v>0</v>
      </c>
      <c r="M26" s="68"/>
      <c r="N26" s="106"/>
      <c r="O26" s="213"/>
      <c r="P26" s="106"/>
      <c r="Q26" s="187"/>
      <c r="R26" s="106"/>
      <c r="S26" s="106"/>
      <c r="T26" s="106"/>
      <c r="U26" s="106"/>
      <c r="V26" s="106"/>
      <c r="W26" s="106"/>
      <c r="X26" s="106"/>
      <c r="Y26" s="106"/>
    </row>
    <row r="27" spans="2:25">
      <c r="B27" s="45"/>
      <c r="C27" s="74"/>
      <c r="D27" s="74"/>
      <c r="E27" s="74"/>
      <c r="F27" s="56"/>
      <c r="G27" s="56"/>
      <c r="H27" s="56"/>
      <c r="I27" s="189"/>
      <c r="J27" s="56"/>
      <c r="K27" s="56"/>
      <c r="L27" s="56"/>
      <c r="M27" s="72"/>
      <c r="N27" s="106"/>
      <c r="O27" s="213"/>
      <c r="P27" s="106"/>
      <c r="Q27" s="187"/>
      <c r="R27" s="106"/>
      <c r="S27" s="106"/>
      <c r="T27" s="106"/>
      <c r="U27" s="106"/>
      <c r="V27" s="106"/>
      <c r="W27" s="106"/>
      <c r="X27" s="106"/>
      <c r="Y27" s="106"/>
    </row>
    <row r="28" spans="2:25">
      <c r="B28" s="38"/>
      <c r="C28" s="67"/>
      <c r="D28" s="67"/>
      <c r="E28" s="67"/>
      <c r="F28" s="73"/>
      <c r="G28" s="73"/>
      <c r="H28" s="73"/>
      <c r="I28" s="73"/>
      <c r="J28" s="73"/>
      <c r="K28" s="73"/>
      <c r="L28" s="73"/>
      <c r="O28" s="213"/>
      <c r="P28" s="106"/>
      <c r="Q28" s="187"/>
      <c r="R28" s="106"/>
      <c r="S28" s="106"/>
      <c r="T28" s="106"/>
      <c r="U28" s="106"/>
      <c r="V28" s="106"/>
      <c r="W28" s="106"/>
      <c r="X28" s="106"/>
      <c r="Y28" s="106"/>
    </row>
    <row r="29" spans="2:25">
      <c r="B29" s="38"/>
      <c r="C29" s="67"/>
      <c r="D29" s="67"/>
      <c r="E29" s="67"/>
      <c r="F29" s="73"/>
      <c r="G29" s="73"/>
      <c r="H29" s="73"/>
      <c r="I29" s="73"/>
      <c r="J29" s="73"/>
      <c r="K29" s="73"/>
      <c r="L29" s="73"/>
      <c r="O29" s="213"/>
      <c r="P29" s="106"/>
      <c r="Q29" s="187"/>
      <c r="R29" s="106"/>
      <c r="S29" s="106"/>
      <c r="T29" s="106"/>
      <c r="U29" s="106"/>
      <c r="V29" s="106"/>
      <c r="W29" s="106"/>
      <c r="X29" s="106"/>
      <c r="Y29" s="106"/>
    </row>
    <row r="30" spans="2:25">
      <c r="B30" s="62" t="s">
        <v>122</v>
      </c>
      <c r="F30" s="54"/>
      <c r="G30" s="54"/>
      <c r="H30" s="54"/>
      <c r="I30" s="54"/>
      <c r="J30" s="213"/>
      <c r="K30" s="213"/>
      <c r="L30" s="213"/>
      <c r="O30" s="213"/>
      <c r="P30" s="106"/>
      <c r="Q30" s="187"/>
      <c r="R30" s="106"/>
      <c r="S30" s="106"/>
      <c r="T30" s="106"/>
      <c r="U30" s="106"/>
      <c r="V30" s="106"/>
      <c r="W30" s="106"/>
      <c r="X30" s="106"/>
      <c r="Y30" s="106"/>
    </row>
    <row r="31" spans="2:25">
      <c r="B31" s="63" t="str">
        <f>'2017 Determination - Revenue'!B$16</f>
        <v>Financial year</v>
      </c>
      <c r="C31" s="64" t="str">
        <f>'2017 Determination - Revenue'!C$28</f>
        <v>Units</v>
      </c>
      <c r="D31" s="51"/>
      <c r="E31" s="51"/>
      <c r="F31" s="131" t="str">
        <f>'2017 Determination - Revenue'!F$16</f>
        <v>2017-18</v>
      </c>
      <c r="G31" s="131" t="str">
        <f>'2017 Determination - Revenue'!G$16</f>
        <v>2018-19</v>
      </c>
      <c r="H31" s="131" t="str">
        <f>'2017 Determination - Revenue'!H$16</f>
        <v>2019-20</v>
      </c>
      <c r="I31" s="131"/>
      <c r="J31" s="174" t="str">
        <f>J$14</f>
        <v>2017-18</v>
      </c>
      <c r="K31" s="174" t="str">
        <f>K$14</f>
        <v>2018-19</v>
      </c>
      <c r="L31" s="174" t="str">
        <f>L$14</f>
        <v>2019-20</v>
      </c>
      <c r="M31" s="65"/>
      <c r="O31" s="213"/>
      <c r="P31" s="106"/>
      <c r="Q31" s="187"/>
      <c r="R31" s="106"/>
      <c r="S31" s="106"/>
      <c r="T31" s="106"/>
      <c r="U31" s="106"/>
      <c r="V31" s="106"/>
      <c r="W31" s="106"/>
      <c r="X31" s="106"/>
      <c r="Y31" s="106"/>
    </row>
    <row r="32" spans="2:25">
      <c r="B32" s="66"/>
      <c r="C32" s="53"/>
      <c r="D32" s="53"/>
      <c r="E32" s="53"/>
      <c r="F32" s="132" t="str">
        <f>'2017 Determination - Revenue'!$F$29</f>
        <v>$2016-17</v>
      </c>
      <c r="G32" s="132" t="str">
        <f>'2017 Determination - Revenue'!$F$29</f>
        <v>$2016-17</v>
      </c>
      <c r="H32" s="132" t="str">
        <f>'2017 Determination - Revenue'!$F$29</f>
        <v>$2016-17</v>
      </c>
      <c r="I32" s="190"/>
      <c r="J32" s="309" t="str">
        <f>J$15</f>
        <v>$2017-18</v>
      </c>
      <c r="K32" s="309" t="str">
        <f>K$15</f>
        <v>$2018-19</v>
      </c>
      <c r="L32" s="132" t="str">
        <f>L$15</f>
        <v>$2019-20</v>
      </c>
      <c r="M32" s="68"/>
      <c r="O32" s="213"/>
      <c r="P32" s="106"/>
      <c r="Q32" s="187"/>
      <c r="R32" s="106"/>
      <c r="S32" s="106"/>
      <c r="T32" s="106"/>
      <c r="U32" s="106"/>
      <c r="V32" s="106"/>
      <c r="W32" s="106"/>
      <c r="X32" s="106"/>
      <c r="Y32" s="106"/>
    </row>
    <row r="33" spans="2:25">
      <c r="B33" s="66"/>
      <c r="C33" s="53"/>
      <c r="D33" s="53"/>
      <c r="E33" s="53"/>
      <c r="F33" s="50"/>
      <c r="G33" s="50"/>
      <c r="H33" s="50"/>
      <c r="I33" s="50"/>
      <c r="J33" s="50"/>
      <c r="K33" s="138"/>
      <c r="L33" s="232"/>
      <c r="M33" s="68"/>
      <c r="O33" s="213"/>
      <c r="P33" s="106"/>
      <c r="Q33" s="187"/>
      <c r="R33" s="106"/>
      <c r="S33" s="106"/>
      <c r="T33" s="106"/>
      <c r="U33" s="106"/>
      <c r="V33" s="106"/>
      <c r="W33" s="106"/>
      <c r="X33" s="106"/>
      <c r="Y33" s="106"/>
    </row>
    <row r="34" spans="2:25">
      <c r="B34" s="66" t="s">
        <v>42</v>
      </c>
      <c r="C34" s="53"/>
      <c r="D34" s="53"/>
      <c r="E34" s="53"/>
      <c r="F34" s="50"/>
      <c r="G34" s="50"/>
      <c r="H34" s="50"/>
      <c r="I34" s="50"/>
      <c r="J34" s="50"/>
      <c r="K34" s="50"/>
      <c r="L34" s="210"/>
      <c r="M34" s="68"/>
      <c r="O34" s="213"/>
      <c r="P34" s="106"/>
      <c r="Q34" s="187"/>
      <c r="R34" s="106"/>
      <c r="S34" s="106"/>
      <c r="T34" s="106"/>
      <c r="U34" s="106"/>
      <c r="V34" s="106"/>
      <c r="W34" s="106"/>
      <c r="X34" s="106"/>
      <c r="Y34" s="106"/>
    </row>
    <row r="35" spans="2:25" ht="12" customHeight="1">
      <c r="B35" s="43" t="str">
        <f>'2017 Determination - Revenue'!$B$33</f>
        <v>Border</v>
      </c>
      <c r="C35" s="69" t="str">
        <f>Outputs!$C$27</f>
        <v>$/ML</v>
      </c>
      <c r="D35" s="53"/>
      <c r="E35" s="53"/>
      <c r="F35" s="116">
        <v>1.9788687190371097</v>
      </c>
      <c r="G35" s="116">
        <v>1.9788687190371097</v>
      </c>
      <c r="H35" s="116">
        <v>1.9788687190371097</v>
      </c>
      <c r="I35" s="50"/>
      <c r="J35" s="117">
        <f>ROUND(F35,2)*(1+'2017 Determination - Revenue'!$F$18)</f>
        <v>2.0215799999999997</v>
      </c>
      <c r="K35" s="117">
        <f>ROUND((ROUND(G35,2)*(1+'2017 Determination - Revenue'!$F$18)),2)*(1+'2017 Determination - Revenue'!$G$22)</f>
        <v>2.0583799999999997</v>
      </c>
      <c r="L35" s="117">
        <f>ROUND((ROUND(H35,2)*(1+'2017 Determination - Revenue'!$F$18)),2)*(1+'2017 Determination - Revenue'!$H$22)</f>
        <v>2.0866599999999997</v>
      </c>
      <c r="M35" s="68"/>
      <c r="O35" s="213"/>
      <c r="P35" s="106"/>
      <c r="Q35" s="187"/>
      <c r="R35" s="106"/>
      <c r="S35" s="106"/>
      <c r="T35" s="106"/>
      <c r="U35" s="106"/>
      <c r="V35" s="106"/>
      <c r="W35" s="106"/>
      <c r="X35" s="106"/>
      <c r="Y35" s="106"/>
    </row>
    <row r="36" spans="2:25">
      <c r="B36" s="43" t="str">
        <f>'2017 Determination - Revenue'!$B$34</f>
        <v>Gwydir</v>
      </c>
      <c r="C36" s="69" t="str">
        <f>Outputs!$C$27</f>
        <v>$/ML</v>
      </c>
      <c r="D36" s="53"/>
      <c r="E36" s="53"/>
      <c r="F36" s="116">
        <v>3.4798474827858135</v>
      </c>
      <c r="G36" s="116">
        <v>3.4798474827858135</v>
      </c>
      <c r="H36" s="116">
        <v>3.4798474827858135</v>
      </c>
      <c r="I36" s="50"/>
      <c r="J36" s="117">
        <f>ROUND(F36,2)*(1+'2017 Determination - Revenue'!$F$18)</f>
        <v>3.5530799999999996</v>
      </c>
      <c r="K36" s="117">
        <f>ROUND((ROUND(G36,2)*(1+'2017 Determination - Revenue'!$F$18)),2)*(1+'2017 Determination - Revenue'!$G$22)</f>
        <v>3.6174499999999994</v>
      </c>
      <c r="L36" s="117">
        <f>ROUND((ROUND(H36,2)*(1+'2017 Determination - Revenue'!$F$18)),2)*(1+'2017 Determination - Revenue'!$H$22)</f>
        <v>3.6671499999999995</v>
      </c>
      <c r="M36" s="68"/>
      <c r="O36" s="213"/>
      <c r="P36" s="106"/>
      <c r="Q36" s="187"/>
      <c r="R36" s="106"/>
      <c r="S36" s="106"/>
      <c r="T36" s="106"/>
      <c r="U36" s="106"/>
      <c r="V36" s="106"/>
      <c r="W36" s="106"/>
      <c r="X36" s="106"/>
      <c r="Y36" s="106"/>
    </row>
    <row r="37" spans="2:25">
      <c r="B37" s="43" t="str">
        <f>'2017 Determination - Revenue'!$B$35</f>
        <v>Namoi</v>
      </c>
      <c r="C37" s="69" t="str">
        <f>Outputs!$C$27</f>
        <v>$/ML</v>
      </c>
      <c r="D37" s="53"/>
      <c r="E37" s="53"/>
      <c r="F37" s="116">
        <v>7.9573495340749334</v>
      </c>
      <c r="G37" s="116">
        <v>7.9573495340749334</v>
      </c>
      <c r="H37" s="116">
        <v>7.9573495340749334</v>
      </c>
      <c r="I37" s="50"/>
      <c r="J37" s="117">
        <f>ROUND(F37,2)*(1+'2017 Determination - Revenue'!$F$18)</f>
        <v>8.1271599999999999</v>
      </c>
      <c r="K37" s="117">
        <f>ROUND((ROUND(G37,2)*(1+'2017 Determination - Revenue'!$F$18)),2)*(1+'2017 Determination - Revenue'!$G$22)</f>
        <v>8.2844700000000007</v>
      </c>
      <c r="L37" s="117">
        <f>ROUND((ROUND(H37,2)*(1+'2017 Determination - Revenue'!$F$18)),2)*(1+'2017 Determination - Revenue'!$H$22)</f>
        <v>8.3982899999999994</v>
      </c>
      <c r="M37" s="68"/>
      <c r="O37" s="213"/>
      <c r="P37" s="106"/>
      <c r="Q37" s="187"/>
      <c r="R37" s="106"/>
      <c r="S37" s="106"/>
      <c r="T37" s="106"/>
      <c r="U37" s="106"/>
      <c r="V37" s="106"/>
      <c r="W37" s="106"/>
      <c r="X37" s="106"/>
      <c r="Y37" s="106"/>
    </row>
    <row r="38" spans="2:25">
      <c r="B38" s="43" t="str">
        <f>'2017 Determination - Revenue'!$B$36</f>
        <v>Peel</v>
      </c>
      <c r="C38" s="69" t="str">
        <f>Outputs!$C$27</f>
        <v>$/ML</v>
      </c>
      <c r="D38" s="53"/>
      <c r="E38" s="53"/>
      <c r="F38" s="116">
        <v>2.0088384355493285</v>
      </c>
      <c r="G38" s="116">
        <v>4.017676871098657</v>
      </c>
      <c r="H38" s="116">
        <v>4.017676871098657</v>
      </c>
      <c r="I38" s="50"/>
      <c r="J38" s="117">
        <f>ROUND(F38,2)*(1+'2017 Determination - Revenue'!$F$18)</f>
        <v>2.0522099999999996</v>
      </c>
      <c r="K38" s="117">
        <f>ROUND((ROUND(G38,2)*(1+'2017 Determination - Revenue'!$F$18)),2)*(1+'2017 Determination - Revenue'!$G$22)</f>
        <v>4.1778999999999993</v>
      </c>
      <c r="L38" s="117">
        <f>ROUND((ROUND(H38,2)*(1+'2017 Determination - Revenue'!$F$18)),2)*(1+'2017 Determination - Revenue'!$H$22)</f>
        <v>4.2352999999999996</v>
      </c>
      <c r="M38" s="68"/>
      <c r="O38" s="213"/>
      <c r="P38" s="106"/>
      <c r="Q38" s="187"/>
      <c r="R38" s="106"/>
      <c r="S38" s="106"/>
      <c r="T38" s="106"/>
      <c r="U38" s="106"/>
      <c r="V38" s="106"/>
      <c r="W38" s="106"/>
      <c r="X38" s="106"/>
      <c r="Y38" s="106"/>
    </row>
    <row r="39" spans="2:25">
      <c r="B39" s="43" t="str">
        <f>'2017 Determination - Revenue'!$B$37</f>
        <v>Lachlan</v>
      </c>
      <c r="C39" s="69" t="str">
        <f>Outputs!$C$27</f>
        <v>$/ML</v>
      </c>
      <c r="D39" s="53"/>
      <c r="E39" s="53"/>
      <c r="F39" s="116">
        <v>2.7294754839554174</v>
      </c>
      <c r="G39" s="116">
        <v>2.7294754839554174</v>
      </c>
      <c r="H39" s="116">
        <v>2.7294754839554174</v>
      </c>
      <c r="I39" s="50"/>
      <c r="J39" s="117">
        <f>ROUND(F39,2)*(1+'2017 Determination - Revenue'!$F$18)</f>
        <v>2.7873299999999999</v>
      </c>
      <c r="K39" s="117">
        <f>ROUND((ROUND(G39,2)*(1+'2017 Determination - Revenue'!$F$18)),2)*(1+'2017 Determination - Revenue'!$G$22)</f>
        <v>2.8430099999999996</v>
      </c>
      <c r="L39" s="117">
        <f>ROUND((ROUND(H39,2)*(1+'2017 Determination - Revenue'!$F$18)),2)*(1+'2017 Determination - Revenue'!$H$22)</f>
        <v>2.8820699999999997</v>
      </c>
      <c r="M39" s="68"/>
      <c r="O39" s="213"/>
      <c r="P39" s="106"/>
      <c r="Q39" s="187"/>
      <c r="R39" s="106"/>
      <c r="S39" s="106"/>
      <c r="T39" s="106"/>
      <c r="U39" s="106"/>
      <c r="V39" s="106"/>
      <c r="W39" s="106"/>
      <c r="X39" s="106"/>
      <c r="Y39" s="106"/>
    </row>
    <row r="40" spans="2:25">
      <c r="B40" s="43" t="str">
        <f>'2017 Determination - Revenue'!$B$38</f>
        <v>Macquarie</v>
      </c>
      <c r="C40" s="69" t="str">
        <f>Outputs!$C$27</f>
        <v>$/ML</v>
      </c>
      <c r="D40" s="53"/>
      <c r="E40" s="53"/>
      <c r="F40" s="116">
        <v>2.8467811535599639</v>
      </c>
      <c r="G40" s="116">
        <v>2.8467811535599639</v>
      </c>
      <c r="H40" s="116">
        <v>2.8467811535599639</v>
      </c>
      <c r="I40" s="50"/>
      <c r="J40" s="117">
        <f>ROUND(F40,2)*(1+'2017 Determination - Revenue'!$F$18)</f>
        <v>2.90985</v>
      </c>
      <c r="K40" s="117">
        <f>ROUND((ROUND(G40,2)*(1+'2017 Determination - Revenue'!$F$18)),2)*(1+'2017 Determination - Revenue'!$G$22)</f>
        <v>2.96529</v>
      </c>
      <c r="L40" s="117">
        <f>ROUND((ROUND(H40,2)*(1+'2017 Determination - Revenue'!$F$18)),2)*(1+'2017 Determination - Revenue'!$H$22)</f>
        <v>3.00603</v>
      </c>
      <c r="M40" s="68"/>
      <c r="O40" s="213"/>
      <c r="P40" s="106"/>
      <c r="Q40" s="187"/>
      <c r="R40" s="106"/>
      <c r="S40" s="106"/>
      <c r="T40" s="106"/>
      <c r="U40" s="106"/>
      <c r="V40" s="106"/>
      <c r="W40" s="106"/>
      <c r="X40" s="106"/>
      <c r="Y40" s="106"/>
    </row>
    <row r="41" spans="2:25">
      <c r="B41" s="43" t="str">
        <f>'2017 Determination - Revenue'!$B$39</f>
        <v>Murray</v>
      </c>
      <c r="C41" s="69" t="str">
        <f>Outputs!$C$27</f>
        <v>$/ML</v>
      </c>
      <c r="D41" s="53"/>
      <c r="E41" s="53"/>
      <c r="F41" s="116">
        <v>0.75379063074672403</v>
      </c>
      <c r="G41" s="116">
        <v>0.75379063074672403</v>
      </c>
      <c r="H41" s="116">
        <v>0.75379063074672403</v>
      </c>
      <c r="I41" s="50"/>
      <c r="J41" s="117">
        <f>ROUND(F41,2)*(1+'2017 Determination - Revenue'!$F$18)</f>
        <v>0.76574999999999993</v>
      </c>
      <c r="K41" s="117">
        <f>ROUND((ROUND(G41,2)*(1+'2017 Determination - Revenue'!$F$18)),2)*(1+'2017 Determination - Revenue'!$G$22)</f>
        <v>0.78462999999999994</v>
      </c>
      <c r="L41" s="117">
        <f>ROUND((ROUND(H41,2)*(1+'2017 Determination - Revenue'!$F$18)),2)*(1+'2017 Determination - Revenue'!$H$22)</f>
        <v>0.79540999999999995</v>
      </c>
      <c r="M41" s="68"/>
      <c r="O41" s="213"/>
      <c r="P41" s="106"/>
      <c r="Q41" s="187"/>
      <c r="R41" s="106"/>
      <c r="S41" s="106"/>
      <c r="T41" s="106"/>
      <c r="U41" s="106"/>
      <c r="V41" s="106"/>
      <c r="W41" s="106"/>
      <c r="X41" s="106"/>
      <c r="Y41" s="106"/>
    </row>
    <row r="42" spans="2:25">
      <c r="B42" s="43" t="str">
        <f>'2017 Determination - Revenue'!$B$40</f>
        <v>Murrumbidgee</v>
      </c>
      <c r="C42" s="69" t="str">
        <f>Outputs!$C$27</f>
        <v>$/ML</v>
      </c>
      <c r="D42" s="53"/>
      <c r="E42" s="53"/>
      <c r="F42" s="116">
        <v>1.1144947783604038</v>
      </c>
      <c r="G42" s="116">
        <v>1.1144947783604038</v>
      </c>
      <c r="H42" s="116">
        <v>1.1144947783604038</v>
      </c>
      <c r="I42" s="50"/>
      <c r="J42" s="117">
        <f>ROUND(F42,2)*(1+'2017 Determination - Revenue'!$F$18)</f>
        <v>1.13331</v>
      </c>
      <c r="K42" s="117">
        <f>ROUND((ROUND(G42,2)*(1+'2017 Determination - Revenue'!$F$18)),2)*(1+'2017 Determination - Revenue'!$G$22)</f>
        <v>1.1514699999999998</v>
      </c>
      <c r="L42" s="117">
        <f>ROUND((ROUND(H42,2)*(1+'2017 Determination - Revenue'!$F$18)),2)*(1+'2017 Determination - Revenue'!$H$22)</f>
        <v>1.1672899999999997</v>
      </c>
      <c r="M42" s="68"/>
      <c r="O42" s="213"/>
      <c r="P42" s="106"/>
      <c r="Q42" s="187"/>
      <c r="R42" s="106"/>
      <c r="S42" s="106"/>
      <c r="T42" s="106"/>
      <c r="U42" s="106"/>
      <c r="V42" s="106"/>
      <c r="W42" s="106"/>
      <c r="X42" s="106"/>
      <c r="Y42" s="106"/>
    </row>
    <row r="43" spans="2:25">
      <c r="B43" s="43" t="str">
        <f>'2017 Determination - Revenue'!$B$41</f>
        <v>Lowbidgee</v>
      </c>
      <c r="C43" s="69" t="str">
        <f>Outputs!$C$27</f>
        <v>$/ML</v>
      </c>
      <c r="D43" s="53"/>
      <c r="E43" s="53"/>
      <c r="F43" s="116">
        <v>0.7831544756319907</v>
      </c>
      <c r="G43" s="116">
        <v>0.7831544756319907</v>
      </c>
      <c r="H43" s="116">
        <v>0.7831544756319907</v>
      </c>
      <c r="I43" s="50"/>
      <c r="J43" s="117">
        <f>ROUND(F43,2)*(1+'2017 Determination - Revenue'!$F$18)</f>
        <v>0.79637999999999998</v>
      </c>
      <c r="K43" s="117">
        <f>ROUND((ROUND(G43,2)*(1+'2017 Determination - Revenue'!$F$18)),2)*(1+'2017 Determination - Revenue'!$G$22)</f>
        <v>0.81519999999999992</v>
      </c>
      <c r="L43" s="117">
        <f>ROUND((ROUND(H43,2)*(1+'2017 Determination - Revenue'!$F$18)),2)*(1+'2017 Determination - Revenue'!$H$22)</f>
        <v>0.82640000000000002</v>
      </c>
      <c r="M43" s="68"/>
      <c r="O43" s="213"/>
      <c r="P43" s="106"/>
      <c r="Q43" s="187"/>
      <c r="R43" s="106"/>
      <c r="S43" s="106"/>
      <c r="T43" s="106"/>
      <c r="U43" s="106"/>
      <c r="V43" s="106"/>
      <c r="W43" s="106"/>
      <c r="X43" s="106"/>
      <c r="Y43" s="106"/>
    </row>
    <row r="44" spans="2:25">
      <c r="B44" s="45"/>
      <c r="C44" s="74"/>
      <c r="D44" s="74"/>
      <c r="E44" s="74"/>
      <c r="F44" s="56"/>
      <c r="G44" s="56"/>
      <c r="H44" s="56"/>
      <c r="I44" s="189"/>
      <c r="J44" s="56"/>
      <c r="K44" s="56"/>
      <c r="L44" s="56"/>
      <c r="M44" s="72"/>
      <c r="O44" s="213"/>
      <c r="P44" s="106"/>
      <c r="Q44" s="187"/>
      <c r="R44" s="106"/>
      <c r="S44" s="106"/>
      <c r="T44" s="106"/>
      <c r="U44" s="106"/>
      <c r="V44" s="106"/>
      <c r="W44" s="106"/>
      <c r="X44" s="106"/>
      <c r="Y44" s="106"/>
    </row>
    <row r="45" spans="2:25">
      <c r="B45" s="38"/>
      <c r="C45" s="53"/>
      <c r="D45" s="53"/>
      <c r="E45" s="53"/>
      <c r="F45" s="50"/>
      <c r="G45" s="50"/>
      <c r="H45" s="50"/>
      <c r="I45" s="50"/>
      <c r="J45" s="210"/>
      <c r="K45" s="210"/>
      <c r="L45" s="210"/>
      <c r="O45" s="213"/>
      <c r="P45" s="106"/>
      <c r="Q45" s="187"/>
      <c r="R45" s="106"/>
      <c r="S45" s="106"/>
      <c r="T45" s="106"/>
      <c r="U45" s="106"/>
      <c r="V45" s="106"/>
      <c r="W45" s="106"/>
      <c r="X45" s="106"/>
      <c r="Y45" s="106"/>
    </row>
    <row r="46" spans="2:25">
      <c r="B46" s="75"/>
      <c r="C46" s="53"/>
      <c r="D46" s="53"/>
      <c r="E46" s="53"/>
      <c r="F46" s="50"/>
      <c r="G46" s="50"/>
      <c r="H46" s="50"/>
      <c r="I46" s="50"/>
      <c r="J46" s="210"/>
      <c r="K46" s="210"/>
      <c r="L46" s="210"/>
      <c r="O46" s="213"/>
      <c r="P46" s="106"/>
      <c r="Q46" s="187"/>
      <c r="R46" s="106"/>
      <c r="S46" s="106"/>
      <c r="T46" s="106"/>
      <c r="U46" s="106"/>
      <c r="V46" s="106"/>
      <c r="W46" s="106"/>
      <c r="X46" s="106"/>
      <c r="Y46" s="106"/>
    </row>
    <row r="47" spans="2:25">
      <c r="B47" s="62" t="s">
        <v>188</v>
      </c>
      <c r="L47" s="213"/>
      <c r="O47" s="213"/>
      <c r="P47" s="106"/>
      <c r="Q47" s="187"/>
      <c r="R47" s="106"/>
      <c r="S47" s="106"/>
      <c r="T47" s="106"/>
      <c r="U47" s="106"/>
      <c r="V47" s="106"/>
      <c r="W47" s="106"/>
      <c r="X47" s="106"/>
      <c r="Y47" s="106"/>
    </row>
    <row r="48" spans="2:25">
      <c r="B48" s="63" t="str">
        <f>'2017 Determination - Revenue'!B$16</f>
        <v>Financial year</v>
      </c>
      <c r="C48" s="64" t="str">
        <f>'2017 Determination - Revenue'!C$28</f>
        <v>Units</v>
      </c>
      <c r="D48" s="47"/>
      <c r="E48" s="47"/>
      <c r="F48" s="128" t="str">
        <f>'2017 Determination - Revenue'!F$16</f>
        <v>2017-18</v>
      </c>
      <c r="G48" s="128" t="str">
        <f>'2017 Determination - Revenue'!G$16</f>
        <v>2018-19</v>
      </c>
      <c r="H48" s="128" t="str">
        <f>'2017 Determination - Revenue'!H$16</f>
        <v>2019-20</v>
      </c>
      <c r="I48" s="128"/>
      <c r="J48" s="174" t="str">
        <f>J$14</f>
        <v>2017-18</v>
      </c>
      <c r="K48" s="174" t="str">
        <f>K$14</f>
        <v>2018-19</v>
      </c>
      <c r="L48" s="174" t="str">
        <f>L$14</f>
        <v>2019-20</v>
      </c>
      <c r="M48" s="65"/>
      <c r="O48" s="213"/>
      <c r="P48" s="106"/>
      <c r="Q48" s="187"/>
      <c r="R48" s="106"/>
      <c r="S48" s="106"/>
      <c r="T48" s="106"/>
      <c r="U48" s="106"/>
      <c r="V48" s="106"/>
      <c r="W48" s="106"/>
      <c r="X48" s="106"/>
      <c r="Y48" s="106"/>
    </row>
    <row r="49" spans="2:25">
      <c r="B49" s="66"/>
      <c r="C49" s="67"/>
      <c r="D49" s="67"/>
      <c r="E49" s="67"/>
      <c r="F49" s="130" t="str">
        <f>'2017 Determination - Revenue'!$F$29</f>
        <v>$2016-17</v>
      </c>
      <c r="G49" s="130" t="str">
        <f>'2017 Determination - Revenue'!$F$29</f>
        <v>$2016-17</v>
      </c>
      <c r="H49" s="130" t="str">
        <f>'2017 Determination - Revenue'!$F$29</f>
        <v>$2016-17</v>
      </c>
      <c r="I49" s="134"/>
      <c r="J49" s="309" t="str">
        <f>J$15</f>
        <v>$2017-18</v>
      </c>
      <c r="K49" s="309" t="str">
        <f>K$15</f>
        <v>$2018-19</v>
      </c>
      <c r="L49" s="132" t="str">
        <f>L$15</f>
        <v>$2019-20</v>
      </c>
      <c r="M49" s="68"/>
      <c r="O49" s="213"/>
      <c r="P49" s="106"/>
      <c r="Q49" s="187"/>
      <c r="R49" s="106"/>
      <c r="S49" s="106"/>
      <c r="T49" s="106"/>
      <c r="U49" s="106"/>
      <c r="V49" s="106"/>
      <c r="W49" s="106"/>
      <c r="X49" s="106"/>
      <c r="Y49" s="106"/>
    </row>
    <row r="50" spans="2:25">
      <c r="B50" s="66"/>
      <c r="C50" s="67"/>
      <c r="D50" s="67"/>
      <c r="E50" s="67"/>
      <c r="F50" s="67"/>
      <c r="G50" s="67"/>
      <c r="H50" s="67"/>
      <c r="I50" s="134"/>
      <c r="J50" s="67"/>
      <c r="K50" s="67"/>
      <c r="L50" s="73"/>
      <c r="M50" s="68"/>
      <c r="O50" s="213"/>
      <c r="P50" s="106"/>
      <c r="Q50" s="187"/>
      <c r="R50" s="106"/>
      <c r="S50" s="106"/>
      <c r="T50" s="106"/>
      <c r="U50" s="106"/>
      <c r="V50" s="106"/>
      <c r="W50" s="106"/>
      <c r="X50" s="106"/>
      <c r="Y50" s="106"/>
    </row>
    <row r="51" spans="2:25">
      <c r="B51" s="66" t="s">
        <v>41</v>
      </c>
      <c r="C51" s="67"/>
      <c r="D51" s="67"/>
      <c r="E51" s="67"/>
      <c r="F51" s="73"/>
      <c r="G51" s="73"/>
      <c r="H51" s="67"/>
      <c r="I51" s="134"/>
      <c r="J51" s="67"/>
      <c r="K51" s="73"/>
      <c r="L51" s="73"/>
      <c r="M51" s="68"/>
      <c r="O51" s="213"/>
      <c r="P51" s="106"/>
      <c r="Q51" s="187"/>
      <c r="R51" s="106"/>
      <c r="S51" s="106"/>
      <c r="T51" s="106"/>
      <c r="U51" s="106"/>
      <c r="V51" s="106"/>
      <c r="W51" s="106"/>
      <c r="X51" s="106"/>
      <c r="Y51" s="106"/>
    </row>
    <row r="52" spans="2:25" ht="12" customHeight="1">
      <c r="B52" s="43" t="str">
        <f>'2017 Determination - Revenue'!$B$33</f>
        <v>Border</v>
      </c>
      <c r="C52" s="69" t="str">
        <f>Outputs!$C$27</f>
        <v>$/ML</v>
      </c>
      <c r="D52" s="67"/>
      <c r="E52" s="67"/>
      <c r="F52" s="116">
        <v>5.3280912819709219</v>
      </c>
      <c r="G52" s="116">
        <v>5.33</v>
      </c>
      <c r="H52" s="116">
        <v>5.33</v>
      </c>
      <c r="I52" s="134"/>
      <c r="J52" s="117">
        <f>ROUND(F52,2)*(1+'2017 Determination - Revenue'!$F$18)</f>
        <v>5.4419299999999993</v>
      </c>
      <c r="K52" s="117">
        <f>ROUND((ROUND(G52,2)*(1+'2017 Determination - Revenue'!$F$18)),2)*(1+'2017 Determination - Revenue'!$G$22)</f>
        <v>5.5433599999999998</v>
      </c>
      <c r="L52" s="117">
        <f>ROUND((ROUND(H52,2)*(1+'2017 Determination - Revenue'!$F$18)),2)*(1+'2017 Determination - Revenue'!$H$22)</f>
        <v>5.6195199999999996</v>
      </c>
      <c r="M52" s="68"/>
      <c r="O52" s="213"/>
      <c r="P52" s="106"/>
      <c r="Q52" s="187"/>
      <c r="R52" s="106"/>
      <c r="S52" s="106"/>
      <c r="T52" s="106"/>
      <c r="U52" s="106"/>
      <c r="V52" s="106"/>
      <c r="W52" s="106"/>
      <c r="X52" s="106"/>
      <c r="Y52" s="106"/>
    </row>
    <row r="53" spans="2:25">
      <c r="B53" s="43" t="str">
        <f>'2017 Determination - Revenue'!$B$34</f>
        <v>Gwydir</v>
      </c>
      <c r="C53" s="69" t="str">
        <f>Outputs!$C$27</f>
        <v>$/ML</v>
      </c>
      <c r="D53" s="67"/>
      <c r="E53" s="67"/>
      <c r="F53" s="116">
        <v>11.081245442126379</v>
      </c>
      <c r="G53" s="116">
        <v>11.081245442126379</v>
      </c>
      <c r="H53" s="116">
        <v>11.081245442126379</v>
      </c>
      <c r="I53" s="134"/>
      <c r="J53" s="117">
        <f>ROUND(F53,2)*(1+'2017 Determination - Revenue'!$F$18)</f>
        <v>11.312679999999999</v>
      </c>
      <c r="K53" s="117">
        <f>ROUND((ROUND(G53,2)*(1+'2017 Determination - Revenue'!$F$18)),2)*(1+'2017 Determination - Revenue'!$G$22)</f>
        <v>11.524889999999999</v>
      </c>
      <c r="L53" s="117">
        <f>ROUND((ROUND(H53,2)*(1+'2017 Determination - Revenue'!$F$18)),2)*(1+'2017 Determination - Revenue'!$H$22)</f>
        <v>11.68323</v>
      </c>
      <c r="M53" s="68"/>
      <c r="O53" s="213"/>
      <c r="P53" s="106"/>
      <c r="Q53" s="187"/>
      <c r="R53" s="106"/>
      <c r="S53" s="106"/>
      <c r="T53" s="106"/>
      <c r="U53" s="106"/>
      <c r="V53" s="106"/>
      <c r="W53" s="106"/>
      <c r="X53" s="106"/>
      <c r="Y53" s="106"/>
    </row>
    <row r="54" spans="2:25">
      <c r="B54" s="43" t="str">
        <f>'2017 Determination - Revenue'!$B$35</f>
        <v>Namoi</v>
      </c>
      <c r="C54" s="69" t="str">
        <f>Outputs!$C$27</f>
        <v>$/ML</v>
      </c>
      <c r="D54" s="67"/>
      <c r="E54" s="67"/>
      <c r="F54" s="116">
        <v>17.078806213771792</v>
      </c>
      <c r="G54" s="116">
        <v>17.078806213771792</v>
      </c>
      <c r="H54" s="116">
        <v>17.078806213771792</v>
      </c>
      <c r="I54" s="134"/>
      <c r="J54" s="117">
        <f>ROUND(F54,2)*(1+'2017 Determination - Revenue'!$F$18)</f>
        <v>17.438679999999998</v>
      </c>
      <c r="K54" s="117">
        <f>ROUND((ROUND(G54,2)*(1+'2017 Determination - Revenue'!$F$18)),2)*(1+'2017 Determination - Revenue'!$G$22)</f>
        <v>17.771360000000001</v>
      </c>
      <c r="L54" s="117">
        <f>ROUND((ROUND(H54,2)*(1+'2017 Determination - Revenue'!$F$18)),2)*(1+'2017 Determination - Revenue'!$H$22)</f>
        <v>18.015519999999999</v>
      </c>
      <c r="M54" s="68"/>
      <c r="O54" s="213"/>
      <c r="P54" s="106"/>
      <c r="Q54" s="187"/>
      <c r="R54" s="106"/>
      <c r="S54" s="106"/>
      <c r="T54" s="106"/>
      <c r="U54" s="106"/>
      <c r="V54" s="106"/>
      <c r="W54" s="106"/>
      <c r="X54" s="106"/>
      <c r="Y54" s="106"/>
    </row>
    <row r="55" spans="2:25">
      <c r="B55" s="43" t="str">
        <f>'2017 Determination - Revenue'!$B$36</f>
        <v>Peel</v>
      </c>
      <c r="C55" s="69" t="str">
        <f>Outputs!$C$27</f>
        <v>$/ML</v>
      </c>
      <c r="D55" s="67"/>
      <c r="E55" s="67"/>
      <c r="F55" s="116">
        <v>20.78395133436014</v>
      </c>
      <c r="G55" s="116">
        <v>41.567902668720279</v>
      </c>
      <c r="H55" s="116">
        <v>41.567902668720279</v>
      </c>
      <c r="I55" s="134"/>
      <c r="J55" s="117">
        <f>ROUND(F55,2)*(1+'2017 Determination - Revenue'!$F$18)</f>
        <v>21.216380000000001</v>
      </c>
      <c r="K55" s="117">
        <f>ROUND((ROUND(G55,2)*(1+'2017 Determination - Revenue'!$F$18)),2)*(1+'2017 Determination - Revenue'!$G$22)</f>
        <v>43.246359999999996</v>
      </c>
      <c r="L55" s="117">
        <f>ROUND((ROUND(H55,2)*(1+'2017 Determination - Revenue'!$F$18)),2)*(1+'2017 Determination - Revenue'!$H$22)</f>
        <v>43.840519999999991</v>
      </c>
      <c r="M55" s="68"/>
      <c r="O55" s="213"/>
      <c r="P55" s="106"/>
      <c r="Q55" s="187"/>
      <c r="R55" s="106"/>
      <c r="S55" s="106"/>
      <c r="T55" s="106"/>
      <c r="U55" s="106"/>
      <c r="V55" s="106"/>
      <c r="W55" s="106"/>
      <c r="X55" s="106"/>
      <c r="Y55" s="106"/>
    </row>
    <row r="56" spans="2:25">
      <c r="B56" s="43" t="str">
        <f>'2017 Determination - Revenue'!$B$37</f>
        <v>Lachlan</v>
      </c>
      <c r="C56" s="69" t="str">
        <f>Outputs!$C$27</f>
        <v>$/ML</v>
      </c>
      <c r="D56" s="67"/>
      <c r="E56" s="67"/>
      <c r="F56" s="116">
        <v>15.379109814709489</v>
      </c>
      <c r="G56" s="116">
        <v>15.379109814709489</v>
      </c>
      <c r="H56" s="116">
        <v>15.379109814709489</v>
      </c>
      <c r="I56" s="134"/>
      <c r="J56" s="117">
        <f>ROUND(F56,2)*(1+'2017 Determination - Revenue'!$F$18)</f>
        <v>15.70298</v>
      </c>
      <c r="K56" s="117">
        <f>ROUND((ROUND(G56,2)*(1+'2017 Determination - Revenue'!$F$18)),2)*(1+'2017 Determination - Revenue'!$G$22)</f>
        <v>15.998299999999999</v>
      </c>
      <c r="L56" s="117">
        <f>ROUND((ROUND(H56,2)*(1+'2017 Determination - Revenue'!$F$18)),2)*(1+'2017 Determination - Revenue'!$H$22)</f>
        <v>16.2181</v>
      </c>
      <c r="M56" s="68"/>
      <c r="O56" s="213"/>
      <c r="P56" s="106"/>
      <c r="Q56" s="187"/>
      <c r="R56" s="106"/>
      <c r="S56" s="106"/>
      <c r="T56" s="106"/>
      <c r="U56" s="106"/>
      <c r="V56" s="106"/>
      <c r="W56" s="106"/>
      <c r="X56" s="106"/>
      <c r="Y56" s="106"/>
    </row>
    <row r="57" spans="2:25">
      <c r="B57" s="43" t="str">
        <f>'2017 Determination - Revenue'!$B$38</f>
        <v>Macquarie</v>
      </c>
      <c r="C57" s="69" t="str">
        <f>Outputs!$C$27</f>
        <v>$/ML</v>
      </c>
      <c r="D57" s="67"/>
      <c r="E57" s="67"/>
      <c r="F57" s="116">
        <v>13.514162012252285</v>
      </c>
      <c r="G57" s="116">
        <v>13.514162012252285</v>
      </c>
      <c r="H57" s="116">
        <v>13.514162012252285</v>
      </c>
      <c r="I57" s="134"/>
      <c r="J57" s="117">
        <f>ROUND(F57,2)*(1+'2017 Determination - Revenue'!$F$18)</f>
        <v>13.793709999999999</v>
      </c>
      <c r="K57" s="117">
        <f>ROUND((ROUND(G57,2)*(1+'2017 Determination - Revenue'!$F$18)),2)*(1+'2017 Determination - Revenue'!$G$22)</f>
        <v>14.052009999999997</v>
      </c>
      <c r="L57" s="117">
        <f>ROUND((ROUND(H57,2)*(1+'2017 Determination - Revenue'!$F$18)),2)*(1+'2017 Determination - Revenue'!$H$22)</f>
        <v>14.245069999999998</v>
      </c>
      <c r="M57" s="68"/>
      <c r="O57" s="213"/>
      <c r="P57" s="106"/>
      <c r="Q57" s="187"/>
      <c r="R57" s="106"/>
      <c r="S57" s="106"/>
      <c r="T57" s="106"/>
      <c r="U57" s="106"/>
      <c r="V57" s="106"/>
      <c r="W57" s="106"/>
      <c r="X57" s="106"/>
      <c r="Y57" s="106"/>
    </row>
    <row r="58" spans="2:25">
      <c r="B58" s="43" t="str">
        <f>'2017 Determination - Revenue'!$B$39</f>
        <v>Murray</v>
      </c>
      <c r="C58" s="69" t="str">
        <f>Outputs!$C$27</f>
        <v>$/ML</v>
      </c>
      <c r="D58" s="67"/>
      <c r="E58" s="67"/>
      <c r="F58" s="116">
        <v>1.5377364390374406</v>
      </c>
      <c r="G58" s="116">
        <v>1.5377364390374406</v>
      </c>
      <c r="H58" s="116">
        <v>1.5377364390374406</v>
      </c>
      <c r="I58" s="134"/>
      <c r="J58" s="117">
        <f>ROUND(F58,2)*(1+'2017 Determination - Revenue'!$F$18)</f>
        <v>1.5723399999999998</v>
      </c>
      <c r="K58" s="117">
        <f>ROUND((ROUND(G58,2)*(1+'2017 Determination - Revenue'!$F$18)),2)*(1+'2017 Determination - Revenue'!$G$22)</f>
        <v>1.5998299999999999</v>
      </c>
      <c r="L58" s="117">
        <f>ROUND((ROUND(H58,2)*(1+'2017 Determination - Revenue'!$F$18)),2)*(1+'2017 Determination - Revenue'!$H$22)</f>
        <v>1.62181</v>
      </c>
      <c r="M58" s="68"/>
      <c r="O58" s="213"/>
      <c r="P58" s="106"/>
      <c r="Q58" s="187"/>
      <c r="R58" s="106"/>
      <c r="S58" s="106"/>
      <c r="T58" s="106"/>
      <c r="U58" s="106"/>
      <c r="V58" s="106"/>
      <c r="W58" s="106"/>
      <c r="X58" s="106"/>
      <c r="Y58" s="106"/>
    </row>
    <row r="59" spans="2:25">
      <c r="B59" s="43" t="str">
        <f>'2017 Determination - Revenue'!$B$40</f>
        <v>Murrumbidgee</v>
      </c>
      <c r="C59" s="69" t="str">
        <f>Outputs!$C$27</f>
        <v>$/ML</v>
      </c>
      <c r="D59" s="67"/>
      <c r="E59" s="67"/>
      <c r="F59" s="116">
        <v>2.9532745157454201</v>
      </c>
      <c r="G59" s="116">
        <v>2.9532745157454201</v>
      </c>
      <c r="H59" s="116">
        <v>2.9532745157454201</v>
      </c>
      <c r="I59" s="134"/>
      <c r="J59" s="117">
        <f>ROUND(F59,2)*(1+'2017 Determination - Revenue'!$F$18)</f>
        <v>3.0119500000000001</v>
      </c>
      <c r="K59" s="117">
        <f>ROUND((ROUND(G59,2)*(1+'2017 Determination - Revenue'!$F$18)),2)*(1+'2017 Determination - Revenue'!$G$22)</f>
        <v>3.0671899999999996</v>
      </c>
      <c r="L59" s="117">
        <f>ROUND((ROUND(H59,2)*(1+'2017 Determination - Revenue'!$F$18)),2)*(1+'2017 Determination - Revenue'!$H$22)</f>
        <v>3.1093299999999995</v>
      </c>
      <c r="M59" s="68"/>
      <c r="O59" s="213"/>
      <c r="P59" s="106"/>
      <c r="Q59" s="187"/>
      <c r="R59" s="106"/>
      <c r="S59" s="106"/>
      <c r="T59" s="106"/>
      <c r="U59" s="106"/>
      <c r="V59" s="106"/>
      <c r="W59" s="106"/>
      <c r="X59" s="106"/>
      <c r="Y59" s="106"/>
    </row>
    <row r="60" spans="2:25">
      <c r="B60" s="43" t="str">
        <f>'2017 Determination - Revenue'!$B$41</f>
        <v>Lowbidgee</v>
      </c>
      <c r="C60" s="69" t="str">
        <f>Outputs!$C$27</f>
        <v>$/ML</v>
      </c>
      <c r="D60" s="67"/>
      <c r="E60" s="67"/>
      <c r="F60" s="116">
        <v>0</v>
      </c>
      <c r="G60" s="116">
        <v>0</v>
      </c>
      <c r="H60" s="116">
        <v>0</v>
      </c>
      <c r="I60" s="134"/>
      <c r="J60" s="117">
        <f>ROUND(F60,2)*(1+'2017 Determination - Revenue'!$F$18)</f>
        <v>0</v>
      </c>
      <c r="K60" s="117">
        <f>ROUND((ROUND(G60,2)*(1+'2017 Determination - Revenue'!$F$18)),2)*(1+'2017 Determination - Revenue'!$G$22)</f>
        <v>0</v>
      </c>
      <c r="L60" s="117">
        <f>ROUND((ROUND(H60,2)*(1+'2017 Determination - Revenue'!$F$18)),2)*(1+'2017 Determination - Revenue'!$H$22)</f>
        <v>0</v>
      </c>
      <c r="M60" s="68"/>
      <c r="O60" s="213"/>
      <c r="P60" s="106"/>
      <c r="Q60" s="187"/>
      <c r="R60" s="106"/>
      <c r="S60" s="106"/>
      <c r="T60" s="106"/>
      <c r="U60" s="106"/>
      <c r="V60" s="106"/>
      <c r="W60" s="106"/>
      <c r="X60" s="106"/>
      <c r="Y60" s="106"/>
    </row>
    <row r="61" spans="2:25">
      <c r="B61" s="45"/>
      <c r="C61" s="70"/>
      <c r="D61" s="70"/>
      <c r="E61" s="70"/>
      <c r="F61" s="71"/>
      <c r="G61" s="71"/>
      <c r="H61" s="71"/>
      <c r="I61" s="191"/>
      <c r="J61" s="71"/>
      <c r="K61" s="71"/>
      <c r="L61" s="71"/>
      <c r="M61" s="72"/>
      <c r="O61" s="213"/>
      <c r="P61" s="106"/>
      <c r="Q61" s="187"/>
      <c r="R61" s="106"/>
      <c r="S61" s="106"/>
      <c r="T61" s="106"/>
      <c r="U61" s="106"/>
      <c r="V61" s="106"/>
      <c r="W61" s="106"/>
      <c r="X61" s="106"/>
      <c r="Y61" s="106"/>
    </row>
    <row r="62" spans="2:25">
      <c r="B62" s="38"/>
      <c r="C62" s="53"/>
      <c r="D62" s="53"/>
      <c r="E62" s="53"/>
      <c r="F62" s="50"/>
      <c r="G62" s="50"/>
      <c r="H62" s="50"/>
      <c r="I62" s="50"/>
      <c r="J62" s="210"/>
      <c r="K62" s="210"/>
      <c r="L62" s="210"/>
      <c r="O62" s="213"/>
      <c r="P62" s="106"/>
      <c r="Q62" s="187"/>
      <c r="R62" s="106"/>
      <c r="S62" s="106"/>
      <c r="T62" s="106"/>
      <c r="U62" s="106"/>
      <c r="V62" s="106"/>
      <c r="W62" s="106"/>
      <c r="X62" s="106"/>
      <c r="Y62" s="106"/>
    </row>
    <row r="63" spans="2:25" s="106" customFormat="1">
      <c r="B63" s="38"/>
      <c r="C63" s="53"/>
      <c r="D63" s="53"/>
      <c r="E63" s="53"/>
      <c r="F63" s="50"/>
      <c r="G63" s="50"/>
      <c r="H63" s="50"/>
      <c r="I63" s="50"/>
      <c r="J63" s="210"/>
      <c r="K63" s="210"/>
      <c r="L63" s="210"/>
      <c r="O63" s="213"/>
      <c r="Q63" s="187"/>
    </row>
    <row r="64" spans="2:25" s="106" customFormat="1">
      <c r="B64" s="62" t="s">
        <v>89</v>
      </c>
      <c r="F64" s="54"/>
      <c r="G64" s="54"/>
      <c r="H64" s="54"/>
      <c r="I64" s="54"/>
      <c r="J64" s="213"/>
      <c r="K64" s="213"/>
      <c r="L64" s="213"/>
      <c r="O64" s="213"/>
      <c r="Q64" s="187"/>
    </row>
    <row r="65" spans="2:17" s="106" customFormat="1">
      <c r="B65" s="63" t="str">
        <f>'2017 Determination - Revenue'!B$16</f>
        <v>Financial year</v>
      </c>
      <c r="C65" s="64" t="str">
        <f>'2017 Determination - Revenue'!C$28</f>
        <v>Units</v>
      </c>
      <c r="D65" s="51"/>
      <c r="E65" s="51"/>
      <c r="F65" s="131" t="str">
        <f>'2017 Determination - Revenue'!F$16</f>
        <v>2017-18</v>
      </c>
      <c r="G65" s="131" t="str">
        <f>'2017 Determination - Revenue'!G$16</f>
        <v>2018-19</v>
      </c>
      <c r="H65" s="131" t="str">
        <f>'2017 Determination - Revenue'!H$16</f>
        <v>2019-20</v>
      </c>
      <c r="I65" s="131"/>
      <c r="J65" s="174" t="str">
        <f>J$14</f>
        <v>2017-18</v>
      </c>
      <c r="K65" s="174" t="str">
        <f>K$14</f>
        <v>2018-19</v>
      </c>
      <c r="L65" s="174" t="str">
        <f>L$14</f>
        <v>2019-20</v>
      </c>
      <c r="M65" s="65"/>
      <c r="O65" s="213"/>
      <c r="Q65" s="187"/>
    </row>
    <row r="66" spans="2:17" s="106" customFormat="1">
      <c r="B66" s="66"/>
      <c r="C66" s="53"/>
      <c r="D66" s="53"/>
      <c r="E66" s="53"/>
      <c r="F66" s="132" t="str">
        <f>'2017 Determination - Revenue'!$F$29</f>
        <v>$2016-17</v>
      </c>
      <c r="G66" s="132" t="str">
        <f>'2017 Determination - Revenue'!$F$29</f>
        <v>$2016-17</v>
      </c>
      <c r="H66" s="132" t="str">
        <f>'2017 Determination - Revenue'!$F$29</f>
        <v>$2016-17</v>
      </c>
      <c r="I66" s="190"/>
      <c r="J66" s="309" t="str">
        <f>J$15</f>
        <v>$2017-18</v>
      </c>
      <c r="K66" s="309" t="str">
        <f>K$15</f>
        <v>$2018-19</v>
      </c>
      <c r="L66" s="132" t="str">
        <f>L$15</f>
        <v>$2019-20</v>
      </c>
      <c r="M66" s="68"/>
      <c r="O66" s="213"/>
      <c r="Q66" s="187"/>
    </row>
    <row r="67" spans="2:17" s="106" customFormat="1">
      <c r="B67" s="66"/>
      <c r="C67" s="53"/>
      <c r="D67" s="53"/>
      <c r="E67" s="53"/>
      <c r="F67" s="50"/>
      <c r="G67" s="50"/>
      <c r="H67" s="50"/>
      <c r="I67" s="190"/>
      <c r="J67" s="50"/>
      <c r="K67" s="50"/>
      <c r="L67" s="210"/>
      <c r="M67" s="68"/>
      <c r="O67" s="213"/>
      <c r="Q67" s="187"/>
    </row>
    <row r="68" spans="2:17" s="106" customFormat="1">
      <c r="B68" s="66" t="s">
        <v>88</v>
      </c>
      <c r="C68" s="53"/>
      <c r="D68" s="53"/>
      <c r="E68" s="53"/>
      <c r="F68" s="50"/>
      <c r="G68" s="50"/>
      <c r="H68" s="50"/>
      <c r="I68" s="190"/>
      <c r="J68" s="50"/>
      <c r="K68" s="50"/>
      <c r="L68" s="210"/>
      <c r="M68" s="68"/>
      <c r="O68" s="213"/>
      <c r="Q68" s="187"/>
    </row>
    <row r="69" spans="2:17" s="106" customFormat="1" ht="12" customHeight="1">
      <c r="B69" s="43" t="str">
        <f>'2017 Determination - Revenue'!$B$33</f>
        <v>Border</v>
      </c>
      <c r="C69" s="69" t="str">
        <f>Outputs!$C$27</f>
        <v>$/ML</v>
      </c>
      <c r="D69" s="53"/>
      <c r="E69" s="50"/>
      <c r="F69" s="116">
        <v>0.78386903671713781</v>
      </c>
      <c r="G69" s="116">
        <v>0.78386903671713781</v>
      </c>
      <c r="H69" s="116">
        <v>0.78386903671713781</v>
      </c>
      <c r="I69" s="190"/>
      <c r="J69" s="117">
        <f>ROUND(F69,2)*(1+'2017 Determination - Revenue'!$F$18)</f>
        <v>0.79637999999999998</v>
      </c>
      <c r="K69" s="117">
        <f>ROUND((ROUND(G69,2)*(1+'2017 Determination - Revenue'!$F$18)),2)*(1+'2017 Determination - Revenue'!$G$22)</f>
        <v>0.81519999999999992</v>
      </c>
      <c r="L69" s="117">
        <f>ROUND((ROUND(H69,2)*(1+'2017 Determination - Revenue'!$F$18)),2)*(1+'2017 Determination - Revenue'!$H$22)</f>
        <v>0.82640000000000002</v>
      </c>
      <c r="M69" s="68"/>
      <c r="O69" s="213"/>
      <c r="Q69" s="187"/>
    </row>
    <row r="70" spans="2:17" s="106" customFormat="1">
      <c r="B70" s="43" t="str">
        <f>'2017 Determination - Revenue'!$B$39</f>
        <v>Murray</v>
      </c>
      <c r="C70" s="69" t="str">
        <f>Outputs!$C$27</f>
        <v>$/ML</v>
      </c>
      <c r="D70" s="53"/>
      <c r="E70" s="50"/>
      <c r="F70" s="116">
        <v>1.4985294573379557</v>
      </c>
      <c r="G70" s="116">
        <v>1.4985294573379557</v>
      </c>
      <c r="H70" s="116">
        <v>1.4985294573379557</v>
      </c>
      <c r="I70" s="190"/>
      <c r="J70" s="117">
        <f>ROUND(F70,2)*(1+'2017 Determination - Revenue'!$F$18)</f>
        <v>1.5314999999999999</v>
      </c>
      <c r="K70" s="117">
        <f>ROUND((ROUND(G70,2)*(1+'2017 Determination - Revenue'!$F$18)),2)*(1+'2017 Determination - Revenue'!$G$22)</f>
        <v>1.55907</v>
      </c>
      <c r="L70" s="117">
        <f>ROUND((ROUND(H70,2)*(1+'2017 Determination - Revenue'!$F$18)),2)*(1+'2017 Determination - Revenue'!$H$22)</f>
        <v>1.58049</v>
      </c>
      <c r="M70" s="68"/>
      <c r="O70" s="213"/>
      <c r="Q70" s="187"/>
    </row>
    <row r="71" spans="2:17" s="106" customFormat="1">
      <c r="B71" s="43" t="str">
        <f>'2017 Determination - Revenue'!$B$40</f>
        <v>Murrumbidgee</v>
      </c>
      <c r="C71" s="69" t="str">
        <f>Outputs!$C$27</f>
        <v>$/ML</v>
      </c>
      <c r="D71" s="53"/>
      <c r="E71" s="50"/>
      <c r="F71" s="116">
        <v>0.3005578181756689</v>
      </c>
      <c r="G71" s="116">
        <v>0.3005578181756689</v>
      </c>
      <c r="H71" s="116">
        <v>0.3005578181756689</v>
      </c>
      <c r="I71" s="190"/>
      <c r="J71" s="117">
        <f>ROUND(F71,2)*(1+'2017 Determination - Revenue'!$F$18)</f>
        <v>0.30629999999999996</v>
      </c>
      <c r="K71" s="117">
        <f>ROUND((ROUND(G71,2)*(1+'2017 Determination - Revenue'!$F$18)),2)*(1+'2017 Determination - Revenue'!$G$22)</f>
        <v>0.31588999999999995</v>
      </c>
      <c r="L71" s="117">
        <f>ROUND((ROUND(H71,2)*(1+'2017 Determination - Revenue'!$F$18)),2)*(1+'2017 Determination - Revenue'!$H$22)</f>
        <v>0.32022999999999996</v>
      </c>
      <c r="M71" s="68"/>
      <c r="O71" s="213"/>
      <c r="Q71" s="187"/>
    </row>
    <row r="72" spans="2:17" s="106" customFormat="1">
      <c r="B72" s="43"/>
      <c r="C72" s="69"/>
      <c r="D72" s="53"/>
      <c r="E72" s="53"/>
      <c r="F72" s="168"/>
      <c r="G72" s="168"/>
      <c r="H72" s="50"/>
      <c r="I72" s="190"/>
      <c r="J72" s="210"/>
      <c r="K72" s="117"/>
      <c r="L72" s="117"/>
      <c r="M72" s="68"/>
      <c r="O72" s="213"/>
      <c r="Q72" s="187"/>
    </row>
    <row r="73" spans="2:17" s="106" customFormat="1">
      <c r="B73" s="66" t="s">
        <v>86</v>
      </c>
      <c r="C73" s="53"/>
      <c r="D73" s="53"/>
      <c r="E73" s="53"/>
      <c r="F73" s="169"/>
      <c r="G73" s="169"/>
      <c r="H73" s="50"/>
      <c r="I73" s="190"/>
      <c r="J73" s="210"/>
      <c r="K73" s="117"/>
      <c r="L73" s="117"/>
      <c r="M73" s="68"/>
      <c r="O73" s="213"/>
      <c r="Q73" s="187"/>
    </row>
    <row r="74" spans="2:17" s="106" customFormat="1" ht="12" customHeight="1">
      <c r="B74" s="43" t="str">
        <f>'2017 Determination - Revenue'!$B$33</f>
        <v>Border</v>
      </c>
      <c r="C74" s="69" t="str">
        <f>Outputs!$C$27</f>
        <v>$/ML</v>
      </c>
      <c r="D74" s="53"/>
      <c r="E74" s="50"/>
      <c r="F74" s="116">
        <v>1.7103348160629046</v>
      </c>
      <c r="G74" s="116">
        <v>1.7103348160629046</v>
      </c>
      <c r="H74" s="116">
        <v>1.7103348160629046</v>
      </c>
      <c r="I74" s="190"/>
      <c r="J74" s="117">
        <f>ROUND(F74,2)*(1+'2017 Determination - Revenue'!$F$18)</f>
        <v>1.7459099999999999</v>
      </c>
      <c r="K74" s="117">
        <f>ROUND((ROUND(G74,2)*(1+'2017 Determination - Revenue'!$F$18)),2)*(1+'2017 Determination - Revenue'!$G$22)</f>
        <v>1.7832499999999998</v>
      </c>
      <c r="L74" s="117">
        <f>ROUND((ROUND(H74,2)*(1+'2017 Determination - Revenue'!$F$18)),2)*(1+'2017 Determination - Revenue'!$H$22)</f>
        <v>1.80775</v>
      </c>
      <c r="M74" s="68"/>
      <c r="O74" s="213"/>
      <c r="Q74" s="187"/>
    </row>
    <row r="75" spans="2:17" s="106" customFormat="1">
      <c r="B75" s="43" t="str">
        <f>'2017 Determination - Revenue'!$B$39</f>
        <v>Murray</v>
      </c>
      <c r="C75" s="69" t="str">
        <f>Outputs!$C$27</f>
        <v>$/ML</v>
      </c>
      <c r="D75" s="53"/>
      <c r="E75" s="50"/>
      <c r="F75" s="116">
        <v>3.5616689641805239</v>
      </c>
      <c r="G75" s="116">
        <v>3.5616689641805239</v>
      </c>
      <c r="H75" s="116">
        <v>3.5616689641805239</v>
      </c>
      <c r="I75" s="190"/>
      <c r="J75" s="117">
        <f>ROUND(F75,2)*(1+'2017 Determination - Revenue'!$F$18)</f>
        <v>3.6347599999999995</v>
      </c>
      <c r="K75" s="117">
        <f>ROUND((ROUND(G75,2)*(1+'2017 Determination - Revenue'!$F$18)),2)*(1+'2017 Determination - Revenue'!$G$22)</f>
        <v>3.6989699999999996</v>
      </c>
      <c r="L75" s="117">
        <f>ROUND((ROUND(H75,2)*(1+'2017 Determination - Revenue'!$F$18)),2)*(1+'2017 Determination - Revenue'!$H$22)</f>
        <v>3.7497899999999995</v>
      </c>
      <c r="M75" s="68"/>
      <c r="O75" s="213"/>
      <c r="Q75" s="187"/>
    </row>
    <row r="76" spans="2:17" s="106" customFormat="1">
      <c r="B76" s="43" t="str">
        <f>'2017 Determination - Revenue'!$B$40</f>
        <v>Murrumbidgee</v>
      </c>
      <c r="C76" s="69" t="str">
        <f>Outputs!$C$27</f>
        <v>$/ML</v>
      </c>
      <c r="D76" s="53"/>
      <c r="E76" s="50"/>
      <c r="F76" s="116">
        <v>0.60861535478820739</v>
      </c>
      <c r="G76" s="116">
        <v>0.60861535478820739</v>
      </c>
      <c r="H76" s="116">
        <v>0.60861535478820739</v>
      </c>
      <c r="I76" s="190"/>
      <c r="J76" s="117">
        <f>ROUND(F76,2)*(1+'2017 Determination - Revenue'!$F$18)</f>
        <v>0.62280999999999997</v>
      </c>
      <c r="K76" s="117">
        <f>ROUND((ROUND(G76,2)*(1+'2017 Determination - Revenue'!$F$18)),2)*(1+'2017 Determination - Revenue'!$G$22)</f>
        <v>0.6317799999999999</v>
      </c>
      <c r="L76" s="117">
        <f>ROUND((ROUND(H76,2)*(1+'2017 Determination - Revenue'!$F$18)),2)*(1+'2017 Determination - Revenue'!$H$22)</f>
        <v>0.64045999999999992</v>
      </c>
      <c r="M76" s="68"/>
      <c r="O76" s="213"/>
      <c r="Q76" s="187"/>
    </row>
    <row r="77" spans="2:17" s="106" customFormat="1">
      <c r="B77" s="43"/>
      <c r="C77" s="53"/>
      <c r="D77" s="53"/>
      <c r="E77" s="53"/>
      <c r="F77" s="169"/>
      <c r="G77" s="169"/>
      <c r="H77" s="50"/>
      <c r="I77" s="190"/>
      <c r="J77" s="210"/>
      <c r="K77" s="117"/>
      <c r="L77" s="117"/>
      <c r="M77" s="68"/>
      <c r="O77" s="213"/>
      <c r="Q77" s="187"/>
    </row>
    <row r="78" spans="2:17" s="106" customFormat="1">
      <c r="B78" s="66" t="s">
        <v>87</v>
      </c>
      <c r="C78" s="53"/>
      <c r="D78" s="53"/>
      <c r="E78" s="53"/>
      <c r="F78" s="169"/>
      <c r="G78" s="169"/>
      <c r="H78" s="50"/>
      <c r="I78" s="190"/>
      <c r="J78" s="210"/>
      <c r="K78" s="117"/>
      <c r="L78" s="117"/>
      <c r="M78" s="68"/>
      <c r="O78" s="213"/>
      <c r="Q78" s="187"/>
    </row>
    <row r="79" spans="2:17" s="106" customFormat="1" ht="12" customHeight="1">
      <c r="B79" s="43" t="str">
        <f>'2017 Determination - Revenue'!$B$33</f>
        <v>Border</v>
      </c>
      <c r="C79" s="69" t="str">
        <f>Outputs!$C$27</f>
        <v>$/ML</v>
      </c>
      <c r="D79" s="53"/>
      <c r="E79" s="50"/>
      <c r="F79" s="116">
        <v>4.6050654775877584</v>
      </c>
      <c r="G79" s="116">
        <v>4.6050654775877584</v>
      </c>
      <c r="H79" s="116">
        <v>4.6050654775877584</v>
      </c>
      <c r="I79" s="190"/>
      <c r="J79" s="117">
        <f>ROUND(F79,2)*(1+'2017 Determination - Revenue'!$F$18)</f>
        <v>4.7068099999999999</v>
      </c>
      <c r="K79" s="117">
        <f>ROUND((ROUND(G79,2)*(1+'2017 Determination - Revenue'!$F$18)),2)*(1+'2017 Determination - Revenue'!$G$22)</f>
        <v>4.7994899999999996</v>
      </c>
      <c r="L79" s="117">
        <f>ROUND((ROUND(H79,2)*(1+'2017 Determination - Revenue'!$F$18)),2)*(1+'2017 Determination - Revenue'!$H$22)</f>
        <v>4.8654299999999999</v>
      </c>
      <c r="M79" s="68"/>
      <c r="O79" s="213"/>
      <c r="Q79" s="187"/>
    </row>
    <row r="80" spans="2:17" s="106" customFormat="1">
      <c r="B80" s="43" t="str">
        <f>'2017 Determination - Revenue'!$B$39</f>
        <v>Murray</v>
      </c>
      <c r="C80" s="69" t="str">
        <f>Outputs!$C$27</f>
        <v>$/ML</v>
      </c>
      <c r="D80" s="53"/>
      <c r="E80" s="50"/>
      <c r="F80" s="116">
        <v>7.2658214716513054</v>
      </c>
      <c r="G80" s="116">
        <v>7.2658214716513054</v>
      </c>
      <c r="H80" s="116">
        <v>7.2658214716513054</v>
      </c>
      <c r="I80" s="190"/>
      <c r="J80" s="117">
        <f>ROUND(F80,2)*(1+'2017 Determination - Revenue'!$F$18)</f>
        <v>7.4226699999999992</v>
      </c>
      <c r="K80" s="117">
        <f>ROUND((ROUND(G80,2)*(1+'2017 Determination - Revenue'!$F$18)),2)*(1+'2017 Determination - Revenue'!$G$22)</f>
        <v>7.5609799999999989</v>
      </c>
      <c r="L80" s="117">
        <f>ROUND((ROUND(H80,2)*(1+'2017 Determination - Revenue'!$F$18)),2)*(1+'2017 Determination - Revenue'!$H$22)</f>
        <v>7.6648599999999991</v>
      </c>
      <c r="M80" s="68"/>
      <c r="O80" s="213"/>
      <c r="Q80" s="187"/>
    </row>
    <row r="81" spans="2:26" s="106" customFormat="1">
      <c r="B81" s="43" t="str">
        <f>'2017 Determination - Revenue'!$B$40</f>
        <v>Murrumbidgee</v>
      </c>
      <c r="C81" s="69" t="str">
        <f>Outputs!$C$27</f>
        <v>$/ML</v>
      </c>
      <c r="D81" s="53"/>
      <c r="E81" s="50"/>
      <c r="F81" s="116">
        <v>1.6127560685673548</v>
      </c>
      <c r="G81" s="116">
        <v>1.6127560685673548</v>
      </c>
      <c r="H81" s="116">
        <v>1.6127560685673548</v>
      </c>
      <c r="I81" s="190"/>
      <c r="J81" s="117">
        <f>ROUND(F81,2)*(1+'2017 Determination - Revenue'!$F$18)</f>
        <v>1.64381</v>
      </c>
      <c r="K81" s="117">
        <f>ROUND((ROUND(G81,2)*(1+'2017 Determination - Revenue'!$F$18)),2)*(1+'2017 Determination - Revenue'!$G$22)</f>
        <v>1.6711599999999998</v>
      </c>
      <c r="L81" s="117">
        <f>ROUND((ROUND(H81,2)*(1+'2017 Determination - Revenue'!$F$18)),2)*(1+'2017 Determination - Revenue'!$H$22)</f>
        <v>1.6941199999999998</v>
      </c>
      <c r="M81" s="68"/>
      <c r="O81" s="213"/>
      <c r="Q81" s="187"/>
    </row>
    <row r="82" spans="2:26" s="106" customFormat="1">
      <c r="B82" s="43"/>
      <c r="C82" s="53"/>
      <c r="D82" s="53"/>
      <c r="E82" s="53"/>
      <c r="F82" s="50"/>
      <c r="G82" s="50"/>
      <c r="H82" s="50"/>
      <c r="I82" s="50"/>
      <c r="J82" s="210"/>
      <c r="K82" s="210"/>
      <c r="L82" s="210"/>
      <c r="M82" s="68"/>
      <c r="O82" s="213"/>
      <c r="Q82" s="187"/>
    </row>
    <row r="83" spans="2:26" s="106" customFormat="1">
      <c r="B83" s="45"/>
      <c r="C83" s="74"/>
      <c r="D83" s="74"/>
      <c r="E83" s="74"/>
      <c r="F83" s="56"/>
      <c r="G83" s="56"/>
      <c r="H83" s="56"/>
      <c r="I83" s="189"/>
      <c r="J83" s="56"/>
      <c r="K83" s="56"/>
      <c r="L83" s="56"/>
      <c r="M83" s="72"/>
      <c r="O83" s="213"/>
      <c r="Q83" s="187"/>
    </row>
    <row r="84" spans="2:26" s="106" customFormat="1">
      <c r="B84" s="38"/>
      <c r="C84" s="53"/>
      <c r="D84" s="53"/>
      <c r="E84" s="53"/>
      <c r="F84" s="50"/>
      <c r="G84" s="50"/>
      <c r="H84" s="50"/>
      <c r="I84" s="50"/>
      <c r="J84" s="210"/>
      <c r="K84" s="210"/>
      <c r="L84" s="210"/>
      <c r="O84" s="213"/>
      <c r="Q84" s="187"/>
    </row>
    <row r="85" spans="2:26">
      <c r="B85" s="38"/>
      <c r="C85" s="53"/>
      <c r="D85" s="53"/>
      <c r="E85" s="53"/>
      <c r="F85" s="50"/>
      <c r="G85" s="50"/>
      <c r="H85" s="50"/>
      <c r="I85" s="50"/>
      <c r="J85" s="210"/>
      <c r="K85" s="210"/>
      <c r="L85" s="210"/>
      <c r="O85" s="213"/>
      <c r="P85" s="106"/>
      <c r="Q85" s="187"/>
      <c r="R85" s="106"/>
      <c r="S85" s="106"/>
      <c r="T85" s="106"/>
      <c r="U85" s="106"/>
      <c r="V85" s="106"/>
      <c r="W85" s="106"/>
      <c r="X85" s="106"/>
      <c r="Y85" s="106"/>
    </row>
    <row r="86" spans="2:26">
      <c r="B86" s="62" t="s">
        <v>126</v>
      </c>
      <c r="F86" s="54"/>
      <c r="G86" s="54"/>
      <c r="H86" s="54"/>
      <c r="I86" s="54"/>
      <c r="J86" s="213"/>
      <c r="K86" s="213"/>
      <c r="L86" s="213"/>
      <c r="O86" s="213"/>
      <c r="P86" s="106"/>
      <c r="Q86" s="187"/>
      <c r="R86" s="106"/>
      <c r="S86" s="106"/>
      <c r="T86" s="106"/>
      <c r="U86" s="106"/>
      <c r="V86" s="106"/>
      <c r="W86" s="106"/>
      <c r="X86" s="106"/>
      <c r="Y86" s="106"/>
    </row>
    <row r="87" spans="2:26">
      <c r="B87" s="63" t="str">
        <f>'2017 Determination - Revenue'!B$16</f>
        <v>Financial year</v>
      </c>
      <c r="C87" s="64" t="str">
        <f>'2017 Determination - Revenue'!C$28</f>
        <v>Units</v>
      </c>
      <c r="D87" s="51"/>
      <c r="E87" s="51"/>
      <c r="F87" s="131" t="str">
        <f>'2017 Determination - Revenue'!F$16</f>
        <v>2017-18</v>
      </c>
      <c r="G87" s="131" t="str">
        <f>'2017 Determination - Revenue'!G$16</f>
        <v>2018-19</v>
      </c>
      <c r="H87" s="131" t="str">
        <f>'2017 Determination - Revenue'!H$16</f>
        <v>2019-20</v>
      </c>
      <c r="I87" s="131"/>
      <c r="J87" s="174" t="str">
        <f>J$48</f>
        <v>2017-18</v>
      </c>
      <c r="K87" s="174" t="str">
        <f>K$48</f>
        <v>2018-19</v>
      </c>
      <c r="L87" s="174" t="str">
        <f>L$14</f>
        <v>2019-20</v>
      </c>
      <c r="M87" s="65"/>
      <c r="O87" s="213"/>
      <c r="P87" s="106"/>
      <c r="Q87" s="187"/>
      <c r="R87" s="106"/>
      <c r="S87" s="106"/>
      <c r="T87" s="106"/>
      <c r="U87" s="106"/>
      <c r="V87" s="106"/>
      <c r="W87" s="106"/>
      <c r="X87" s="106"/>
      <c r="Y87" s="106"/>
    </row>
    <row r="88" spans="2:26">
      <c r="B88" s="66"/>
      <c r="C88" s="53"/>
      <c r="D88" s="53"/>
      <c r="E88" s="53"/>
      <c r="F88" s="132" t="str">
        <f>'2017 Determination - Revenue'!$F$29</f>
        <v>$2016-17</v>
      </c>
      <c r="G88" s="132" t="str">
        <f>'2017 Determination - Revenue'!$F$29</f>
        <v>$2016-17</v>
      </c>
      <c r="H88" s="132" t="str">
        <f>'2017 Determination - Revenue'!$F$29</f>
        <v>$2016-17</v>
      </c>
      <c r="I88" s="190"/>
      <c r="J88" s="309" t="str">
        <f>$K$15</f>
        <v>$2018-19</v>
      </c>
      <c r="K88" s="309" t="str">
        <f>$K$15</f>
        <v>$2018-19</v>
      </c>
      <c r="L88" s="132" t="str">
        <f>L$15</f>
        <v>$2019-20</v>
      </c>
      <c r="M88" s="68"/>
      <c r="O88" s="213"/>
      <c r="P88" s="106"/>
      <c r="Q88" s="187"/>
      <c r="R88" s="106"/>
      <c r="S88" s="106"/>
      <c r="T88" s="106"/>
      <c r="U88" s="106"/>
      <c r="V88" s="106"/>
      <c r="W88" s="106"/>
      <c r="X88" s="106"/>
      <c r="Y88" s="106"/>
      <c r="Z88" s="106"/>
    </row>
    <row r="89" spans="2:26">
      <c r="B89" s="66"/>
      <c r="C89" s="53"/>
      <c r="D89" s="53"/>
      <c r="E89" s="53"/>
      <c r="F89" s="50"/>
      <c r="G89" s="50"/>
      <c r="H89" s="50"/>
      <c r="I89" s="50"/>
      <c r="J89" s="50"/>
      <c r="K89" s="50"/>
      <c r="L89" s="210"/>
      <c r="M89" s="68"/>
      <c r="O89" s="213"/>
      <c r="P89" s="106"/>
      <c r="Q89" s="187"/>
      <c r="R89" s="106"/>
      <c r="S89" s="106"/>
      <c r="T89" s="106"/>
      <c r="U89" s="106"/>
      <c r="V89" s="106"/>
      <c r="W89" s="106"/>
      <c r="X89" s="106"/>
      <c r="Y89" s="106"/>
      <c r="Z89" s="106"/>
    </row>
    <row r="90" spans="2:26">
      <c r="B90" s="66" t="s">
        <v>45</v>
      </c>
      <c r="C90" s="53"/>
      <c r="D90" s="53"/>
      <c r="E90" s="53"/>
      <c r="F90" s="50"/>
      <c r="G90" s="50"/>
      <c r="H90" s="50"/>
      <c r="I90" s="50"/>
      <c r="J90" s="50"/>
      <c r="K90" s="50"/>
      <c r="L90" s="210"/>
      <c r="M90" s="68"/>
      <c r="O90" s="213"/>
      <c r="P90" s="106"/>
      <c r="Q90" s="187"/>
      <c r="R90" s="106"/>
      <c r="S90" s="106"/>
      <c r="T90" s="106"/>
      <c r="U90" s="106"/>
      <c r="V90" s="106"/>
      <c r="W90" s="106"/>
      <c r="X90" s="106"/>
      <c r="Y90" s="106"/>
      <c r="Z90" s="106"/>
    </row>
    <row r="91" spans="2:26" ht="12" customHeight="1">
      <c r="B91" s="76" t="str">
        <f>'Updated Volumes'!B$31</f>
        <v xml:space="preserve">Energy Australia </v>
      </c>
      <c r="C91" s="69" t="str">
        <f>Outputs!$C$148</f>
        <v>$/KL</v>
      </c>
      <c r="D91" s="53"/>
      <c r="E91" s="50"/>
      <c r="F91" s="116">
        <v>0.3916320430805259</v>
      </c>
      <c r="G91" s="116">
        <v>0.3916320430805259</v>
      </c>
      <c r="H91" s="116">
        <v>0.3916320430805259</v>
      </c>
      <c r="I91" s="50"/>
      <c r="J91" s="117">
        <f>ROUND(F91,2)*(1+'2017 Determination - Revenue'!$F$18)</f>
        <v>0.39818999999999999</v>
      </c>
      <c r="K91" s="117">
        <f>ROUND((ROUND(G91,2)*(1+'2017 Determination - Revenue'!$F$18)),2)*(1+'2017 Determination - Revenue'!$G$22)</f>
        <v>0.40759999999999996</v>
      </c>
      <c r="L91" s="117">
        <f>ROUND((ROUND(H91,2)*(1+'2017 Determination - Revenue'!$F$18)),2)*(1+'2017 Determination - Revenue'!$H$22)</f>
        <v>0.41320000000000001</v>
      </c>
      <c r="M91" s="68"/>
      <c r="O91" s="213"/>
      <c r="P91" s="106"/>
      <c r="Q91" s="187"/>
      <c r="R91" s="106"/>
      <c r="S91" s="106"/>
      <c r="T91" s="106"/>
      <c r="U91" s="106"/>
      <c r="V91" s="106"/>
      <c r="W91" s="106"/>
      <c r="X91" s="106"/>
      <c r="Y91" s="106"/>
      <c r="Z91" s="106"/>
    </row>
    <row r="92" spans="2:26" s="106" customFormat="1" ht="12" customHeight="1">
      <c r="B92" s="76" t="str">
        <f>'Updated Volumes'!B$32</f>
        <v xml:space="preserve">Minor customers (raw) </v>
      </c>
      <c r="C92" s="69" t="str">
        <f>Outputs!$C$148</f>
        <v>$/KL</v>
      </c>
      <c r="D92" s="53"/>
      <c r="E92" s="50"/>
      <c r="F92" s="116">
        <v>0.3916320430805259</v>
      </c>
      <c r="G92" s="116">
        <v>0.3916320430805259</v>
      </c>
      <c r="H92" s="116">
        <v>0.3916320430805259</v>
      </c>
      <c r="I92" s="50"/>
      <c r="J92" s="117">
        <f>ROUND(F92,2)*(1+'2017 Determination - Revenue'!$F$18)</f>
        <v>0.39818999999999999</v>
      </c>
      <c r="K92" s="117">
        <f>ROUND((ROUND(G92,2)*(1+'2017 Determination - Revenue'!$F$18)),2)*(1+'2017 Determination - Revenue'!$G$22)</f>
        <v>0.40759999999999996</v>
      </c>
      <c r="L92" s="117">
        <f>ROUND((ROUND(H92,2)*(1+'2017 Determination - Revenue'!$F$18)),2)*(1+'2017 Determination - Revenue'!$H$22)</f>
        <v>0.41320000000000001</v>
      </c>
      <c r="M92" s="68"/>
      <c r="O92" s="213"/>
      <c r="Q92" s="187"/>
    </row>
    <row r="93" spans="2:26">
      <c r="B93" s="76" t="str">
        <f>'Updated Volumes'!B$33</f>
        <v xml:space="preserve">Minor customers (filtered) </v>
      </c>
      <c r="C93" s="69" t="str">
        <f>Outputs!$C$148</f>
        <v>$/KL</v>
      </c>
      <c r="D93" s="53"/>
      <c r="E93" s="50"/>
      <c r="F93" s="116">
        <v>0.7580403009206228</v>
      </c>
      <c r="G93" s="116">
        <v>0.7580403009206228</v>
      </c>
      <c r="H93" s="116">
        <v>0.7580403009206228</v>
      </c>
      <c r="I93" s="50"/>
      <c r="J93" s="117">
        <f>ROUND(F93,2)*(1+'2017 Determination - Revenue'!$F$18)</f>
        <v>0.77595999999999998</v>
      </c>
      <c r="K93" s="117">
        <f>ROUND((ROUND(G93,2)*(1+'2017 Determination - Revenue'!$F$18)),2)*(1+'2017 Determination - Revenue'!$G$22)</f>
        <v>0.79481999999999997</v>
      </c>
      <c r="L93" s="117">
        <f>ROUND((ROUND(H93,2)*(1+'2017 Determination - Revenue'!$F$18)),2)*(1+'2017 Determination - Revenue'!$H$22)</f>
        <v>0.80574000000000001</v>
      </c>
      <c r="M93" s="68"/>
      <c r="O93" s="213"/>
      <c r="P93" s="106"/>
      <c r="Q93" s="187"/>
      <c r="R93" s="106"/>
      <c r="S93" s="106"/>
      <c r="T93" s="106"/>
      <c r="U93" s="106"/>
      <c r="V93" s="106"/>
      <c r="W93" s="106"/>
      <c r="X93" s="106"/>
      <c r="Y93" s="106"/>
      <c r="Z93" s="106"/>
    </row>
    <row r="94" spans="2:26">
      <c r="B94" s="76"/>
      <c r="C94" s="53"/>
      <c r="D94" s="53"/>
      <c r="E94" s="50"/>
      <c r="F94" s="50"/>
      <c r="G94" s="50"/>
      <c r="H94" s="50"/>
      <c r="I94" s="50"/>
      <c r="J94" s="210"/>
      <c r="K94" s="117"/>
      <c r="L94" s="117"/>
      <c r="M94" s="68"/>
      <c r="O94" s="213"/>
      <c r="P94" s="106"/>
      <c r="Q94" s="187"/>
      <c r="R94" s="106"/>
      <c r="S94" s="106"/>
      <c r="T94" s="106"/>
      <c r="U94" s="106"/>
      <c r="V94" s="106"/>
      <c r="W94" s="106"/>
      <c r="X94" s="106"/>
      <c r="Y94" s="106"/>
      <c r="Z94" s="106"/>
    </row>
    <row r="95" spans="2:26">
      <c r="B95" s="66" t="s">
        <v>46</v>
      </c>
      <c r="C95" s="53"/>
      <c r="D95" s="53"/>
      <c r="E95" s="50"/>
      <c r="F95" s="50"/>
      <c r="G95" s="50"/>
      <c r="H95" s="50"/>
      <c r="I95" s="50"/>
      <c r="J95" s="210"/>
      <c r="K95" s="117"/>
      <c r="L95" s="117"/>
      <c r="M95" s="68"/>
      <c r="O95" s="213"/>
      <c r="P95" s="106"/>
      <c r="Q95" s="187"/>
      <c r="R95" s="106"/>
      <c r="S95" s="106"/>
      <c r="T95" s="106"/>
      <c r="U95" s="106"/>
      <c r="V95" s="106"/>
      <c r="W95" s="106"/>
      <c r="X95" s="106"/>
      <c r="Y95" s="106"/>
      <c r="Z95" s="106"/>
    </row>
    <row r="96" spans="2:26">
      <c r="B96" s="76" t="str">
        <f>'Updated Volumes'!B$31</f>
        <v xml:space="preserve">Energy Australia </v>
      </c>
      <c r="C96" s="69" t="str">
        <f>Outputs!$C$148</f>
        <v>$/KL</v>
      </c>
      <c r="D96" s="53"/>
      <c r="E96" s="50"/>
      <c r="F96" s="116">
        <v>0.24476949700441</v>
      </c>
      <c r="G96" s="116">
        <v>0.24476949700441</v>
      </c>
      <c r="H96" s="116">
        <v>0.24476949700441</v>
      </c>
      <c r="I96" s="50"/>
      <c r="J96" s="117">
        <f>ROUND(F96,2)*(1+'2017 Determination - Revenue'!$F$18)</f>
        <v>0.24503999999999998</v>
      </c>
      <c r="K96" s="117">
        <f>ROUND((ROUND(G96,2)*(1+'2017 Determination - Revenue'!$F$18)),2)*(1+'2017 Determination - Revenue'!$G$22)</f>
        <v>0.25474999999999998</v>
      </c>
      <c r="L96" s="117">
        <f>ROUND((ROUND(H96,2)*(1+'2017 Determination - Revenue'!$F$18)),2)*(1+'2017 Determination - Revenue'!$H$22)</f>
        <v>0.25824999999999998</v>
      </c>
      <c r="M96" s="68"/>
      <c r="O96" s="213"/>
      <c r="P96" s="106"/>
      <c r="Q96" s="187"/>
      <c r="R96" s="106"/>
      <c r="S96" s="106"/>
      <c r="T96" s="106"/>
      <c r="U96" s="106"/>
      <c r="V96" s="106"/>
      <c r="W96" s="106"/>
      <c r="X96" s="106"/>
      <c r="Y96" s="106"/>
      <c r="Z96" s="106"/>
    </row>
    <row r="97" spans="2:26" s="106" customFormat="1">
      <c r="B97" s="76" t="str">
        <f>'Updated Volumes'!B$32</f>
        <v xml:space="preserve">Minor customers (raw) </v>
      </c>
      <c r="C97" s="69" t="str">
        <f>Outputs!$C$148</f>
        <v>$/KL</v>
      </c>
      <c r="D97" s="53"/>
      <c r="E97" s="50"/>
      <c r="F97" s="116">
        <v>0.24476949700441</v>
      </c>
      <c r="G97" s="116">
        <v>0.24476949700441</v>
      </c>
      <c r="H97" s="116">
        <v>0.24476949700441</v>
      </c>
      <c r="I97" s="50"/>
      <c r="J97" s="117">
        <f>ROUND(F97,2)*(1+'2017 Determination - Revenue'!$F$18)</f>
        <v>0.24503999999999998</v>
      </c>
      <c r="K97" s="117">
        <f>ROUND((ROUND(G97,2)*(1+'2017 Determination - Revenue'!$F$18)),2)*(1+'2017 Determination - Revenue'!$G$22)</f>
        <v>0.25474999999999998</v>
      </c>
      <c r="L97" s="117">
        <f>ROUND((ROUND(H97,2)*(1+'2017 Determination - Revenue'!$F$18)),2)*(1+'2017 Determination - Revenue'!$H$22)</f>
        <v>0.25824999999999998</v>
      </c>
      <c r="M97" s="68"/>
      <c r="O97" s="213"/>
      <c r="Q97" s="187"/>
    </row>
    <row r="98" spans="2:26">
      <c r="B98" s="76" t="str">
        <f>'Updated Volumes'!B$33</f>
        <v xml:space="preserve">Minor customers (filtered) </v>
      </c>
      <c r="C98" s="69" t="str">
        <f>Outputs!$C$148</f>
        <v>$/KL</v>
      </c>
      <c r="D98" s="53"/>
      <c r="E98" s="50"/>
      <c r="F98" s="116">
        <v>0.45655147010905456</v>
      </c>
      <c r="G98" s="116">
        <v>0.45655147010905456</v>
      </c>
      <c r="H98" s="116">
        <v>0.45655147010905456</v>
      </c>
      <c r="I98" s="50"/>
      <c r="J98" s="117">
        <f>ROUND(F98,2)*(1+'2017 Determination - Revenue'!$F$18)</f>
        <v>0.46965999999999997</v>
      </c>
      <c r="K98" s="117">
        <f>ROUND((ROUND(G98,2)*(1+'2017 Determination - Revenue'!$F$18)),2)*(1+'2017 Determination - Revenue'!$G$22)</f>
        <v>0.47892999999999991</v>
      </c>
      <c r="L98" s="117">
        <f>ROUND((ROUND(H98,2)*(1+'2017 Determination - Revenue'!$F$18)),2)*(1+'2017 Determination - Revenue'!$H$22)</f>
        <v>0.48550999999999994</v>
      </c>
      <c r="M98" s="68"/>
      <c r="O98" s="213"/>
      <c r="P98" s="106"/>
      <c r="Q98" s="187"/>
      <c r="R98" s="106"/>
      <c r="S98" s="106"/>
      <c r="T98" s="106"/>
      <c r="U98" s="106"/>
      <c r="V98" s="106"/>
      <c r="W98" s="106"/>
      <c r="X98" s="106"/>
      <c r="Y98" s="106"/>
      <c r="Z98" s="106"/>
    </row>
    <row r="99" spans="2:26">
      <c r="B99" s="76"/>
      <c r="C99" s="53"/>
      <c r="D99" s="53"/>
      <c r="E99" s="50"/>
      <c r="F99" s="50"/>
      <c r="G99" s="50"/>
      <c r="H99" s="50"/>
      <c r="I99" s="50"/>
      <c r="J99" s="210"/>
      <c r="K99" s="117"/>
      <c r="L99" s="117"/>
      <c r="M99" s="68"/>
      <c r="O99" s="213"/>
      <c r="P99" s="106"/>
      <c r="Q99" s="187"/>
      <c r="R99" s="106"/>
      <c r="S99" s="106"/>
      <c r="T99" s="106"/>
      <c r="U99" s="106"/>
      <c r="V99" s="106"/>
      <c r="W99" s="106"/>
      <c r="X99" s="106"/>
      <c r="Y99" s="106"/>
      <c r="Z99" s="106"/>
    </row>
    <row r="100" spans="2:26">
      <c r="B100" s="66" t="s">
        <v>47</v>
      </c>
      <c r="C100" s="53"/>
      <c r="D100" s="53"/>
      <c r="E100" s="50"/>
      <c r="F100" s="50"/>
      <c r="G100" s="50"/>
      <c r="H100" s="50"/>
      <c r="I100" s="50"/>
      <c r="J100" s="210"/>
      <c r="K100" s="117"/>
      <c r="L100" s="117"/>
      <c r="M100" s="68"/>
      <c r="O100" s="213"/>
      <c r="P100" s="106"/>
      <c r="Q100" s="187"/>
      <c r="R100" s="106"/>
      <c r="S100" s="106"/>
      <c r="T100" s="106"/>
      <c r="U100" s="106"/>
      <c r="V100" s="106"/>
      <c r="W100" s="106"/>
      <c r="X100" s="106"/>
      <c r="Y100" s="106"/>
      <c r="Z100" s="106"/>
    </row>
    <row r="101" spans="2:26">
      <c r="B101" s="76" t="str">
        <f>'Updated Volumes'!B$31</f>
        <v xml:space="preserve">Energy Australia </v>
      </c>
      <c r="C101" s="69" t="str">
        <f>Outputs!$C$148</f>
        <v>$/KL</v>
      </c>
      <c r="D101" s="53"/>
      <c r="E101" s="50"/>
      <c r="F101" s="195">
        <f>F91+F96</f>
        <v>0.63640154008493588</v>
      </c>
      <c r="G101" s="195">
        <f>G91+G96</f>
        <v>0.63640154008493588</v>
      </c>
      <c r="H101" s="195">
        <f>H91+H96</f>
        <v>0.63640154008493588</v>
      </c>
      <c r="I101" s="50"/>
      <c r="J101" s="117">
        <f>ROUND(J91,2)+ROUND(J96,2)</f>
        <v>0.65</v>
      </c>
      <c r="K101" s="117">
        <f t="shared" ref="K101:L101" si="0">ROUND(K91,2)+ROUND(K96,2)</f>
        <v>0.65999999999999992</v>
      </c>
      <c r="L101" s="117">
        <f t="shared" si="0"/>
        <v>0.66999999999999993</v>
      </c>
      <c r="M101" s="68"/>
      <c r="O101" s="213"/>
      <c r="P101" s="106"/>
      <c r="Q101" s="187"/>
      <c r="R101" s="106"/>
      <c r="S101" s="106"/>
      <c r="T101" s="106"/>
      <c r="U101" s="106"/>
      <c r="V101" s="106"/>
      <c r="W101" s="106"/>
      <c r="X101" s="106"/>
      <c r="Y101" s="106"/>
      <c r="Z101" s="106"/>
    </row>
    <row r="102" spans="2:26" s="106" customFormat="1">
      <c r="B102" s="76" t="str">
        <f>'Updated Volumes'!B$32</f>
        <v xml:space="preserve">Minor customers (raw) </v>
      </c>
      <c r="C102" s="69" t="str">
        <f>Outputs!$C$148</f>
        <v>$/KL</v>
      </c>
      <c r="D102" s="53"/>
      <c r="E102" s="50"/>
      <c r="F102" s="195">
        <f t="shared" ref="F102:H103" si="1">F92+F97</f>
        <v>0.63640154008493588</v>
      </c>
      <c r="G102" s="195">
        <f t="shared" si="1"/>
        <v>0.63640154008493588</v>
      </c>
      <c r="H102" s="195">
        <f t="shared" si="1"/>
        <v>0.63640154008493588</v>
      </c>
      <c r="I102" s="50"/>
      <c r="J102" s="117">
        <f t="shared" ref="J102:L102" si="2">ROUND(J92,2)+ROUND(J97,2)</f>
        <v>0.65</v>
      </c>
      <c r="K102" s="117">
        <f t="shared" si="2"/>
        <v>0.65999999999999992</v>
      </c>
      <c r="L102" s="117">
        <f t="shared" si="2"/>
        <v>0.66999999999999993</v>
      </c>
      <c r="M102" s="68"/>
      <c r="O102" s="213"/>
      <c r="Q102" s="187"/>
    </row>
    <row r="103" spans="2:26">
      <c r="B103" s="76" t="str">
        <f>'Updated Volumes'!B$33</f>
        <v xml:space="preserve">Minor customers (filtered) </v>
      </c>
      <c r="C103" s="69" t="str">
        <f>Outputs!$C$148</f>
        <v>$/KL</v>
      </c>
      <c r="D103" s="53"/>
      <c r="E103" s="50"/>
      <c r="F103" s="195">
        <f t="shared" si="1"/>
        <v>1.2145917710296774</v>
      </c>
      <c r="G103" s="195">
        <f t="shared" si="1"/>
        <v>1.2145917710296774</v>
      </c>
      <c r="H103" s="195">
        <f t="shared" si="1"/>
        <v>1.2145917710296774</v>
      </c>
      <c r="I103" s="50"/>
      <c r="J103" s="117">
        <f t="shared" ref="J103:L103" si="3">ROUND(J93,2)+ROUND(J98,2)</f>
        <v>1.25</v>
      </c>
      <c r="K103" s="117">
        <f t="shared" si="3"/>
        <v>1.27</v>
      </c>
      <c r="L103" s="117">
        <f t="shared" si="3"/>
        <v>1.3</v>
      </c>
      <c r="M103" s="68"/>
      <c r="O103" s="213"/>
      <c r="P103" s="106"/>
      <c r="Q103" s="187"/>
      <c r="R103" s="106"/>
      <c r="S103" s="106"/>
      <c r="T103" s="106"/>
      <c r="U103" s="106"/>
      <c r="V103" s="106"/>
      <c r="W103" s="106"/>
      <c r="X103" s="106"/>
      <c r="Y103" s="106"/>
      <c r="Z103" s="106"/>
    </row>
    <row r="104" spans="2:26">
      <c r="B104" s="77"/>
      <c r="C104" s="74"/>
      <c r="D104" s="74"/>
      <c r="E104" s="74"/>
      <c r="F104" s="74"/>
      <c r="G104" s="74"/>
      <c r="H104" s="74"/>
      <c r="I104" s="192"/>
      <c r="J104" s="74"/>
      <c r="K104" s="74"/>
      <c r="L104" s="56"/>
      <c r="M104" s="72"/>
      <c r="O104" s="213"/>
      <c r="P104" s="106"/>
      <c r="Q104" s="187"/>
      <c r="R104" s="106"/>
      <c r="S104" s="106"/>
      <c r="T104" s="106"/>
      <c r="U104" s="106"/>
      <c r="V104" s="106"/>
      <c r="W104" s="106"/>
      <c r="X104" s="106"/>
      <c r="Y104" s="106"/>
      <c r="Z104" s="106"/>
    </row>
    <row r="105" spans="2:26">
      <c r="O105" s="213"/>
      <c r="P105" s="106"/>
      <c r="Q105" s="187"/>
      <c r="R105" s="106"/>
      <c r="S105" s="106"/>
      <c r="T105" s="106"/>
      <c r="U105" s="106"/>
      <c r="V105" s="106"/>
      <c r="W105" s="106"/>
      <c r="X105" s="106"/>
      <c r="Y105" s="106"/>
      <c r="Z105" s="106"/>
    </row>
    <row r="106" spans="2:26">
      <c r="O106" s="213"/>
    </row>
    <row r="107" spans="2:26">
      <c r="F107" s="109"/>
      <c r="O107" s="213"/>
    </row>
    <row r="108" spans="2:26">
      <c r="G108" s="109"/>
      <c r="O108" s="213"/>
    </row>
    <row r="109" spans="2:26">
      <c r="G109" s="109"/>
      <c r="O109" s="213"/>
    </row>
    <row r="110" spans="2:26">
      <c r="G110" s="10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2060"/>
  </sheetPr>
  <dimension ref="B2:W379"/>
  <sheetViews>
    <sheetView showGridLines="0" topLeftCell="B157" zoomScaleNormal="100" workbookViewId="0">
      <selection activeCell="Q31" sqref="Q30:Q31"/>
    </sheetView>
  </sheetViews>
  <sheetFormatPr defaultColWidth="9.09765625" defaultRowHeight="11.5" outlineLevelRow="1" outlineLevelCol="1"/>
  <cols>
    <col min="1" max="1" width="2.69921875" style="32" customWidth="1"/>
    <col min="2" max="2" width="40.69921875" style="32" customWidth="1"/>
    <col min="3" max="3" width="9" style="32" customWidth="1"/>
    <col min="4" max="5" width="5.69921875" style="32" customWidth="1"/>
    <col min="6" max="6" width="12.09765625" style="32" customWidth="1"/>
    <col min="7" max="7" width="13.09765625" style="32" customWidth="1"/>
    <col min="8" max="8" width="13.09765625" style="110" customWidth="1"/>
    <col min="9" max="9" width="17.3984375" style="32" bestFit="1" customWidth="1"/>
    <col min="10" max="10" width="19.3984375" style="32" customWidth="1" outlineLevel="1"/>
    <col min="11" max="11" width="15.8984375" style="110" customWidth="1" outlineLevel="1"/>
    <col min="12" max="12" width="21.09765625" style="32" customWidth="1" outlineLevel="1"/>
    <col min="13" max="13" width="4.3984375" style="110" customWidth="1" outlineLevel="1"/>
    <col min="14" max="14" width="14.3984375" style="110" customWidth="1" outlineLevel="1"/>
    <col min="15" max="16" width="21.09765625" style="110" customWidth="1" outlineLevel="1"/>
    <col min="17" max="18" width="19" style="110" customWidth="1"/>
    <col min="19" max="19" width="9.09765625" style="213"/>
    <col min="20" max="22" width="14.59765625" style="32" customWidth="1"/>
    <col min="23" max="16384" width="9.09765625" style="32"/>
  </cols>
  <sheetData>
    <row r="2" spans="2:19" ht="18">
      <c r="B2" s="35" t="s">
        <v>127</v>
      </c>
    </row>
    <row r="3" spans="2:19">
      <c r="B3" s="32" t="s">
        <v>38</v>
      </c>
    </row>
    <row r="4" spans="2:19">
      <c r="J4" s="110"/>
    </row>
    <row r="5" spans="2:19">
      <c r="B5" s="38" t="s">
        <v>28</v>
      </c>
      <c r="C5" s="38"/>
      <c r="D5" s="38"/>
      <c r="J5" s="39" t="s">
        <v>29</v>
      </c>
      <c r="K5" s="32"/>
    </row>
    <row r="6" spans="2:19" s="110" customFormat="1">
      <c r="B6" s="55" t="str">
        <f>B20</f>
        <v xml:space="preserve">CHARGES </v>
      </c>
      <c r="C6" s="41"/>
      <c r="D6" s="41"/>
      <c r="E6" s="41"/>
      <c r="F6" s="41"/>
      <c r="G6" s="41"/>
      <c r="H6" s="41"/>
      <c r="I6" s="41"/>
      <c r="J6" s="139"/>
      <c r="S6" s="213"/>
    </row>
    <row r="7" spans="2:19" s="81" customFormat="1">
      <c r="B7" s="38" t="str">
        <f>B22</f>
        <v>TABLE 4.1 - TOTAL CHARGES FOR MDB CUSTOMERS</v>
      </c>
      <c r="C7" s="151"/>
      <c r="D7" s="151"/>
      <c r="E7" s="151"/>
      <c r="F7" s="151"/>
      <c r="G7" s="151"/>
      <c r="H7" s="151"/>
      <c r="I7" s="151"/>
      <c r="J7" s="151">
        <f>ROW(B22)</f>
        <v>22</v>
      </c>
      <c r="S7" s="281"/>
    </row>
    <row r="8" spans="2:19">
      <c r="B8" s="38" t="str">
        <f>B63</f>
        <v>TABLE 4.2 - WaterNSW CHARGES</v>
      </c>
      <c r="C8" s="38"/>
      <c r="D8" s="38"/>
      <c r="E8" s="38"/>
      <c r="F8" s="38"/>
      <c r="G8" s="38"/>
      <c r="H8" s="38"/>
      <c r="I8" s="38"/>
      <c r="J8" s="38">
        <f>ROW(B63)</f>
        <v>63</v>
      </c>
      <c r="K8" s="32"/>
    </row>
    <row r="9" spans="2:19">
      <c r="B9" s="38" t="str">
        <f>B103</f>
        <v>TABLE 4.3 - MDBA/BRC CHARGES</v>
      </c>
      <c r="C9" s="38"/>
      <c r="D9" s="38"/>
      <c r="E9" s="38"/>
      <c r="F9" s="38"/>
      <c r="G9" s="38"/>
      <c r="H9" s="38"/>
      <c r="I9" s="38"/>
      <c r="J9" s="38">
        <f>ROW(B103)</f>
        <v>103</v>
      </c>
    </row>
    <row r="10" spans="2:19" s="110" customFormat="1">
      <c r="B10" s="38" t="str">
        <f>B143</f>
        <v>TABLE 4.4 - FISH RIVER WATER SUPPLY SCHEME CHARGES</v>
      </c>
      <c r="C10" s="38"/>
      <c r="D10" s="38"/>
      <c r="E10" s="38"/>
      <c r="F10" s="38"/>
      <c r="G10" s="38"/>
      <c r="H10" s="38"/>
      <c r="I10" s="38"/>
      <c r="J10" s="38">
        <f>ROW(B143)</f>
        <v>143</v>
      </c>
      <c r="S10" s="213"/>
    </row>
    <row r="11" spans="2:19" s="110" customFormat="1">
      <c r="B11" s="118" t="str">
        <f>B164</f>
        <v xml:space="preserve">CUSTOMER BILLS </v>
      </c>
      <c r="C11" s="38"/>
      <c r="D11" s="38"/>
      <c r="E11" s="38"/>
      <c r="F11" s="38"/>
      <c r="G11" s="38"/>
      <c r="H11" s="38"/>
      <c r="I11" s="38"/>
      <c r="J11" s="38"/>
      <c r="S11" s="213"/>
    </row>
    <row r="12" spans="2:19" s="110" customFormat="1">
      <c r="B12" s="38" t="str">
        <f>B166</f>
        <v>TABLE 4.5 - INDICATIVE BILLS FOR HIGH SECURITY CUSTOMERS  - WaterNSW CHARGES</v>
      </c>
      <c r="C12" s="38"/>
      <c r="D12" s="38"/>
      <c r="E12" s="38"/>
      <c r="F12" s="38"/>
      <c r="G12" s="38"/>
      <c r="H12" s="38"/>
      <c r="I12" s="38"/>
      <c r="J12" s="38">
        <f>ROW(B166)</f>
        <v>166</v>
      </c>
      <c r="S12" s="213"/>
    </row>
    <row r="13" spans="2:19" s="110" customFormat="1">
      <c r="B13" s="38" t="str">
        <f>B205</f>
        <v>TABLE 4.6 - INDICATIVE BILLS FOR GENERAL SECURITY CUSTOMERS  - WaterNSW CHARGES</v>
      </c>
      <c r="C13" s="38"/>
      <c r="D13" s="38"/>
      <c r="E13" s="38"/>
      <c r="F13" s="38"/>
      <c r="G13" s="38"/>
      <c r="H13" s="38"/>
      <c r="I13" s="38"/>
      <c r="J13" s="38">
        <f>ROW(B205)</f>
        <v>205</v>
      </c>
      <c r="S13" s="213"/>
    </row>
    <row r="14" spans="2:19" s="110" customFormat="1">
      <c r="B14" s="38" t="str">
        <f>B244</f>
        <v>TABLE 4.7 - INDICATIVE BILLS FOR HIGH SECURITY AND GENERAL SECURITY CUSTOMERS - MDBA/BRC CHARGES</v>
      </c>
      <c r="C14" s="38"/>
      <c r="D14" s="38"/>
      <c r="E14" s="38"/>
      <c r="F14" s="38"/>
      <c r="G14" s="38"/>
      <c r="H14" s="38"/>
      <c r="I14" s="38"/>
      <c r="J14" s="38">
        <f>ROW(B244)</f>
        <v>244</v>
      </c>
      <c r="S14" s="213"/>
    </row>
    <row r="15" spans="2:19" s="110" customFormat="1">
      <c r="B15" s="38" t="str">
        <f>B281</f>
        <v>TABLE 4.8 - INDICATIVE BILLS FOR CUSTOMERS IN THE FRWS</v>
      </c>
      <c r="C15" s="38"/>
      <c r="D15" s="38"/>
      <c r="E15" s="38"/>
      <c r="F15" s="38"/>
      <c r="G15" s="38"/>
      <c r="H15" s="38"/>
      <c r="I15" s="38"/>
      <c r="J15" s="38">
        <f>ROW(B281)</f>
        <v>281</v>
      </c>
      <c r="S15" s="213"/>
    </row>
    <row r="16" spans="2:19" s="110" customFormat="1">
      <c r="B16" s="118" t="str">
        <f>B292</f>
        <v>REVENUE FORECASTS</v>
      </c>
      <c r="C16" s="38"/>
      <c r="D16" s="38"/>
      <c r="E16" s="38"/>
      <c r="F16" s="38"/>
      <c r="G16" s="38"/>
      <c r="H16" s="38"/>
      <c r="I16" s="38"/>
      <c r="J16" s="38"/>
      <c r="S16" s="213"/>
    </row>
    <row r="17" spans="2:19" s="110" customFormat="1">
      <c r="B17" s="36" t="str">
        <f>B294</f>
        <v>TABLE 4.9 - Comparison of WaterNSW'S Forecast Revenue in 2019-20 under different scenarios (2016-17 $'000)</v>
      </c>
      <c r="C17" s="36"/>
      <c r="D17" s="36"/>
      <c r="E17" s="36"/>
      <c r="F17" s="36"/>
      <c r="G17" s="36"/>
      <c r="H17" s="36"/>
      <c r="I17" s="36"/>
      <c r="J17" s="36">
        <f>ROW(B294)</f>
        <v>294</v>
      </c>
      <c r="S17" s="213"/>
    </row>
    <row r="19" spans="2:19">
      <c r="L19" s="110"/>
    </row>
    <row r="20" spans="2:19" ht="15.5">
      <c r="B20" s="120" t="s">
        <v>99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</row>
    <row r="21" spans="2:19"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</row>
    <row r="22" spans="2:19">
      <c r="B22" s="33" t="s">
        <v>186</v>
      </c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</row>
    <row r="23" spans="2:19">
      <c r="B23" s="40" t="str">
        <f>'2017 Determination - Revenue'!B$16</f>
        <v>Financial year</v>
      </c>
      <c r="C23" s="41" t="str">
        <f>'2017 Determination - Revenue'!C$28</f>
        <v>Units</v>
      </c>
      <c r="D23" s="41"/>
      <c r="E23" s="41"/>
      <c r="F23" s="128" t="str">
        <f>'2017 Determination - Revenue'!F$16</f>
        <v>2017-18</v>
      </c>
      <c r="G23" s="128" t="str">
        <f>'2017 Determination - Revenue'!G$16</f>
        <v>2018-19</v>
      </c>
      <c r="H23" s="128" t="str">
        <f>'2017 Determination - Revenue'!H$16</f>
        <v>2019-20</v>
      </c>
      <c r="I23" s="139"/>
      <c r="J23" s="315" t="s">
        <v>224</v>
      </c>
      <c r="K23" s="315"/>
      <c r="L23" s="198" t="s">
        <v>231</v>
      </c>
      <c r="M23" s="198"/>
      <c r="N23" s="315" t="s">
        <v>224</v>
      </c>
      <c r="O23" s="315"/>
      <c r="P23" s="198" t="s">
        <v>231</v>
      </c>
      <c r="Q23" s="42"/>
    </row>
    <row r="24" spans="2:19" s="110" customFormat="1" ht="34.25" customHeight="1">
      <c r="B24" s="43"/>
      <c r="C24" s="38"/>
      <c r="D24" s="38"/>
      <c r="E24" s="38"/>
      <c r="F24" s="160" t="s">
        <v>230</v>
      </c>
      <c r="G24" s="160" t="s">
        <v>194</v>
      </c>
      <c r="H24" s="160" t="s">
        <v>194</v>
      </c>
      <c r="I24" s="162"/>
      <c r="J24" s="199" t="str">
        <f>F24</f>
        <v>As per 2017 Determination</v>
      </c>
      <c r="K24" s="199" t="str">
        <f>G24</f>
        <v>Re-calculated charges</v>
      </c>
      <c r="L24" s="199" t="s">
        <v>232</v>
      </c>
      <c r="M24" s="199"/>
      <c r="N24" s="199" t="str">
        <f>J24</f>
        <v>As per 2017 Determination</v>
      </c>
      <c r="O24" s="199" t="str">
        <f>K24</f>
        <v>Re-calculated charges</v>
      </c>
      <c r="P24" s="199" t="s">
        <v>232</v>
      </c>
      <c r="Q24" s="44"/>
      <c r="S24" s="213"/>
    </row>
    <row r="25" spans="2:19">
      <c r="B25" s="43"/>
      <c r="C25" s="38"/>
      <c r="D25" s="38"/>
      <c r="E25" s="38"/>
      <c r="F25" s="157" t="str">
        <f>'2017 Determination - Revenue'!$F$29</f>
        <v>$2016-17</v>
      </c>
      <c r="G25" s="157" t="str">
        <f>'2017 Determination - Revenue'!$F$29</f>
        <v>$2016-17</v>
      </c>
      <c r="H25" s="157" t="str">
        <f>'2017 Determination - Revenue'!$F$29</f>
        <v>$2016-17</v>
      </c>
      <c r="I25" s="158"/>
      <c r="J25" s="200" t="s">
        <v>214</v>
      </c>
      <c r="K25" s="132" t="str">
        <f>J25</f>
        <v>$2019-20</v>
      </c>
      <c r="L25" s="200" t="s">
        <v>1</v>
      </c>
      <c r="M25" s="201"/>
      <c r="N25" s="132" t="str">
        <f>F25</f>
        <v>$2016-17</v>
      </c>
      <c r="O25" s="132" t="str">
        <f>N25</f>
        <v>$2016-17</v>
      </c>
      <c r="P25" s="132" t="s">
        <v>1</v>
      </c>
      <c r="Q25" s="44"/>
    </row>
    <row r="26" spans="2:19">
      <c r="B26" s="49" t="s">
        <v>88</v>
      </c>
      <c r="C26" s="38"/>
      <c r="D26" s="38"/>
      <c r="E26" s="38"/>
      <c r="F26" s="38"/>
      <c r="G26" s="38"/>
      <c r="H26" s="38"/>
      <c r="I26" s="38"/>
      <c r="J26" s="138"/>
      <c r="K26" s="138"/>
      <c r="L26" s="138"/>
      <c r="M26" s="138"/>
      <c r="N26" s="138"/>
      <c r="O26" s="138"/>
      <c r="P26" s="138"/>
      <c r="Q26" s="44"/>
      <c r="R26" s="38"/>
    </row>
    <row r="27" spans="2:19">
      <c r="B27" s="43" t="str">
        <f>'2017 Determination - Revenue'!B$33</f>
        <v>Border</v>
      </c>
      <c r="C27" s="28" t="s">
        <v>11</v>
      </c>
      <c r="D27" s="38"/>
      <c r="E27" s="38"/>
      <c r="F27" s="255">
        <f t="shared" ref="F27:H35" si="0">(F68+F108)</f>
        <v>6.2288309942415188</v>
      </c>
      <c r="G27" s="256">
        <f t="shared" si="0"/>
        <v>6.1001963447133463</v>
      </c>
      <c r="H27" s="256">
        <f t="shared" si="0"/>
        <v>6.1991026948941093</v>
      </c>
      <c r="I27" s="183"/>
      <c r="J27" s="202">
        <f t="shared" ref="J27:K35" si="1">(J68+J108)</f>
        <v>6.5595499999999998</v>
      </c>
      <c r="K27" s="202">
        <f t="shared" si="1"/>
        <v>6.5388900000000003</v>
      </c>
      <c r="L27" s="244">
        <f t="shared" ref="L27:L35" si="2">IF(J27=0,"na",K27/J27-1)</f>
        <v>-3.1496062992125706E-3</v>
      </c>
      <c r="M27" s="244"/>
      <c r="N27" s="202">
        <f t="shared" ref="N27:O35" si="3">(N68+N108)</f>
        <v>6.2288309942415188</v>
      </c>
      <c r="O27" s="202">
        <f t="shared" si="3"/>
        <v>6.1991026948941093</v>
      </c>
      <c r="P27" s="244">
        <f t="shared" ref="P27:P35" si="4">IF(N27=0,"na",O27/N27-1)</f>
        <v>-4.7726932027684077E-3</v>
      </c>
      <c r="Q27" s="257"/>
      <c r="R27" s="210"/>
    </row>
    <row r="28" spans="2:19">
      <c r="B28" s="43" t="str">
        <f>'2017 Determination - Revenue'!B$34</f>
        <v>Gwydir</v>
      </c>
      <c r="C28" s="38" t="str">
        <f>$C$27</f>
        <v>$/ML</v>
      </c>
      <c r="D28" s="38"/>
      <c r="E28" s="38"/>
      <c r="F28" s="255">
        <f t="shared" si="0"/>
        <v>11.873139524320214</v>
      </c>
      <c r="G28" s="256">
        <f t="shared" si="0"/>
        <v>12.015082003392797</v>
      </c>
      <c r="H28" s="256">
        <f t="shared" si="0"/>
        <v>12.348169387028879</v>
      </c>
      <c r="I28" s="183"/>
      <c r="J28" s="202">
        <f t="shared" si="1"/>
        <v>12.519959999999998</v>
      </c>
      <c r="K28" s="202">
        <f t="shared" si="1"/>
        <v>13.026129999999998</v>
      </c>
      <c r="L28" s="244">
        <f t="shared" si="2"/>
        <v>4.0429042904290613E-2</v>
      </c>
      <c r="M28" s="244"/>
      <c r="N28" s="202">
        <f t="shared" si="3"/>
        <v>11.873139524320214</v>
      </c>
      <c r="O28" s="202">
        <f t="shared" si="3"/>
        <v>12.348169387028879</v>
      </c>
      <c r="P28" s="244">
        <f t="shared" si="4"/>
        <v>4.0008782995907932E-2</v>
      </c>
      <c r="Q28" s="161"/>
      <c r="R28" s="196"/>
    </row>
    <row r="29" spans="2:19">
      <c r="B29" s="43" t="str">
        <f>'2017 Determination - Revenue'!B$35</f>
        <v>Namoi</v>
      </c>
      <c r="C29" s="38" t="str">
        <f t="shared" ref="C29:C35" si="5">$C$27</f>
        <v>$/ML</v>
      </c>
      <c r="D29" s="38"/>
      <c r="E29" s="38"/>
      <c r="F29" s="255">
        <f t="shared" si="0"/>
        <v>19.983537685794229</v>
      </c>
      <c r="G29" s="256">
        <f t="shared" si="0"/>
        <v>19.895307159106121</v>
      </c>
      <c r="H29" s="256">
        <f t="shared" si="0"/>
        <v>20.793739614922096</v>
      </c>
      <c r="I29" s="183"/>
      <c r="J29" s="202">
        <f t="shared" si="1"/>
        <v>21.073199999999996</v>
      </c>
      <c r="K29" s="202">
        <f t="shared" si="1"/>
        <v>21.930589999999999</v>
      </c>
      <c r="L29" s="244">
        <f t="shared" si="2"/>
        <v>4.0686274509803999E-2</v>
      </c>
      <c r="M29" s="244"/>
      <c r="N29" s="202">
        <f t="shared" si="3"/>
        <v>19.983537685794229</v>
      </c>
      <c r="O29" s="202">
        <f t="shared" si="3"/>
        <v>20.793739614922096</v>
      </c>
      <c r="P29" s="244">
        <f t="shared" si="4"/>
        <v>4.0543468422201245E-2</v>
      </c>
      <c r="Q29" s="161"/>
      <c r="R29" s="196"/>
    </row>
    <row r="30" spans="2:19">
      <c r="B30" s="43" t="str">
        <f>'2017 Determination - Revenue'!B$36</f>
        <v>Peel</v>
      </c>
      <c r="C30" s="38" t="str">
        <f t="shared" si="5"/>
        <v>$/ML</v>
      </c>
      <c r="D30" s="38"/>
      <c r="E30" s="38"/>
      <c r="F30" s="255">
        <f t="shared" si="0"/>
        <v>55.091150391764842</v>
      </c>
      <c r="G30" s="256">
        <f t="shared" si="0"/>
        <v>17.994700641217754</v>
      </c>
      <c r="H30" s="256">
        <f t="shared" si="0"/>
        <v>17.540784239105591</v>
      </c>
      <c r="I30" s="183"/>
      <c r="J30" s="202">
        <f t="shared" si="1"/>
        <v>19.368749999999999</v>
      </c>
      <c r="K30" s="202">
        <f t="shared" si="1"/>
        <v>18.50103</v>
      </c>
      <c r="L30" s="244">
        <f t="shared" si="2"/>
        <v>-4.4799999999999951E-2</v>
      </c>
      <c r="M30" s="244"/>
      <c r="N30" s="202">
        <f t="shared" si="3"/>
        <v>18.363716797254945</v>
      </c>
      <c r="O30" s="202">
        <f t="shared" si="3"/>
        <v>17.540784239105591</v>
      </c>
      <c r="P30" s="244">
        <f t="shared" si="4"/>
        <v>-4.4812962824190783E-2</v>
      </c>
      <c r="Q30" s="161"/>
      <c r="R30" s="185"/>
    </row>
    <row r="31" spans="2:19">
      <c r="B31" s="43" t="str">
        <f>'2017 Determination - Revenue'!B$37</f>
        <v>Lachlan</v>
      </c>
      <c r="C31" s="38" t="str">
        <f t="shared" si="5"/>
        <v>$/ML</v>
      </c>
      <c r="D31" s="38"/>
      <c r="E31" s="38"/>
      <c r="F31" s="255">
        <f t="shared" si="0"/>
        <v>19.038335664987216</v>
      </c>
      <c r="G31" s="256">
        <f t="shared" si="0"/>
        <v>20.16030963938173</v>
      </c>
      <c r="H31" s="256">
        <f t="shared" si="0"/>
        <v>20.510709897903102</v>
      </c>
      <c r="I31" s="183"/>
      <c r="J31" s="202">
        <f t="shared" si="1"/>
        <v>20.081520000000001</v>
      </c>
      <c r="K31" s="202">
        <f t="shared" si="1"/>
        <v>21.631019999999999</v>
      </c>
      <c r="L31" s="244">
        <f t="shared" si="2"/>
        <v>7.7160493827160392E-2</v>
      </c>
      <c r="M31" s="244"/>
      <c r="N31" s="202">
        <f t="shared" si="3"/>
        <v>19.038335664987216</v>
      </c>
      <c r="O31" s="202">
        <f t="shared" si="3"/>
        <v>20.510709897903102</v>
      </c>
      <c r="P31" s="244">
        <f t="shared" si="4"/>
        <v>7.7337339714189435E-2</v>
      </c>
      <c r="Q31" s="161"/>
      <c r="R31" s="185"/>
    </row>
    <row r="32" spans="2:19">
      <c r="B32" s="43" t="str">
        <f>'2017 Determination - Revenue'!B$38</f>
        <v>Macquarie</v>
      </c>
      <c r="C32" s="38" t="str">
        <f t="shared" si="5"/>
        <v>$/ML</v>
      </c>
      <c r="D32" s="38"/>
      <c r="E32" s="38"/>
      <c r="F32" s="255">
        <f t="shared" si="0"/>
        <v>13.78434038452443</v>
      </c>
      <c r="G32" s="256">
        <f t="shared" si="0"/>
        <v>14.102148917391292</v>
      </c>
      <c r="H32" s="256">
        <f t="shared" si="0"/>
        <v>14.11345678548799</v>
      </c>
      <c r="I32" s="183"/>
      <c r="J32" s="202">
        <f t="shared" si="1"/>
        <v>14.53431</v>
      </c>
      <c r="K32" s="202">
        <f t="shared" si="1"/>
        <v>14.885529999999999</v>
      </c>
      <c r="L32" s="244">
        <f t="shared" si="2"/>
        <v>2.4164889836531644E-2</v>
      </c>
      <c r="M32" s="244"/>
      <c r="N32" s="202">
        <f t="shared" si="3"/>
        <v>13.78434038452443</v>
      </c>
      <c r="O32" s="202">
        <f t="shared" si="3"/>
        <v>14.11345678548799</v>
      </c>
      <c r="P32" s="244">
        <f t="shared" si="4"/>
        <v>2.3876108089514236E-2</v>
      </c>
      <c r="Q32" s="161"/>
      <c r="R32" s="185"/>
    </row>
    <row r="33" spans="2:18">
      <c r="B33" s="43" t="str">
        <f>'2017 Determination - Revenue'!B$39</f>
        <v>Murray</v>
      </c>
      <c r="C33" s="38" t="str">
        <f t="shared" si="5"/>
        <v>$/ML</v>
      </c>
      <c r="D33" s="38"/>
      <c r="E33" s="38"/>
      <c r="F33" s="255">
        <f t="shared" si="0"/>
        <v>3.4044369605332392</v>
      </c>
      <c r="G33" s="256">
        <f t="shared" si="0"/>
        <v>3.4838977018248567</v>
      </c>
      <c r="H33" s="256">
        <f t="shared" si="0"/>
        <v>3.5385593466572938</v>
      </c>
      <c r="I33" s="183"/>
      <c r="J33" s="202">
        <f t="shared" si="1"/>
        <v>3.5948399999999996</v>
      </c>
      <c r="K33" s="202">
        <f t="shared" si="1"/>
        <v>3.7291299999999996</v>
      </c>
      <c r="L33" s="244">
        <f t="shared" si="2"/>
        <v>3.7356321839080442E-2</v>
      </c>
      <c r="M33" s="244"/>
      <c r="N33" s="202">
        <f t="shared" si="3"/>
        <v>3.4044369605332392</v>
      </c>
      <c r="O33" s="202">
        <f t="shared" si="3"/>
        <v>3.5385593466572938</v>
      </c>
      <c r="P33" s="244">
        <f t="shared" si="4"/>
        <v>3.9396348846784557E-2</v>
      </c>
      <c r="Q33" s="161"/>
      <c r="R33" s="185"/>
    </row>
    <row r="34" spans="2:18">
      <c r="B34" s="43" t="str">
        <f>'2017 Determination - Revenue'!B$40</f>
        <v>Murrumbidgee</v>
      </c>
      <c r="C34" s="38" t="str">
        <f t="shared" si="5"/>
        <v>$/ML</v>
      </c>
      <c r="D34" s="38"/>
      <c r="E34" s="38"/>
      <c r="F34" s="255">
        <f t="shared" si="0"/>
        <v>3.6072258265831025</v>
      </c>
      <c r="G34" s="256">
        <f t="shared" si="0"/>
        <v>3.6959693237646865</v>
      </c>
      <c r="H34" s="256">
        <f t="shared" si="0"/>
        <v>3.7852933309641896</v>
      </c>
      <c r="I34" s="183"/>
      <c r="J34" s="202">
        <f t="shared" si="1"/>
        <v>3.8117699999999997</v>
      </c>
      <c r="K34" s="202">
        <f t="shared" si="1"/>
        <v>3.9977099999999997</v>
      </c>
      <c r="L34" s="244">
        <f t="shared" si="2"/>
        <v>4.8780487804878092E-2</v>
      </c>
      <c r="M34" s="244"/>
      <c r="N34" s="202">
        <f t="shared" si="3"/>
        <v>3.6072258265831025</v>
      </c>
      <c r="O34" s="202">
        <f t="shared" si="3"/>
        <v>3.7852933309641896</v>
      </c>
      <c r="P34" s="244">
        <f t="shared" si="4"/>
        <v>4.9364113294165124E-2</v>
      </c>
      <c r="Q34" s="161"/>
      <c r="R34" s="185"/>
    </row>
    <row r="35" spans="2:18">
      <c r="B35" s="43" t="str">
        <f>'2017 Determination - Revenue'!B$41</f>
        <v>Lowbidgee</v>
      </c>
      <c r="C35" s="38" t="str">
        <f t="shared" si="5"/>
        <v>$/ML</v>
      </c>
      <c r="D35" s="38"/>
      <c r="E35" s="38"/>
      <c r="F35" s="255">
        <f t="shared" si="0"/>
        <v>0</v>
      </c>
      <c r="G35" s="256">
        <f t="shared" si="0"/>
        <v>0</v>
      </c>
      <c r="H35" s="256">
        <f t="shared" si="0"/>
        <v>0</v>
      </c>
      <c r="I35" s="183"/>
      <c r="J35" s="202">
        <f t="shared" si="1"/>
        <v>0</v>
      </c>
      <c r="K35" s="202">
        <f t="shared" si="1"/>
        <v>0</v>
      </c>
      <c r="L35" s="244" t="str">
        <f t="shared" si="2"/>
        <v>na</v>
      </c>
      <c r="M35" s="244"/>
      <c r="N35" s="202">
        <f t="shared" si="3"/>
        <v>0</v>
      </c>
      <c r="O35" s="202">
        <f t="shared" si="3"/>
        <v>0</v>
      </c>
      <c r="P35" s="244" t="str">
        <f t="shared" si="4"/>
        <v>na</v>
      </c>
      <c r="Q35" s="44"/>
      <c r="R35" s="38"/>
    </row>
    <row r="36" spans="2:18">
      <c r="B36" s="79" t="s">
        <v>34</v>
      </c>
      <c r="C36" s="82"/>
      <c r="D36" s="82"/>
      <c r="E36" s="82"/>
      <c r="F36" s="219">
        <f>SUM(F27:F35)-SUM(F68:F76)-SUM(F108:F115)</f>
        <v>-1.3322676295501878E-14</v>
      </c>
      <c r="G36" s="219">
        <f>SUM(G27:G35)-SUM(G68:G76)-SUM(G108:G115)</f>
        <v>0</v>
      </c>
      <c r="H36" s="219">
        <f>SUM(H27:H35)-SUM(H68:H76)-SUM(H108:H115)</f>
        <v>8.8817841970012523E-15</v>
      </c>
      <c r="I36" s="219"/>
      <c r="J36" s="219">
        <f>SUM(J27:J35)-SUM(J68:J76)-SUM(J108:J115)</f>
        <v>1.3766765505351941E-14</v>
      </c>
      <c r="K36" s="219">
        <f>SUM(K27:K35)-SUM(K68:K76)-SUM(K108:K115)</f>
        <v>1.1546319456101628E-14</v>
      </c>
      <c r="L36" s="244"/>
      <c r="M36" s="244"/>
      <c r="N36" s="219">
        <f>SUM(N27:N35)-SUM(N68:N76)-SUM(N108:N115)</f>
        <v>1.5099033134902129E-14</v>
      </c>
      <c r="O36" s="219">
        <f>SUM(O27:O35)-SUM(O68:O76)-SUM(O108:O115)</f>
        <v>8.8817841970012523E-15</v>
      </c>
      <c r="P36" s="244"/>
      <c r="Q36" s="257"/>
      <c r="R36" s="210"/>
    </row>
    <row r="37" spans="2:18">
      <c r="B37" s="49" t="s">
        <v>184</v>
      </c>
      <c r="C37" s="38"/>
      <c r="D37" s="38"/>
      <c r="E37" s="38"/>
      <c r="F37" s="210"/>
      <c r="G37" s="210"/>
      <c r="H37" s="210"/>
      <c r="I37" s="210"/>
      <c r="J37" s="244"/>
      <c r="K37" s="244"/>
      <c r="L37" s="244"/>
      <c r="M37" s="244"/>
      <c r="N37" s="244"/>
      <c r="O37" s="244"/>
      <c r="P37" s="244"/>
      <c r="Q37" s="257"/>
      <c r="R37" s="210"/>
    </row>
    <row r="38" spans="2:18">
      <c r="B38" s="43" t="str">
        <f>'2017 Determination - Revenue'!B$33</f>
        <v>Border</v>
      </c>
      <c r="C38" s="38" t="str">
        <f>$C$27</f>
        <v>$/ML</v>
      </c>
      <c r="D38" s="38"/>
      <c r="E38" s="38"/>
      <c r="F38" s="255">
        <f t="shared" ref="F38:H46" si="6">(F79+F119)</f>
        <v>3.6892035351000141</v>
      </c>
      <c r="G38" s="256">
        <f t="shared" si="6"/>
        <v>3.6943275169382614</v>
      </c>
      <c r="H38" s="256">
        <f t="shared" si="6"/>
        <v>3.6901548092440564</v>
      </c>
      <c r="I38" s="183"/>
      <c r="J38" s="202">
        <f t="shared" ref="J38:K46" si="7">(J79+J119)</f>
        <v>3.8944099999999997</v>
      </c>
      <c r="K38" s="202">
        <f t="shared" si="7"/>
        <v>3.8944099999999997</v>
      </c>
      <c r="L38" s="244">
        <f t="shared" ref="L38:L46" si="8">IF(J38=0,"na",K38/J38-1)</f>
        <v>0</v>
      </c>
      <c r="M38" s="244"/>
      <c r="N38" s="202">
        <f t="shared" ref="N38:O46" si="9">(N79+N119)</f>
        <v>3.6892035351000141</v>
      </c>
      <c r="O38" s="202">
        <f t="shared" si="9"/>
        <v>3.6901548092440564</v>
      </c>
      <c r="P38" s="244">
        <f t="shared" ref="P38:P46" si="10">IF(N38=0,"na",O38/N38-1)</f>
        <v>2.5785352718865617E-4</v>
      </c>
      <c r="Q38" s="44"/>
      <c r="R38" s="38"/>
    </row>
    <row r="39" spans="2:18">
      <c r="B39" s="43" t="str">
        <f>'2017 Determination - Revenue'!B$34</f>
        <v>Gwydir</v>
      </c>
      <c r="C39" s="38" t="str">
        <f t="shared" ref="C39:C45" si="11">$C$27</f>
        <v>$/ML</v>
      </c>
      <c r="D39" s="38"/>
      <c r="E39" s="38"/>
      <c r="F39" s="255">
        <f t="shared" si="6"/>
        <v>3.4798474827858135</v>
      </c>
      <c r="G39" s="256">
        <f t="shared" si="6"/>
        <v>3.4819348836386537</v>
      </c>
      <c r="H39" s="256">
        <f t="shared" si="6"/>
        <v>3.4429045265792064</v>
      </c>
      <c r="I39" s="183"/>
      <c r="J39" s="202">
        <f t="shared" si="7"/>
        <v>3.6671499999999995</v>
      </c>
      <c r="K39" s="202">
        <f t="shared" si="7"/>
        <v>3.6258299999999997</v>
      </c>
      <c r="L39" s="244">
        <f t="shared" si="8"/>
        <v>-1.1267605633802802E-2</v>
      </c>
      <c r="M39" s="244"/>
      <c r="N39" s="202">
        <f t="shared" si="9"/>
        <v>3.4798474827858135</v>
      </c>
      <c r="O39" s="202">
        <f t="shared" si="9"/>
        <v>3.4429045265792064</v>
      </c>
      <c r="P39" s="244">
        <f t="shared" si="10"/>
        <v>-1.0616257289825848E-2</v>
      </c>
      <c r="Q39" s="44"/>
      <c r="R39" s="38"/>
    </row>
    <row r="40" spans="2:18">
      <c r="B40" s="43" t="str">
        <f>'2017 Determination - Revenue'!B$35</f>
        <v>Namoi</v>
      </c>
      <c r="C40" s="38" t="str">
        <f t="shared" si="11"/>
        <v>$/ML</v>
      </c>
      <c r="D40" s="38"/>
      <c r="E40" s="38"/>
      <c r="F40" s="255">
        <f t="shared" si="6"/>
        <v>7.9573495340749334</v>
      </c>
      <c r="G40" s="256">
        <f t="shared" si="6"/>
        <v>7.9683518692056623</v>
      </c>
      <c r="H40" s="256">
        <f t="shared" si="6"/>
        <v>7.9155573202818603</v>
      </c>
      <c r="I40" s="183"/>
      <c r="J40" s="202">
        <f t="shared" si="7"/>
        <v>8.3982899999999994</v>
      </c>
      <c r="K40" s="202">
        <f t="shared" si="7"/>
        <v>8.3569699999999987</v>
      </c>
      <c r="L40" s="244">
        <f t="shared" si="8"/>
        <v>-4.9200492004920493E-3</v>
      </c>
      <c r="M40" s="244"/>
      <c r="N40" s="202">
        <f t="shared" si="9"/>
        <v>7.9573495340749334</v>
      </c>
      <c r="O40" s="202">
        <f t="shared" si="9"/>
        <v>7.9155573202818603</v>
      </c>
      <c r="P40" s="244">
        <f t="shared" si="10"/>
        <v>-5.2520268984177498E-3</v>
      </c>
      <c r="Q40" s="44"/>
      <c r="R40" s="38"/>
    </row>
    <row r="41" spans="2:18">
      <c r="B41" s="43" t="str">
        <f>'2017 Determination - Revenue'!B$36</f>
        <v>Peel</v>
      </c>
      <c r="C41" s="38" t="str">
        <f t="shared" si="11"/>
        <v>$/ML</v>
      </c>
      <c r="D41" s="38"/>
      <c r="E41" s="38"/>
      <c r="F41" s="255">
        <f t="shared" si="6"/>
        <v>2.0088384355493285</v>
      </c>
      <c r="G41" s="256">
        <f t="shared" si="6"/>
        <v>4.1140497558650839</v>
      </c>
      <c r="H41" s="256">
        <f t="shared" si="6"/>
        <v>4.1373190377332918</v>
      </c>
      <c r="I41" s="183"/>
      <c r="J41" s="202">
        <f t="shared" si="7"/>
        <v>4.2352999999999996</v>
      </c>
      <c r="K41" s="202">
        <f t="shared" si="7"/>
        <v>4.3695900000000005</v>
      </c>
      <c r="L41" s="244">
        <f t="shared" si="8"/>
        <v>3.1707317073170982E-2</v>
      </c>
      <c r="M41" s="244"/>
      <c r="N41" s="202">
        <f t="shared" si="9"/>
        <v>4.017676871098657</v>
      </c>
      <c r="O41" s="202">
        <f t="shared" si="9"/>
        <v>4.1373190377332918</v>
      </c>
      <c r="P41" s="244">
        <f t="shared" si="10"/>
        <v>2.9778942028734656E-2</v>
      </c>
      <c r="Q41" s="44"/>
      <c r="R41" s="38"/>
    </row>
    <row r="42" spans="2:18">
      <c r="B42" s="43" t="str">
        <f>'2017 Determination - Revenue'!B$37</f>
        <v>Lachlan</v>
      </c>
      <c r="C42" s="38" t="str">
        <f t="shared" si="11"/>
        <v>$/ML</v>
      </c>
      <c r="D42" s="38"/>
      <c r="E42" s="38"/>
      <c r="F42" s="255">
        <f t="shared" si="6"/>
        <v>2.7294754839554174</v>
      </c>
      <c r="G42" s="256">
        <f t="shared" si="6"/>
        <v>2.7758839032514664</v>
      </c>
      <c r="H42" s="256">
        <f t="shared" si="6"/>
        <v>2.7011352666429462</v>
      </c>
      <c r="I42" s="183"/>
      <c r="J42" s="202">
        <f t="shared" si="7"/>
        <v>2.8820699999999997</v>
      </c>
      <c r="K42" s="202">
        <f t="shared" si="7"/>
        <v>2.8510799999999996</v>
      </c>
      <c r="L42" s="244">
        <f t="shared" si="8"/>
        <v>-1.0752688172043001E-2</v>
      </c>
      <c r="M42" s="244"/>
      <c r="N42" s="202">
        <f t="shared" si="9"/>
        <v>2.7294754839554174</v>
      </c>
      <c r="O42" s="202">
        <f t="shared" si="9"/>
        <v>2.7011352666429462</v>
      </c>
      <c r="P42" s="244">
        <f t="shared" si="10"/>
        <v>-1.0383026877897383E-2</v>
      </c>
      <c r="Q42" s="44"/>
      <c r="R42" s="38"/>
    </row>
    <row r="43" spans="2:18">
      <c r="B43" s="43" t="str">
        <f>'2017 Determination - Revenue'!B$38</f>
        <v>Macquarie</v>
      </c>
      <c r="C43" s="38" t="str">
        <f t="shared" si="11"/>
        <v>$/ML</v>
      </c>
      <c r="D43" s="38"/>
      <c r="E43" s="38"/>
      <c r="F43" s="255">
        <f t="shared" si="6"/>
        <v>2.8467811535599639</v>
      </c>
      <c r="G43" s="256">
        <f t="shared" si="6"/>
        <v>2.8600389822677408</v>
      </c>
      <c r="H43" s="256">
        <f t="shared" si="6"/>
        <v>2.8830512530915575</v>
      </c>
      <c r="I43" s="183"/>
      <c r="J43" s="202">
        <f t="shared" si="7"/>
        <v>3.00603</v>
      </c>
      <c r="K43" s="202">
        <f t="shared" si="7"/>
        <v>3.0370199999999996</v>
      </c>
      <c r="L43" s="244">
        <f t="shared" si="8"/>
        <v>1.0309278350515427E-2</v>
      </c>
      <c r="M43" s="244"/>
      <c r="N43" s="202">
        <f t="shared" si="9"/>
        <v>2.8467811535599639</v>
      </c>
      <c r="O43" s="202">
        <f t="shared" si="9"/>
        <v>2.8830512530915575</v>
      </c>
      <c r="P43" s="244">
        <f t="shared" si="10"/>
        <v>1.2740740357310987E-2</v>
      </c>
      <c r="Q43" s="44"/>
      <c r="R43" s="38"/>
    </row>
    <row r="44" spans="2:18">
      <c r="B44" s="43" t="str">
        <f>'2017 Determination - Revenue'!B$39</f>
        <v>Murray</v>
      </c>
      <c r="C44" s="38" t="str">
        <f t="shared" si="11"/>
        <v>$/ML</v>
      </c>
      <c r="D44" s="38"/>
      <c r="E44" s="38"/>
      <c r="F44" s="255">
        <f t="shared" si="6"/>
        <v>4.3154595949272476</v>
      </c>
      <c r="G44" s="256">
        <f t="shared" si="6"/>
        <v>4.315505025563775</v>
      </c>
      <c r="H44" s="256">
        <f t="shared" si="6"/>
        <v>4.291578034093833</v>
      </c>
      <c r="I44" s="183"/>
      <c r="J44" s="202">
        <f t="shared" si="7"/>
        <v>4.5451999999999995</v>
      </c>
      <c r="K44" s="202">
        <f t="shared" si="7"/>
        <v>4.52454</v>
      </c>
      <c r="L44" s="244">
        <f t="shared" si="8"/>
        <v>-4.5454545454544082E-3</v>
      </c>
      <c r="M44" s="244"/>
      <c r="N44" s="202">
        <f t="shared" si="9"/>
        <v>4.3154595949272476</v>
      </c>
      <c r="O44" s="202">
        <f t="shared" si="9"/>
        <v>4.291578034093833</v>
      </c>
      <c r="P44" s="244">
        <f t="shared" si="10"/>
        <v>-5.5339553778900319E-3</v>
      </c>
      <c r="Q44" s="44"/>
      <c r="R44" s="38"/>
    </row>
    <row r="45" spans="2:18">
      <c r="B45" s="43" t="str">
        <f>'2017 Determination - Revenue'!B$40</f>
        <v>Murrumbidgee</v>
      </c>
      <c r="C45" s="38" t="str">
        <f t="shared" si="11"/>
        <v>$/ML</v>
      </c>
      <c r="D45" s="38"/>
      <c r="E45" s="38"/>
      <c r="F45" s="255">
        <f t="shared" si="6"/>
        <v>1.7231101331486112</v>
      </c>
      <c r="G45" s="256">
        <f t="shared" si="6"/>
        <v>1.7231334860827887</v>
      </c>
      <c r="H45" s="256">
        <f t="shared" si="6"/>
        <v>1.7059146548406074</v>
      </c>
      <c r="I45" s="183"/>
      <c r="J45" s="202">
        <f t="shared" si="7"/>
        <v>1.8077499999999995</v>
      </c>
      <c r="K45" s="202">
        <f t="shared" si="7"/>
        <v>1.7870900000000001</v>
      </c>
      <c r="L45" s="244">
        <f t="shared" si="8"/>
        <v>-1.1428571428571122E-2</v>
      </c>
      <c r="M45" s="244"/>
      <c r="N45" s="202">
        <f t="shared" si="9"/>
        <v>1.7231101331486112</v>
      </c>
      <c r="O45" s="202">
        <f t="shared" si="9"/>
        <v>1.7059146548406074</v>
      </c>
      <c r="P45" s="244">
        <f t="shared" si="10"/>
        <v>-9.9793263223301176E-3</v>
      </c>
      <c r="Q45" s="44"/>
      <c r="R45" s="38"/>
    </row>
    <row r="46" spans="2:18">
      <c r="B46" s="43" t="str">
        <f>'2017 Determination - Revenue'!B$41</f>
        <v>Lowbidgee</v>
      </c>
      <c r="C46" s="38" t="str">
        <f>$C$27</f>
        <v>$/ML</v>
      </c>
      <c r="D46" s="38"/>
      <c r="E46" s="38"/>
      <c r="F46" s="255">
        <f t="shared" si="6"/>
        <v>0.7831544756319907</v>
      </c>
      <c r="G46" s="256">
        <f t="shared" si="6"/>
        <v>0.78328421327595998</v>
      </c>
      <c r="H46" s="256">
        <f t="shared" si="6"/>
        <v>0.78298426918511288</v>
      </c>
      <c r="I46" s="183"/>
      <c r="J46" s="202">
        <f t="shared" si="7"/>
        <v>0.82640000000000002</v>
      </c>
      <c r="K46" s="202">
        <f t="shared" si="7"/>
        <v>0.82640000000000002</v>
      </c>
      <c r="L46" s="244">
        <f t="shared" si="8"/>
        <v>0</v>
      </c>
      <c r="M46" s="244"/>
      <c r="N46" s="202">
        <f t="shared" si="9"/>
        <v>0.7831544756319907</v>
      </c>
      <c r="O46" s="202">
        <f t="shared" si="9"/>
        <v>0.78298426918511288</v>
      </c>
      <c r="P46" s="244">
        <f t="shared" si="10"/>
        <v>-2.1733444955474024E-4</v>
      </c>
      <c r="Q46" s="44"/>
      <c r="R46" s="38"/>
    </row>
    <row r="47" spans="2:18">
      <c r="B47" s="79" t="s">
        <v>34</v>
      </c>
      <c r="C47" s="82"/>
      <c r="D47" s="82"/>
      <c r="E47" s="82"/>
      <c r="F47" s="219">
        <f>SUM(F38:F46)-SUM(F79:F87)-SUM(F119:F126)</f>
        <v>0</v>
      </c>
      <c r="G47" s="219">
        <f>SUM(G38:G46)-SUM(G79:G87)-SUM(G119:G126)</f>
        <v>0</v>
      </c>
      <c r="H47" s="219">
        <f>SUM(H38:H46)-SUM(H79:H87)-SUM(H119:H126)</f>
        <v>0</v>
      </c>
      <c r="I47" s="219"/>
      <c r="J47" s="219">
        <f>SUM(J38:J46)-SUM(J79:J87)-SUM(J119:J126)</f>
        <v>0</v>
      </c>
      <c r="K47" s="219">
        <f>SUM(K38:K46)-SUM(K79:K87)-SUM(K119:K126)</f>
        <v>0</v>
      </c>
      <c r="L47" s="244"/>
      <c r="M47" s="244"/>
      <c r="N47" s="219">
        <f>SUM(N38:N46)-SUM(N79:N87)-SUM(N119:N126)</f>
        <v>0</v>
      </c>
      <c r="O47" s="219">
        <f>SUM(O38:O46)-SUM(O79:O87)-SUM(O119:O126)</f>
        <v>0</v>
      </c>
      <c r="P47" s="244"/>
      <c r="Q47" s="257"/>
      <c r="R47" s="210"/>
    </row>
    <row r="48" spans="2:18">
      <c r="B48" s="49" t="s">
        <v>185</v>
      </c>
      <c r="C48" s="38"/>
      <c r="D48" s="38"/>
      <c r="E48" s="38"/>
      <c r="F48" s="210"/>
      <c r="G48" s="210"/>
      <c r="H48" s="210"/>
      <c r="I48" s="210"/>
      <c r="J48" s="244"/>
      <c r="K48" s="244"/>
      <c r="L48" s="244"/>
      <c r="M48" s="244"/>
      <c r="N48" s="244"/>
      <c r="O48" s="244"/>
      <c r="P48" s="244"/>
      <c r="Q48" s="257"/>
      <c r="R48" s="210"/>
    </row>
    <row r="49" spans="2:18">
      <c r="B49" s="43" t="str">
        <f>'2017 Determination - Revenue'!B$33</f>
        <v>Border</v>
      </c>
      <c r="C49" s="38" t="str">
        <f>$C$27</f>
        <v>$/ML</v>
      </c>
      <c r="D49" s="38"/>
      <c r="E49" s="38"/>
      <c r="F49" s="255">
        <f t="shared" ref="F49:H57" si="12">F90+F130</f>
        <v>9.9331567595586812</v>
      </c>
      <c r="G49" s="256">
        <f t="shared" si="12"/>
        <v>9.464024542764669</v>
      </c>
      <c r="H49" s="256">
        <f t="shared" si="12"/>
        <v>9.7397686661684304</v>
      </c>
      <c r="I49" s="183"/>
      <c r="J49" s="202">
        <f t="shared" ref="J49:K57" si="13">J90+J130</f>
        <v>10.48495</v>
      </c>
      <c r="K49" s="202">
        <f t="shared" si="13"/>
        <v>10.26802</v>
      </c>
      <c r="L49" s="244">
        <f t="shared" ref="L49:L57" si="14">IF(J49=0,"na",K49/J49-1)</f>
        <v>-2.0689655172413723E-2</v>
      </c>
      <c r="M49" s="244"/>
      <c r="N49" s="202">
        <f t="shared" ref="N49:O57" si="15">N90+N130</f>
        <v>9.9350654775877594</v>
      </c>
      <c r="O49" s="202">
        <f t="shared" si="15"/>
        <v>9.7397686661684304</v>
      </c>
      <c r="P49" s="244">
        <f t="shared" ref="P49:P57" si="16">IF(N49=0,"na",O49/N49-1)</f>
        <v>-1.9657325043291762E-2</v>
      </c>
      <c r="Q49" s="44"/>
      <c r="R49" s="38"/>
    </row>
    <row r="50" spans="2:18">
      <c r="B50" s="43" t="str">
        <f>'2017 Determination - Revenue'!B$34</f>
        <v>Gwydir</v>
      </c>
      <c r="C50" s="38" t="str">
        <f t="shared" ref="C50:C56" si="17">$C$27</f>
        <v>$/ML</v>
      </c>
      <c r="D50" s="38"/>
      <c r="E50" s="38"/>
      <c r="F50" s="255">
        <f t="shared" si="12"/>
        <v>11.081245442126379</v>
      </c>
      <c r="G50" s="256">
        <f t="shared" si="12"/>
        <v>11.042211204680088</v>
      </c>
      <c r="H50" s="256">
        <f t="shared" si="12"/>
        <v>11.77936904257113</v>
      </c>
      <c r="I50" s="183"/>
      <c r="J50" s="202">
        <f t="shared" si="13"/>
        <v>11.68323</v>
      </c>
      <c r="K50" s="202">
        <f t="shared" si="13"/>
        <v>12.426989999999998</v>
      </c>
      <c r="L50" s="244">
        <f t="shared" si="14"/>
        <v>6.3660477453580722E-2</v>
      </c>
      <c r="M50" s="244"/>
      <c r="N50" s="202">
        <f t="shared" si="15"/>
        <v>11.081245442126379</v>
      </c>
      <c r="O50" s="202">
        <f t="shared" si="15"/>
        <v>11.77936904257113</v>
      </c>
      <c r="P50" s="244">
        <f t="shared" si="16"/>
        <v>6.3000463629365067E-2</v>
      </c>
      <c r="Q50" s="44"/>
      <c r="R50" s="38"/>
    </row>
    <row r="51" spans="2:18">
      <c r="B51" s="43" t="str">
        <f>'2017 Determination - Revenue'!B$35</f>
        <v>Namoi</v>
      </c>
      <c r="C51" s="38" t="str">
        <f t="shared" si="17"/>
        <v>$/ML</v>
      </c>
      <c r="D51" s="38"/>
      <c r="E51" s="38"/>
      <c r="F51" s="255">
        <f t="shared" si="12"/>
        <v>17.078806213771792</v>
      </c>
      <c r="G51" s="256">
        <f t="shared" si="12"/>
        <v>16.761594789902677</v>
      </c>
      <c r="H51" s="256">
        <f t="shared" si="12"/>
        <v>17.998221785890252</v>
      </c>
      <c r="I51" s="183"/>
      <c r="J51" s="202">
        <f t="shared" si="13"/>
        <v>18.015519999999999</v>
      </c>
      <c r="K51" s="202">
        <f t="shared" si="13"/>
        <v>18.986539999999998</v>
      </c>
      <c r="L51" s="244">
        <f t="shared" si="14"/>
        <v>5.3899082568807266E-2</v>
      </c>
      <c r="M51" s="244"/>
      <c r="N51" s="202">
        <f t="shared" si="15"/>
        <v>17.078806213771792</v>
      </c>
      <c r="O51" s="202">
        <f t="shared" si="15"/>
        <v>17.998221785890252</v>
      </c>
      <c r="P51" s="244">
        <f t="shared" si="16"/>
        <v>5.3833714172426994E-2</v>
      </c>
      <c r="Q51" s="44"/>
      <c r="R51" s="38"/>
    </row>
    <row r="52" spans="2:18">
      <c r="B52" s="43" t="str">
        <f>'2017 Determination - Revenue'!B$36</f>
        <v>Peel</v>
      </c>
      <c r="C52" s="38" t="str">
        <f t="shared" si="17"/>
        <v>$/ML</v>
      </c>
      <c r="D52" s="38"/>
      <c r="E52" s="38"/>
      <c r="F52" s="255">
        <f t="shared" si="12"/>
        <v>20.78395133436014</v>
      </c>
      <c r="G52" s="256">
        <f t="shared" si="12"/>
        <v>41.401125251337078</v>
      </c>
      <c r="H52" s="256">
        <f t="shared" si="12"/>
        <v>41.547652623209807</v>
      </c>
      <c r="I52" s="183"/>
      <c r="J52" s="202">
        <f t="shared" si="13"/>
        <v>43.840519999999991</v>
      </c>
      <c r="K52" s="202">
        <f t="shared" si="13"/>
        <v>43.819859999999998</v>
      </c>
      <c r="L52" s="244">
        <f t="shared" si="14"/>
        <v>-4.7125353440136131E-4</v>
      </c>
      <c r="M52" s="244"/>
      <c r="N52" s="202">
        <f t="shared" si="15"/>
        <v>41.567902668720279</v>
      </c>
      <c r="O52" s="202">
        <f t="shared" si="15"/>
        <v>41.547652623209807</v>
      </c>
      <c r="P52" s="244">
        <f t="shared" si="16"/>
        <v>-4.871558151936517E-4</v>
      </c>
      <c r="Q52" s="44"/>
      <c r="R52" s="38"/>
    </row>
    <row r="53" spans="2:18">
      <c r="B53" s="43" t="str">
        <f>'2017 Determination - Revenue'!B$37</f>
        <v>Lachlan</v>
      </c>
      <c r="C53" s="38" t="str">
        <f t="shared" si="17"/>
        <v>$/ML</v>
      </c>
      <c r="D53" s="38"/>
      <c r="E53" s="38"/>
      <c r="F53" s="255">
        <f t="shared" si="12"/>
        <v>15.379109814709489</v>
      </c>
      <c r="G53" s="256">
        <f t="shared" si="12"/>
        <v>14.867665553751058</v>
      </c>
      <c r="H53" s="256">
        <f t="shared" si="12"/>
        <v>15.691859559139104</v>
      </c>
      <c r="I53" s="183"/>
      <c r="J53" s="202">
        <f t="shared" si="13"/>
        <v>16.2181</v>
      </c>
      <c r="K53" s="202">
        <f t="shared" si="13"/>
        <v>16.548659999999998</v>
      </c>
      <c r="L53" s="244">
        <f t="shared" si="14"/>
        <v>2.0382165605095537E-2</v>
      </c>
      <c r="M53" s="244"/>
      <c r="N53" s="202">
        <f t="shared" si="15"/>
        <v>15.379109814709489</v>
      </c>
      <c r="O53" s="202">
        <f t="shared" si="15"/>
        <v>15.691859559139104</v>
      </c>
      <c r="P53" s="244">
        <f t="shared" si="16"/>
        <v>2.0336010874340893E-2</v>
      </c>
      <c r="Q53" s="44"/>
      <c r="R53" s="38"/>
    </row>
    <row r="54" spans="2:18">
      <c r="B54" s="43" t="str">
        <f>'2017 Determination - Revenue'!B$38</f>
        <v>Macquarie</v>
      </c>
      <c r="C54" s="38" t="str">
        <f t="shared" si="17"/>
        <v>$/ML</v>
      </c>
      <c r="D54" s="38"/>
      <c r="E54" s="38"/>
      <c r="F54" s="255">
        <f t="shared" si="12"/>
        <v>13.514162012252285</v>
      </c>
      <c r="G54" s="256">
        <f t="shared" si="12"/>
        <v>13.3257587341638</v>
      </c>
      <c r="H54" s="256">
        <f t="shared" si="12"/>
        <v>12.983641167550713</v>
      </c>
      <c r="I54" s="183"/>
      <c r="J54" s="202">
        <f t="shared" si="13"/>
        <v>14.245069999999998</v>
      </c>
      <c r="K54" s="202">
        <f t="shared" si="13"/>
        <v>13.687249999999999</v>
      </c>
      <c r="L54" s="244">
        <f t="shared" si="14"/>
        <v>-3.9158810732414784E-2</v>
      </c>
      <c r="M54" s="244"/>
      <c r="N54" s="202">
        <f t="shared" si="15"/>
        <v>13.514162012252285</v>
      </c>
      <c r="O54" s="202">
        <f t="shared" si="15"/>
        <v>12.983641167550713</v>
      </c>
      <c r="P54" s="244">
        <f t="shared" si="16"/>
        <v>-3.9256658623789464E-2</v>
      </c>
      <c r="Q54" s="44"/>
      <c r="R54" s="38"/>
    </row>
    <row r="55" spans="2:18">
      <c r="B55" s="43" t="str">
        <f>'2017 Determination - Revenue'!B$39</f>
        <v>Murray</v>
      </c>
      <c r="C55" s="38" t="str">
        <f t="shared" si="17"/>
        <v>$/ML</v>
      </c>
      <c r="D55" s="38"/>
      <c r="E55" s="38"/>
      <c r="F55" s="255">
        <f t="shared" si="12"/>
        <v>8.8035579106887454</v>
      </c>
      <c r="G55" s="256">
        <f t="shared" si="12"/>
        <v>8.8036505894013555</v>
      </c>
      <c r="H55" s="256">
        <f t="shared" si="12"/>
        <v>8.9939448358644292</v>
      </c>
      <c r="I55" s="183"/>
      <c r="J55" s="202">
        <f t="shared" si="13"/>
        <v>9.2866699999999991</v>
      </c>
      <c r="K55" s="202">
        <f t="shared" si="13"/>
        <v>9.4829399999999993</v>
      </c>
      <c r="L55" s="244">
        <f t="shared" si="14"/>
        <v>2.1134593993325845E-2</v>
      </c>
      <c r="M55" s="244"/>
      <c r="N55" s="202">
        <f t="shared" si="15"/>
        <v>8.8035579106887454</v>
      </c>
      <c r="O55" s="202">
        <f t="shared" si="15"/>
        <v>8.9939448358644292</v>
      </c>
      <c r="P55" s="244">
        <f t="shared" si="16"/>
        <v>2.1626134241080841E-2</v>
      </c>
      <c r="Q55" s="44"/>
      <c r="R55" s="38"/>
    </row>
    <row r="56" spans="2:18">
      <c r="B56" s="43" t="str">
        <f>'2017 Determination - Revenue'!B$40</f>
        <v>Murrumbidgee</v>
      </c>
      <c r="C56" s="38" t="str">
        <f t="shared" si="17"/>
        <v>$/ML</v>
      </c>
      <c r="D56" s="38"/>
      <c r="E56" s="38"/>
      <c r="F56" s="255">
        <f t="shared" si="12"/>
        <v>4.5660305843127746</v>
      </c>
      <c r="G56" s="256">
        <f t="shared" si="12"/>
        <v>4.5661078724131983</v>
      </c>
      <c r="H56" s="256">
        <f t="shared" si="12"/>
        <v>4.654692602317648</v>
      </c>
      <c r="I56" s="183"/>
      <c r="J56" s="202">
        <f t="shared" si="13"/>
        <v>4.8034499999999998</v>
      </c>
      <c r="K56" s="202">
        <f t="shared" si="13"/>
        <v>4.8964199999999991</v>
      </c>
      <c r="L56" s="244">
        <f t="shared" si="14"/>
        <v>1.9354838709677358E-2</v>
      </c>
      <c r="M56" s="244"/>
      <c r="N56" s="202">
        <f t="shared" si="15"/>
        <v>4.5660305843127746</v>
      </c>
      <c r="O56" s="202">
        <f t="shared" si="15"/>
        <v>4.654692602317648</v>
      </c>
      <c r="P56" s="244">
        <f t="shared" si="16"/>
        <v>1.9417745099974626E-2</v>
      </c>
      <c r="Q56" s="44"/>
      <c r="R56" s="38"/>
    </row>
    <row r="57" spans="2:18">
      <c r="B57" s="43" t="str">
        <f>'2017 Determination - Revenue'!B$41</f>
        <v>Lowbidgee</v>
      </c>
      <c r="C57" s="38" t="str">
        <f>$C$27</f>
        <v>$/ML</v>
      </c>
      <c r="D57" s="38"/>
      <c r="E57" s="38"/>
      <c r="F57" s="255">
        <f t="shared" si="12"/>
        <v>0</v>
      </c>
      <c r="G57" s="256">
        <f t="shared" si="12"/>
        <v>0</v>
      </c>
      <c r="H57" s="256">
        <f t="shared" si="12"/>
        <v>0</v>
      </c>
      <c r="I57" s="183"/>
      <c r="J57" s="202">
        <f t="shared" si="13"/>
        <v>0</v>
      </c>
      <c r="K57" s="202">
        <f t="shared" si="13"/>
        <v>0</v>
      </c>
      <c r="L57" s="244" t="str">
        <f t="shared" si="14"/>
        <v>na</v>
      </c>
      <c r="M57" s="244"/>
      <c r="N57" s="202">
        <f t="shared" si="15"/>
        <v>0</v>
      </c>
      <c r="O57" s="202">
        <f t="shared" si="15"/>
        <v>0</v>
      </c>
      <c r="P57" s="244" t="str">
        <f t="shared" si="16"/>
        <v>na</v>
      </c>
      <c r="Q57" s="44"/>
      <c r="R57" s="38"/>
    </row>
    <row r="58" spans="2:18">
      <c r="B58" s="79" t="s">
        <v>34</v>
      </c>
      <c r="C58" s="82"/>
      <c r="D58" s="82"/>
      <c r="E58" s="82"/>
      <c r="F58" s="219">
        <f>SUM(F49:F57)-SUM(F90:F98)-SUM(F130:F137)</f>
        <v>0</v>
      </c>
      <c r="G58" s="219">
        <f>SUM(G49:G57)-SUM(G90:G98)-SUM(G130:G137)</f>
        <v>0</v>
      </c>
      <c r="H58" s="219">
        <f>SUM(H49:H57)-SUM(H90:H98)-SUM(H130:H137)</f>
        <v>0</v>
      </c>
      <c r="I58" s="219"/>
      <c r="J58" s="219">
        <f>SUM(J49:J57)-SUM(J90:J98)-SUM(J130:J137)</f>
        <v>2.1316282072803006E-14</v>
      </c>
      <c r="K58" s="219">
        <f>SUM(K49:K57)-SUM(K90:K98)-SUM(K130:K137)</f>
        <v>-2.6645352591003757E-14</v>
      </c>
      <c r="L58" s="232"/>
      <c r="M58" s="232"/>
      <c r="N58" s="219">
        <f>SUM(N49:N57)-SUM(N90:N98)-SUM(N130:N137)</f>
        <v>-1.9539925233402755E-14</v>
      </c>
      <c r="O58" s="219">
        <f>SUM(O49:O57)-SUM(O90:O98)-SUM(O130:O137)</f>
        <v>0</v>
      </c>
      <c r="P58" s="232"/>
      <c r="Q58" s="257"/>
      <c r="R58" s="210"/>
    </row>
    <row r="59" spans="2:18">
      <c r="B59" s="79"/>
      <c r="C59" s="82"/>
      <c r="D59" s="82"/>
      <c r="E59" s="82"/>
      <c r="F59" s="219"/>
      <c r="G59" s="219"/>
      <c r="H59" s="219"/>
      <c r="I59" s="219"/>
      <c r="J59" s="232"/>
      <c r="K59" s="232"/>
      <c r="L59" s="232"/>
      <c r="M59" s="232"/>
      <c r="N59" s="232"/>
      <c r="O59" s="232"/>
      <c r="P59" s="232"/>
      <c r="Q59" s="257"/>
      <c r="R59" s="210"/>
    </row>
    <row r="60" spans="2:18">
      <c r="B60" s="45"/>
      <c r="C60" s="36"/>
      <c r="D60" s="36"/>
      <c r="E60" s="36"/>
      <c r="F60" s="56"/>
      <c r="G60" s="56"/>
      <c r="H60" s="56"/>
      <c r="I60" s="56"/>
      <c r="J60" s="178"/>
      <c r="K60" s="178"/>
      <c r="L60" s="178"/>
      <c r="M60" s="247"/>
      <c r="N60" s="247"/>
      <c r="O60" s="247"/>
      <c r="P60" s="247"/>
      <c r="Q60" s="258"/>
      <c r="R60" s="210"/>
    </row>
    <row r="61" spans="2:18">
      <c r="F61" s="213"/>
      <c r="G61" s="213"/>
      <c r="H61" s="213"/>
      <c r="I61" s="213"/>
      <c r="J61" s="213"/>
      <c r="K61" s="213"/>
      <c r="L61" s="248"/>
      <c r="M61" s="248"/>
      <c r="N61" s="248"/>
      <c r="O61" s="248"/>
      <c r="P61" s="248"/>
      <c r="Q61" s="248"/>
      <c r="R61" s="248"/>
    </row>
    <row r="62" spans="2:18">
      <c r="B62" s="110"/>
      <c r="F62" s="213"/>
      <c r="G62" s="213"/>
      <c r="H62" s="213"/>
      <c r="I62" s="213"/>
      <c r="J62" s="213"/>
      <c r="K62" s="213"/>
      <c r="L62" s="248"/>
      <c r="M62" s="248"/>
      <c r="N62" s="248"/>
      <c r="O62" s="248"/>
      <c r="P62" s="248"/>
      <c r="Q62" s="248"/>
      <c r="R62" s="248"/>
    </row>
    <row r="63" spans="2:18">
      <c r="B63" s="33" t="s">
        <v>241</v>
      </c>
      <c r="F63" s="213"/>
      <c r="G63" s="213"/>
      <c r="H63" s="213"/>
      <c r="I63" s="213"/>
      <c r="J63" s="213"/>
      <c r="K63" s="213"/>
      <c r="L63" s="248"/>
      <c r="M63" s="248"/>
      <c r="N63" s="248"/>
      <c r="O63" s="248"/>
      <c r="P63" s="248"/>
      <c r="Q63" s="248"/>
      <c r="R63" s="248"/>
    </row>
    <row r="64" spans="2:18">
      <c r="B64" s="260" t="str">
        <f>'2017 Determination - Revenue'!B$16</f>
        <v>Financial year</v>
      </c>
      <c r="C64" s="261" t="str">
        <f>'2017 Determination - Revenue'!C$28</f>
        <v>Units</v>
      </c>
      <c r="D64" s="261"/>
      <c r="E64" s="261"/>
      <c r="F64" s="230" t="str">
        <f>'2017 Determination - Revenue'!F$16</f>
        <v>2017-18</v>
      </c>
      <c r="G64" s="230" t="str">
        <f>'2017 Determination - Revenue'!G$16</f>
        <v>2018-19</v>
      </c>
      <c r="H64" s="230" t="str">
        <f>'2017 Determination - Revenue'!H$16</f>
        <v>2019-20</v>
      </c>
      <c r="I64" s="198"/>
      <c r="J64" s="315" t="str">
        <f>J$23</f>
        <v xml:space="preserve">2019-20 charges expressed </v>
      </c>
      <c r="K64" s="315"/>
      <c r="L64" s="198" t="str">
        <f>$L$23</f>
        <v>Difference between</v>
      </c>
      <c r="M64" s="198"/>
      <c r="N64" s="315" t="str">
        <f>N23</f>
        <v xml:space="preserve">2019-20 charges expressed </v>
      </c>
      <c r="O64" s="315"/>
      <c r="P64" s="198" t="str">
        <f>P23</f>
        <v>Difference between</v>
      </c>
      <c r="Q64" s="259"/>
      <c r="R64" s="210"/>
    </row>
    <row r="65" spans="2:19" s="110" customFormat="1" ht="22.75" customHeight="1">
      <c r="B65" s="229"/>
      <c r="C65" s="210"/>
      <c r="D65" s="210"/>
      <c r="E65" s="210"/>
      <c r="F65" s="234" t="str">
        <f>F$24</f>
        <v>As per 2017 Determination</v>
      </c>
      <c r="G65" s="234" t="str">
        <f>G$24</f>
        <v>Re-calculated charges</v>
      </c>
      <c r="H65" s="234" t="str">
        <f>H$24</f>
        <v>Re-calculated charges</v>
      </c>
      <c r="I65" s="199"/>
      <c r="J65" s="234" t="str">
        <f>F65</f>
        <v>As per 2017 Determination</v>
      </c>
      <c r="K65" s="199" t="str">
        <f>G65</f>
        <v>Re-calculated charges</v>
      </c>
      <c r="L65" s="199" t="str">
        <f>$L$24</f>
        <v xml:space="preserve"> 2019-20 re-calculated and 2017 determination charges</v>
      </c>
      <c r="M65" s="199"/>
      <c r="N65" s="199" t="str">
        <f>N24</f>
        <v>As per 2017 Determination</v>
      </c>
      <c r="O65" s="199" t="str">
        <f>O24</f>
        <v>Re-calculated charges</v>
      </c>
      <c r="P65" s="199" t="str">
        <f>P24</f>
        <v xml:space="preserve"> 2019-20 re-calculated and 2017 determination charges</v>
      </c>
      <c r="Q65" s="257"/>
      <c r="R65" s="210"/>
      <c r="S65" s="213"/>
    </row>
    <row r="66" spans="2:19">
      <c r="B66" s="229"/>
      <c r="C66" s="210"/>
      <c r="D66" s="210"/>
      <c r="E66" s="210"/>
      <c r="F66" s="235" t="str">
        <f>'2017 Determination - Revenue'!$F$29</f>
        <v>$2016-17</v>
      </c>
      <c r="G66" s="235" t="str">
        <f>'2017 Determination - Revenue'!$F$29</f>
        <v>$2016-17</v>
      </c>
      <c r="H66" s="235" t="str">
        <f>'2017 Determination - Revenue'!$F$29</f>
        <v>$2016-17</v>
      </c>
      <c r="I66" s="200"/>
      <c r="J66" s="203" t="str">
        <f>J$25</f>
        <v>$2019-20</v>
      </c>
      <c r="K66" s="235" t="str">
        <f>K$25</f>
        <v>$2019-20</v>
      </c>
      <c r="L66" s="132" t="str">
        <f>$L$25</f>
        <v>%</v>
      </c>
      <c r="M66" s="132"/>
      <c r="N66" s="132" t="str">
        <f>N$25</f>
        <v>$2016-17</v>
      </c>
      <c r="O66" s="132" t="str">
        <f>O$25</f>
        <v>$2016-17</v>
      </c>
      <c r="P66" s="132" t="str">
        <f>P$25</f>
        <v>%</v>
      </c>
      <c r="Q66" s="257"/>
      <c r="R66" s="210"/>
    </row>
    <row r="67" spans="2:19">
      <c r="B67" s="262" t="str">
        <f>B$26</f>
        <v>Usage charges</v>
      </c>
      <c r="C67" s="210"/>
      <c r="D67" s="210"/>
      <c r="E67" s="210"/>
      <c r="F67" s="238"/>
      <c r="G67" s="238"/>
      <c r="H67" s="238"/>
      <c r="I67" s="238"/>
      <c r="J67" s="232"/>
      <c r="K67" s="232"/>
      <c r="L67" s="232"/>
      <c r="M67" s="232"/>
      <c r="N67" s="232"/>
      <c r="O67" s="232"/>
      <c r="P67" s="232"/>
      <c r="Q67" s="257"/>
      <c r="R67" s="210"/>
    </row>
    <row r="68" spans="2:19">
      <c r="B68" s="229" t="str">
        <f>'2017 Determination - Revenue'!B$33</f>
        <v>Border</v>
      </c>
      <c r="C68" s="210" t="str">
        <f>$C$27</f>
        <v>$/ML</v>
      </c>
      <c r="D68" s="210"/>
      <c r="E68" s="210"/>
      <c r="F68" s="263">
        <f>'2017 Determination - charges'!F18</f>
        <v>5.4449619575243808</v>
      </c>
      <c r="G68" s="256">
        <f>(('MDB calcs'!G172/'MDB calcs'!G21)*1000)</f>
        <v>5.3325154463286548</v>
      </c>
      <c r="H68" s="256">
        <f>(('MDB calcs'!H172/'MDB calcs'!H21)*1000)</f>
        <v>5.418975229671779</v>
      </c>
      <c r="I68" s="183"/>
      <c r="J68" s="221">
        <f>'2017 Determination - charges'!L18</f>
        <v>5.7331499999999993</v>
      </c>
      <c r="K68" s="221">
        <f>ROUND((ROUND(H68,2)*(1+'2017 Determination - Revenue'!$F$18)),2)*(1+'2017 Determination - Revenue'!$H$22)</f>
        <v>5.7124899999999998</v>
      </c>
      <c r="L68" s="244">
        <f t="shared" ref="L68:L76" si="18">IF(J68=0,"na",K68/J68-1)</f>
        <v>-3.6036036036034558E-3</v>
      </c>
      <c r="M68" s="244"/>
      <c r="N68" s="204">
        <f>'2017 Determination - charges'!H18</f>
        <v>5.4449619575243808</v>
      </c>
      <c r="O68" s="204">
        <f t="shared" ref="O68:O76" si="19">H68</f>
        <v>5.418975229671779</v>
      </c>
      <c r="P68" s="244">
        <f t="shared" ref="P68:P76" si="20">IF(N68=0,"na",O68/N68-1)</f>
        <v>-4.7726188089690647E-3</v>
      </c>
      <c r="Q68" s="265"/>
      <c r="R68" s="221"/>
    </row>
    <row r="69" spans="2:19">
      <c r="B69" s="229" t="str">
        <f>'2017 Determination - Revenue'!B$34</f>
        <v>Gwydir</v>
      </c>
      <c r="C69" s="210" t="str">
        <f t="shared" ref="C69:C75" si="21">$C$27</f>
        <v>$/ML</v>
      </c>
      <c r="D69" s="210"/>
      <c r="E69" s="210"/>
      <c r="F69" s="263">
        <f>'2017 Determination - charges'!F19</f>
        <v>11.873139524320214</v>
      </c>
      <c r="G69" s="256">
        <f>(('MDB calcs'!G173/'MDB calcs'!G22)*1000)</f>
        <v>12.015082003392797</v>
      </c>
      <c r="H69" s="256">
        <f>(('MDB calcs'!H173/'MDB calcs'!H22)*1000)</f>
        <v>12.348169387028879</v>
      </c>
      <c r="I69" s="183"/>
      <c r="J69" s="221">
        <f>'2017 Determination - charges'!L19</f>
        <v>12.519959999999998</v>
      </c>
      <c r="K69" s="221">
        <f>ROUND((ROUND(H69,2)*(1+'2017 Determination - Revenue'!$F$18)),2)*(1+'2017 Determination - Revenue'!$H$22)</f>
        <v>13.026129999999998</v>
      </c>
      <c r="L69" s="244">
        <f t="shared" si="18"/>
        <v>4.0429042904290613E-2</v>
      </c>
      <c r="M69" s="244"/>
      <c r="N69" s="204">
        <f>'2017 Determination - charges'!H19</f>
        <v>11.873139524320214</v>
      </c>
      <c r="O69" s="204">
        <f t="shared" si="19"/>
        <v>12.348169387028879</v>
      </c>
      <c r="P69" s="244">
        <f t="shared" si="20"/>
        <v>4.0008782995907932E-2</v>
      </c>
      <c r="Q69" s="257"/>
      <c r="R69" s="210"/>
    </row>
    <row r="70" spans="2:19">
      <c r="B70" s="229" t="str">
        <f>'2017 Determination - Revenue'!B$35</f>
        <v>Namoi</v>
      </c>
      <c r="C70" s="210" t="str">
        <f t="shared" si="21"/>
        <v>$/ML</v>
      </c>
      <c r="D70" s="210"/>
      <c r="E70" s="210"/>
      <c r="F70" s="263">
        <f>'2017 Determination - charges'!F20</f>
        <v>19.983537685794229</v>
      </c>
      <c r="G70" s="256">
        <f>(('MDB calcs'!G174/'MDB calcs'!G23)*1000)</f>
        <v>19.895307159106121</v>
      </c>
      <c r="H70" s="256">
        <f>(('MDB calcs'!H174/'MDB calcs'!H23)*1000)</f>
        <v>20.793739614922096</v>
      </c>
      <c r="I70" s="183"/>
      <c r="J70" s="221">
        <f>'2017 Determination - charges'!L20</f>
        <v>21.073199999999996</v>
      </c>
      <c r="K70" s="221">
        <f>ROUND((ROUND(H70,2)*(1+'2017 Determination - Revenue'!$F$18)),2)*(1+'2017 Determination - Revenue'!$H$22)</f>
        <v>21.930589999999999</v>
      </c>
      <c r="L70" s="244">
        <f t="shared" si="18"/>
        <v>4.0686274509803999E-2</v>
      </c>
      <c r="M70" s="244"/>
      <c r="N70" s="204">
        <f>'2017 Determination - charges'!H20</f>
        <v>19.983537685794229</v>
      </c>
      <c r="O70" s="204">
        <f t="shared" si="19"/>
        <v>20.793739614922096</v>
      </c>
      <c r="P70" s="244">
        <f t="shared" si="20"/>
        <v>4.0543468422201245E-2</v>
      </c>
      <c r="Q70" s="257"/>
      <c r="R70" s="210"/>
    </row>
    <row r="71" spans="2:19">
      <c r="B71" s="229" t="str">
        <f>'2017 Determination - Revenue'!B$36</f>
        <v>Peel</v>
      </c>
      <c r="C71" s="210" t="str">
        <f t="shared" si="21"/>
        <v>$/ML</v>
      </c>
      <c r="D71" s="210"/>
      <c r="E71" s="210"/>
      <c r="F71" s="263">
        <f>'2017 Determination - charges'!F21</f>
        <v>55.091150391764842</v>
      </c>
      <c r="G71" s="256">
        <f>(('MDB calcs'!G175/'MDB calcs'!G24)*1000)</f>
        <v>17.994700641217754</v>
      </c>
      <c r="H71" s="256">
        <f>(('MDB calcs'!H175/'MDB calcs'!H24)*1000)</f>
        <v>17.540784239105591</v>
      </c>
      <c r="I71" s="183"/>
      <c r="J71" s="221">
        <f>'2017 Determination - charges'!L21</f>
        <v>19.368749999999999</v>
      </c>
      <c r="K71" s="221">
        <f>ROUND((ROUND(H71,2)*(1+'2017 Determination - Revenue'!$F$18)),2)*(1+'2017 Determination - Revenue'!$H$22)</f>
        <v>18.50103</v>
      </c>
      <c r="L71" s="244">
        <f t="shared" si="18"/>
        <v>-4.4799999999999951E-2</v>
      </c>
      <c r="M71" s="244"/>
      <c r="N71" s="204">
        <f>'2017 Determination - charges'!H21</f>
        <v>18.363716797254945</v>
      </c>
      <c r="O71" s="204">
        <f t="shared" si="19"/>
        <v>17.540784239105591</v>
      </c>
      <c r="P71" s="244">
        <f t="shared" si="20"/>
        <v>-4.4812962824190783E-2</v>
      </c>
      <c r="Q71" s="257"/>
      <c r="R71" s="210"/>
    </row>
    <row r="72" spans="2:19">
      <c r="B72" s="229" t="str">
        <f>'2017 Determination - Revenue'!B$37</f>
        <v>Lachlan</v>
      </c>
      <c r="C72" s="210" t="str">
        <f t="shared" si="21"/>
        <v>$/ML</v>
      </c>
      <c r="D72" s="210"/>
      <c r="E72" s="210"/>
      <c r="F72" s="263">
        <f>'2017 Determination - charges'!F22</f>
        <v>19.038335664987216</v>
      </c>
      <c r="G72" s="256">
        <f>(('MDB calcs'!G176/'MDB calcs'!G25)*1000)</f>
        <v>20.16030963938173</v>
      </c>
      <c r="H72" s="256">
        <f>(('MDB calcs'!H176/'MDB calcs'!H25)*1000)</f>
        <v>20.510709897903102</v>
      </c>
      <c r="I72" s="183"/>
      <c r="J72" s="221">
        <f>'2017 Determination - charges'!L22</f>
        <v>20.081520000000001</v>
      </c>
      <c r="K72" s="221">
        <f>ROUND((ROUND(H72,2)*(1+'2017 Determination - Revenue'!$F$18)),2)*(1+'2017 Determination - Revenue'!$H$22)</f>
        <v>21.631019999999999</v>
      </c>
      <c r="L72" s="244">
        <f t="shared" si="18"/>
        <v>7.7160493827160392E-2</v>
      </c>
      <c r="M72" s="244"/>
      <c r="N72" s="204">
        <f>'2017 Determination - charges'!H22</f>
        <v>19.038335664987216</v>
      </c>
      <c r="O72" s="204">
        <f t="shared" si="19"/>
        <v>20.510709897903102</v>
      </c>
      <c r="P72" s="244">
        <f t="shared" si="20"/>
        <v>7.7337339714189435E-2</v>
      </c>
      <c r="Q72" s="257"/>
      <c r="R72" s="210"/>
    </row>
    <row r="73" spans="2:19">
      <c r="B73" s="229" t="str">
        <f>'2017 Determination - Revenue'!B$38</f>
        <v>Macquarie</v>
      </c>
      <c r="C73" s="210" t="str">
        <f t="shared" si="21"/>
        <v>$/ML</v>
      </c>
      <c r="D73" s="210"/>
      <c r="E73" s="210"/>
      <c r="F73" s="263">
        <f>'2017 Determination - charges'!F23</f>
        <v>13.78434038452443</v>
      </c>
      <c r="G73" s="256">
        <f>(('MDB calcs'!G177/'MDB calcs'!G26)*1000)</f>
        <v>14.102148917391292</v>
      </c>
      <c r="H73" s="256">
        <f>(('MDB calcs'!H177/'MDB calcs'!H26)*1000)</f>
        <v>14.11345678548799</v>
      </c>
      <c r="I73" s="183"/>
      <c r="J73" s="221">
        <f>'2017 Determination - charges'!L23</f>
        <v>14.53431</v>
      </c>
      <c r="K73" s="221">
        <f>ROUND((ROUND(H73,2)*(1+'2017 Determination - Revenue'!$F$18)),2)*(1+'2017 Determination - Revenue'!$H$22)</f>
        <v>14.885529999999999</v>
      </c>
      <c r="L73" s="244">
        <f t="shared" si="18"/>
        <v>2.4164889836531644E-2</v>
      </c>
      <c r="M73" s="244"/>
      <c r="N73" s="204">
        <f>'2017 Determination - charges'!H23</f>
        <v>13.78434038452443</v>
      </c>
      <c r="O73" s="204">
        <f t="shared" si="19"/>
        <v>14.11345678548799</v>
      </c>
      <c r="P73" s="244">
        <f t="shared" si="20"/>
        <v>2.3876108089514236E-2</v>
      </c>
      <c r="Q73" s="257"/>
      <c r="R73" s="210"/>
    </row>
    <row r="74" spans="2:19">
      <c r="B74" s="229" t="str">
        <f>'2017 Determination - Revenue'!B$39</f>
        <v>Murray</v>
      </c>
      <c r="C74" s="210" t="str">
        <f t="shared" si="21"/>
        <v>$/ML</v>
      </c>
      <c r="D74" s="210"/>
      <c r="E74" s="210"/>
      <c r="F74" s="263">
        <f>'2017 Determination - charges'!F24</f>
        <v>1.9059075031952837</v>
      </c>
      <c r="G74" s="256">
        <f>(('MDB calcs'!G178/'MDB calcs'!G27)*1000)</f>
        <v>1.9503940570760232</v>
      </c>
      <c r="H74" s="256">
        <f>(('MDB calcs'!H178/'MDB calcs'!H27)*1000)</f>
        <v>1.9809946647821046</v>
      </c>
      <c r="I74" s="183"/>
      <c r="J74" s="221">
        <f>'2017 Determination - charges'!L24</f>
        <v>2.0143499999999999</v>
      </c>
      <c r="K74" s="221">
        <f>ROUND((ROUND(H74,2)*(1+'2017 Determination - Revenue'!$F$18)),2)*(1+'2017 Determination - Revenue'!$H$22)</f>
        <v>2.0866599999999997</v>
      </c>
      <c r="L74" s="244">
        <f t="shared" si="18"/>
        <v>3.589743589743577E-2</v>
      </c>
      <c r="M74" s="244"/>
      <c r="N74" s="204">
        <f>'2017 Determination - charges'!H24</f>
        <v>1.9059075031952837</v>
      </c>
      <c r="O74" s="204">
        <f t="shared" si="19"/>
        <v>1.9809946647821046</v>
      </c>
      <c r="P74" s="244">
        <f t="shared" si="20"/>
        <v>3.9397064894773903E-2</v>
      </c>
      <c r="Q74" s="257"/>
      <c r="R74" s="210"/>
    </row>
    <row r="75" spans="2:19">
      <c r="B75" s="229" t="str">
        <f>'2017 Determination - Revenue'!B$40</f>
        <v>Murrumbidgee</v>
      </c>
      <c r="C75" s="210" t="str">
        <f t="shared" si="21"/>
        <v>$/ML</v>
      </c>
      <c r="D75" s="210"/>
      <c r="E75" s="210"/>
      <c r="F75" s="263">
        <f>'2017 Determination - charges'!F25</f>
        <v>3.3066680084074336</v>
      </c>
      <c r="G75" s="256">
        <f>(('MDB calcs'!G179/'MDB calcs'!G28)*1000)</f>
        <v>3.388023718574328</v>
      </c>
      <c r="H75" s="256">
        <f>(('MDB calcs'!H179/'MDB calcs'!H28)*1000)</f>
        <v>3.4698884803489101</v>
      </c>
      <c r="I75" s="183"/>
      <c r="J75" s="221">
        <f>'2017 Determination - charges'!L25</f>
        <v>3.4915399999999996</v>
      </c>
      <c r="K75" s="221">
        <f>ROUND((ROUND(H75,2)*(1+'2017 Determination - Revenue'!$F$18)),2)*(1+'2017 Determination - Revenue'!$H$22)</f>
        <v>3.6568199999999997</v>
      </c>
      <c r="L75" s="244">
        <f t="shared" si="18"/>
        <v>4.7337278106508895E-2</v>
      </c>
      <c r="M75" s="244"/>
      <c r="N75" s="204">
        <f>'2017 Determination - charges'!H25</f>
        <v>3.3066680084074336</v>
      </c>
      <c r="O75" s="204">
        <f t="shared" si="19"/>
        <v>3.4698884803489101</v>
      </c>
      <c r="P75" s="244">
        <f t="shared" si="20"/>
        <v>4.9361009791874189E-2</v>
      </c>
      <c r="Q75" s="257"/>
      <c r="R75" s="210"/>
    </row>
    <row r="76" spans="2:19">
      <c r="B76" s="229" t="str">
        <f>'2017 Determination - Revenue'!B$41</f>
        <v>Lowbidgee</v>
      </c>
      <c r="C76" s="210" t="str">
        <f>$C$27</f>
        <v>$/ML</v>
      </c>
      <c r="D76" s="210"/>
      <c r="E76" s="210"/>
      <c r="F76" s="240">
        <v>0</v>
      </c>
      <c r="G76" s="256">
        <f>(('MDB calcs'!G180/'MDB calcs'!G29)*1000)</f>
        <v>0</v>
      </c>
      <c r="H76" s="256">
        <f>(('MDB calcs'!H180/'MDB calcs'!H29)*1000)</f>
        <v>0</v>
      </c>
      <c r="I76" s="183"/>
      <c r="J76" s="221">
        <f>'2017 Determination - charges'!L26</f>
        <v>0</v>
      </c>
      <c r="K76" s="221">
        <f>ROUND((ROUND(H76,2)*(1+'2017 Determination - Revenue'!$F$18)),2)*(1+'2017 Determination - Revenue'!$H$22)</f>
        <v>0</v>
      </c>
      <c r="L76" s="244" t="str">
        <f t="shared" si="18"/>
        <v>na</v>
      </c>
      <c r="M76" s="244"/>
      <c r="N76" s="204">
        <f>'2017 Determination - charges'!H26</f>
        <v>0</v>
      </c>
      <c r="O76" s="204">
        <f t="shared" si="19"/>
        <v>0</v>
      </c>
      <c r="P76" s="244" t="str">
        <f t="shared" si="20"/>
        <v>na</v>
      </c>
      <c r="Q76" s="257"/>
      <c r="R76" s="210"/>
    </row>
    <row r="77" spans="2:19">
      <c r="B77" s="264" t="s">
        <v>34</v>
      </c>
      <c r="C77" s="210"/>
      <c r="D77" s="210"/>
      <c r="E77" s="210"/>
      <c r="F77" s="219"/>
      <c r="G77" s="219">
        <f>SUM(G68:G75)-((SUMPRODUCT('MDB calcs'!G172:G179/'MDB calcs'!G21:G28))*1000)</f>
        <v>0</v>
      </c>
      <c r="H77" s="219">
        <f>SUM(H68:H75)-((SUMPRODUCT('MDB calcs'!H172:H179/'MDB calcs'!H21:H28))*1000)</f>
        <v>0</v>
      </c>
      <c r="I77" s="219"/>
      <c r="J77" s="244"/>
      <c r="K77" s="244"/>
      <c r="L77" s="244"/>
      <c r="M77" s="244"/>
      <c r="N77" s="244"/>
      <c r="O77" s="244"/>
      <c r="P77" s="244"/>
      <c r="Q77" s="257"/>
      <c r="R77" s="210"/>
    </row>
    <row r="78" spans="2:19">
      <c r="B78" s="262" t="str">
        <f>B$37</f>
        <v>General security entitlement charges</v>
      </c>
      <c r="C78" s="210"/>
      <c r="D78" s="210"/>
      <c r="E78" s="210"/>
      <c r="F78" s="186"/>
      <c r="G78" s="53"/>
      <c r="H78" s="53"/>
      <c r="I78" s="38"/>
      <c r="J78" s="244"/>
      <c r="K78" s="244"/>
      <c r="L78" s="244"/>
      <c r="M78" s="244"/>
      <c r="N78" s="244"/>
      <c r="O78" s="244"/>
      <c r="P78" s="244"/>
      <c r="Q78" s="257"/>
      <c r="R78" s="210"/>
    </row>
    <row r="79" spans="2:19">
      <c r="B79" s="229" t="str">
        <f>'2017 Determination - Revenue'!B$33</f>
        <v>Border</v>
      </c>
      <c r="C79" s="210" t="str">
        <f>$C$27</f>
        <v>$/ML</v>
      </c>
      <c r="D79" s="210"/>
      <c r="E79" s="210"/>
      <c r="F79" s="263">
        <f>'2017 Determination - charges'!F35</f>
        <v>1.9788687190371097</v>
      </c>
      <c r="G79" s="256">
        <f>(('MDB calcs'!G160/'MDB calcs'!G131)*1000)</f>
        <v>1.9816172959109561</v>
      </c>
      <c r="H79" s="256">
        <f>(('MDB calcs'!H160/'MDB calcs'!H131)*1000)</f>
        <v>1.979379522389638</v>
      </c>
      <c r="I79" s="183"/>
      <c r="J79" s="221">
        <f>'2017 Determination - charges'!L35</f>
        <v>2.0866599999999997</v>
      </c>
      <c r="K79" s="221">
        <f>ROUND((ROUND(H79,2)*(1+'2017 Determination - Revenue'!$F$18)),2)*(1+'2017 Determination - Revenue'!$H$22)</f>
        <v>2.0866599999999997</v>
      </c>
      <c r="L79" s="244">
        <f t="shared" ref="L79:L87" si="22">IF(J79=0,"na",K79/J79-1)</f>
        <v>0</v>
      </c>
      <c r="M79" s="244"/>
      <c r="N79" s="204">
        <f>'2017 Determination - charges'!H35</f>
        <v>1.9788687190371097</v>
      </c>
      <c r="O79" s="204">
        <f t="shared" ref="O79:O87" si="23">H79</f>
        <v>1.979379522389638</v>
      </c>
      <c r="P79" s="244">
        <f t="shared" ref="P79:P87" si="24">IF(N79=0,"na",O79/N79-1)</f>
        <v>2.5812897420340875E-4</v>
      </c>
      <c r="Q79" s="257"/>
      <c r="R79" s="210"/>
    </row>
    <row r="80" spans="2:19">
      <c r="B80" s="229" t="str">
        <f>'2017 Determination - Revenue'!B$34</f>
        <v>Gwydir</v>
      </c>
      <c r="C80" s="210" t="str">
        <f t="shared" ref="C80:C86" si="25">$C$27</f>
        <v>$/ML</v>
      </c>
      <c r="D80" s="210"/>
      <c r="E80" s="210"/>
      <c r="F80" s="263">
        <f>'2017 Determination - charges'!F36</f>
        <v>3.4798474827858135</v>
      </c>
      <c r="G80" s="256">
        <f>(('MDB calcs'!G161/'MDB calcs'!G132)*1000)</f>
        <v>3.4819348836386537</v>
      </c>
      <c r="H80" s="256">
        <f>(('MDB calcs'!H161/'MDB calcs'!H132)*1000)</f>
        <v>3.4429045265792064</v>
      </c>
      <c r="I80" s="183"/>
      <c r="J80" s="221">
        <f>'2017 Determination - charges'!L36</f>
        <v>3.6671499999999995</v>
      </c>
      <c r="K80" s="221">
        <f>ROUND((ROUND(H80,2)*(1+'2017 Determination - Revenue'!$F$18)),2)*(1+'2017 Determination - Revenue'!$H$22)</f>
        <v>3.6258299999999997</v>
      </c>
      <c r="L80" s="244">
        <f t="shared" si="22"/>
        <v>-1.1267605633802802E-2</v>
      </c>
      <c r="M80" s="244"/>
      <c r="N80" s="204">
        <f>'2017 Determination - charges'!H36</f>
        <v>3.4798474827858135</v>
      </c>
      <c r="O80" s="204">
        <f t="shared" si="23"/>
        <v>3.4429045265792064</v>
      </c>
      <c r="P80" s="244">
        <f t="shared" si="24"/>
        <v>-1.0616257289825848E-2</v>
      </c>
      <c r="Q80" s="257"/>
      <c r="R80" s="210"/>
    </row>
    <row r="81" spans="2:18">
      <c r="B81" s="229" t="str">
        <f>'2017 Determination - Revenue'!B$35</f>
        <v>Namoi</v>
      </c>
      <c r="C81" s="210" t="str">
        <f t="shared" si="25"/>
        <v>$/ML</v>
      </c>
      <c r="D81" s="210"/>
      <c r="E81" s="210"/>
      <c r="F81" s="263">
        <f>'2017 Determination - charges'!F37</f>
        <v>7.9573495340749334</v>
      </c>
      <c r="G81" s="256">
        <f>(('MDB calcs'!G162/'MDB calcs'!G133)*1000)</f>
        <v>7.9683518692056623</v>
      </c>
      <c r="H81" s="256">
        <f>(('MDB calcs'!H162/'MDB calcs'!H133)*1000)</f>
        <v>7.9155573202818603</v>
      </c>
      <c r="I81" s="183"/>
      <c r="J81" s="221">
        <f>'2017 Determination - charges'!L37</f>
        <v>8.3982899999999994</v>
      </c>
      <c r="K81" s="221">
        <f>ROUND((ROUND(H81,2)*(1+'2017 Determination - Revenue'!$F$18)),2)*(1+'2017 Determination - Revenue'!$H$22)</f>
        <v>8.3569699999999987</v>
      </c>
      <c r="L81" s="244">
        <f t="shared" si="22"/>
        <v>-4.9200492004920493E-3</v>
      </c>
      <c r="M81" s="244"/>
      <c r="N81" s="204">
        <f>'2017 Determination - charges'!H37</f>
        <v>7.9573495340749334</v>
      </c>
      <c r="O81" s="204">
        <f t="shared" si="23"/>
        <v>7.9155573202818603</v>
      </c>
      <c r="P81" s="244">
        <f t="shared" si="24"/>
        <v>-5.2520268984177498E-3</v>
      </c>
      <c r="Q81" s="257"/>
      <c r="R81" s="210"/>
    </row>
    <row r="82" spans="2:18">
      <c r="B82" s="229" t="str">
        <f>'2017 Determination - Revenue'!B$36</f>
        <v>Peel</v>
      </c>
      <c r="C82" s="210" t="str">
        <f t="shared" si="25"/>
        <v>$/ML</v>
      </c>
      <c r="D82" s="210"/>
      <c r="E82" s="210"/>
      <c r="F82" s="263">
        <f>'2017 Determination - charges'!F38</f>
        <v>2.0088384355493285</v>
      </c>
      <c r="G82" s="256">
        <f>(('MDB calcs'!G163/'MDB calcs'!G134)*1000)</f>
        <v>4.1140497558650839</v>
      </c>
      <c r="H82" s="256">
        <f>(('MDB calcs'!H163/'MDB calcs'!H134)*1000)</f>
        <v>4.1373190377332918</v>
      </c>
      <c r="I82" s="183"/>
      <c r="J82" s="221">
        <f>'2017 Determination - charges'!L38</f>
        <v>4.2352999999999996</v>
      </c>
      <c r="K82" s="221">
        <f>ROUND((ROUND(H82,2)*(1+'2017 Determination - Revenue'!$F$18)),2)*(1+'2017 Determination - Revenue'!$H$22)</f>
        <v>4.3695900000000005</v>
      </c>
      <c r="L82" s="244">
        <f t="shared" si="22"/>
        <v>3.1707317073170982E-2</v>
      </c>
      <c r="M82" s="244"/>
      <c r="N82" s="204">
        <f>'2017 Determination - charges'!H38</f>
        <v>4.017676871098657</v>
      </c>
      <c r="O82" s="204">
        <f t="shared" si="23"/>
        <v>4.1373190377332918</v>
      </c>
      <c r="P82" s="244">
        <f t="shared" si="24"/>
        <v>2.9778942028734656E-2</v>
      </c>
      <c r="Q82" s="257"/>
      <c r="R82" s="210"/>
    </row>
    <row r="83" spans="2:18">
      <c r="B83" s="229" t="str">
        <f>'2017 Determination - Revenue'!B$37</f>
        <v>Lachlan</v>
      </c>
      <c r="C83" s="210" t="str">
        <f t="shared" si="25"/>
        <v>$/ML</v>
      </c>
      <c r="D83" s="210"/>
      <c r="E83" s="210"/>
      <c r="F83" s="263">
        <f>'2017 Determination - charges'!F39</f>
        <v>2.7294754839554174</v>
      </c>
      <c r="G83" s="256">
        <f>(('MDB calcs'!G164/'MDB calcs'!G135)*1000)</f>
        <v>2.7758839032514664</v>
      </c>
      <c r="H83" s="256">
        <f>(('MDB calcs'!H164/'MDB calcs'!H135)*1000)</f>
        <v>2.7011352666429462</v>
      </c>
      <c r="I83" s="183"/>
      <c r="J83" s="221">
        <f>'2017 Determination - charges'!L39</f>
        <v>2.8820699999999997</v>
      </c>
      <c r="K83" s="221">
        <f>ROUND((ROUND(H83,2)*(1+'2017 Determination - Revenue'!$F$18)),2)*(1+'2017 Determination - Revenue'!$H$22)</f>
        <v>2.8510799999999996</v>
      </c>
      <c r="L83" s="244">
        <f t="shared" si="22"/>
        <v>-1.0752688172043001E-2</v>
      </c>
      <c r="M83" s="244"/>
      <c r="N83" s="204">
        <f>'2017 Determination - charges'!H39</f>
        <v>2.7294754839554174</v>
      </c>
      <c r="O83" s="204">
        <f t="shared" si="23"/>
        <v>2.7011352666429462</v>
      </c>
      <c r="P83" s="244">
        <f t="shared" si="24"/>
        <v>-1.0383026877897383E-2</v>
      </c>
      <c r="Q83" s="257"/>
      <c r="R83" s="210"/>
    </row>
    <row r="84" spans="2:18">
      <c r="B84" s="229" t="str">
        <f>'2017 Determination - Revenue'!B$38</f>
        <v>Macquarie</v>
      </c>
      <c r="C84" s="210" t="str">
        <f t="shared" si="25"/>
        <v>$/ML</v>
      </c>
      <c r="D84" s="210"/>
      <c r="E84" s="210"/>
      <c r="F84" s="263">
        <f>'2017 Determination - charges'!F40</f>
        <v>2.8467811535599639</v>
      </c>
      <c r="G84" s="256">
        <f>(('MDB calcs'!G165/'MDB calcs'!G136)*1000)</f>
        <v>2.8600389822677408</v>
      </c>
      <c r="H84" s="256">
        <f>(('MDB calcs'!H165/'MDB calcs'!H136)*1000)</f>
        <v>2.8830512530915575</v>
      </c>
      <c r="I84" s="183"/>
      <c r="J84" s="221">
        <f>'2017 Determination - charges'!L40</f>
        <v>3.00603</v>
      </c>
      <c r="K84" s="221">
        <f>ROUND((ROUND(H84,2)*(1+'2017 Determination - Revenue'!$F$18)),2)*(1+'2017 Determination - Revenue'!$H$22)</f>
        <v>3.0370199999999996</v>
      </c>
      <c r="L84" s="244">
        <f t="shared" si="22"/>
        <v>1.0309278350515427E-2</v>
      </c>
      <c r="M84" s="244"/>
      <c r="N84" s="204">
        <f>'2017 Determination - charges'!H40</f>
        <v>2.8467811535599639</v>
      </c>
      <c r="O84" s="204">
        <f t="shared" si="23"/>
        <v>2.8830512530915575</v>
      </c>
      <c r="P84" s="244">
        <f t="shared" si="24"/>
        <v>1.2740740357310987E-2</v>
      </c>
      <c r="Q84" s="257"/>
      <c r="R84" s="210"/>
    </row>
    <row r="85" spans="2:18">
      <c r="B85" s="229" t="str">
        <f>'2017 Determination - Revenue'!B$39</f>
        <v>Murray</v>
      </c>
      <c r="C85" s="210" t="str">
        <f t="shared" si="25"/>
        <v>$/ML</v>
      </c>
      <c r="D85" s="210"/>
      <c r="E85" s="210"/>
      <c r="F85" s="263">
        <f>'2017 Determination - charges'!F41</f>
        <v>0.75379063074672403</v>
      </c>
      <c r="G85" s="256">
        <f>(('MDB calcs'!G166/'MDB calcs'!G137)*1000)</f>
        <v>0.75380002329512741</v>
      </c>
      <c r="H85" s="256">
        <f>(('MDB calcs'!H166/'MDB calcs'!H137)*1000)</f>
        <v>0.74962015532850257</v>
      </c>
      <c r="I85" s="183"/>
      <c r="J85" s="221">
        <f>'2017 Determination - charges'!L41</f>
        <v>0.79540999999999995</v>
      </c>
      <c r="K85" s="221">
        <f>ROUND((ROUND(H85,2)*(1+'2017 Determination - Revenue'!$F$18)),2)*(1+'2017 Determination - Revenue'!$H$22)</f>
        <v>0.79540999999999995</v>
      </c>
      <c r="L85" s="244">
        <f t="shared" si="22"/>
        <v>0</v>
      </c>
      <c r="M85" s="244"/>
      <c r="N85" s="204">
        <f>'2017 Determination - charges'!H41</f>
        <v>0.75379063074672403</v>
      </c>
      <c r="O85" s="204">
        <f t="shared" si="23"/>
        <v>0.74962015532850257</v>
      </c>
      <c r="P85" s="244">
        <f t="shared" si="24"/>
        <v>-5.5326708081925302E-3</v>
      </c>
      <c r="Q85" s="257"/>
      <c r="R85" s="210"/>
    </row>
    <row r="86" spans="2:18" ht="12" thickBot="1">
      <c r="B86" s="229" t="str">
        <f>'2017 Determination - Revenue'!B$40</f>
        <v>Murrumbidgee</v>
      </c>
      <c r="C86" s="210" t="str">
        <f t="shared" si="25"/>
        <v>$/ML</v>
      </c>
      <c r="D86" s="210"/>
      <c r="E86" s="210"/>
      <c r="F86" s="263">
        <f>'2017 Determination - charges'!F42</f>
        <v>1.1144947783604038</v>
      </c>
      <c r="G86" s="269">
        <f>(('MDB calcs'!G167/'MDB calcs'!G138)*1000)</f>
        <v>1.1145188267602932</v>
      </c>
      <c r="H86" s="269">
        <f>(('MDB calcs'!H167/'MDB calcs'!H138)*1000)</f>
        <v>1.1033590381934999</v>
      </c>
      <c r="I86" s="183"/>
      <c r="J86" s="221">
        <f>'2017 Determination - charges'!L42</f>
        <v>1.1672899999999997</v>
      </c>
      <c r="K86" s="221">
        <f>ROUND((ROUND(H86,2)*(1+'2017 Determination - Revenue'!$F$18)),2)*(1+'2017 Determination - Revenue'!$H$22)</f>
        <v>1.15696</v>
      </c>
      <c r="L86" s="244">
        <f t="shared" si="22"/>
        <v>-8.8495575221236855E-3</v>
      </c>
      <c r="M86" s="244"/>
      <c r="N86" s="204">
        <f>'2017 Determination - charges'!H42</f>
        <v>1.1144947783604038</v>
      </c>
      <c r="O86" s="204">
        <f t="shared" si="23"/>
        <v>1.1033590381934999</v>
      </c>
      <c r="P86" s="244">
        <f t="shared" si="24"/>
        <v>-9.9917383043161001E-3</v>
      </c>
      <c r="Q86" s="257"/>
      <c r="R86" s="210"/>
    </row>
    <row r="87" spans="2:18" ht="12" thickTop="1">
      <c r="B87" s="229" t="str">
        <f>'2017 Determination - Revenue'!B$41</f>
        <v>Lowbidgee</v>
      </c>
      <c r="C87" s="210" t="str">
        <f>$C$27</f>
        <v>$/ML</v>
      </c>
      <c r="D87" s="210"/>
      <c r="E87" s="210"/>
      <c r="F87" s="263">
        <f>'2017 Determination - charges'!F43</f>
        <v>0.7831544756319907</v>
      </c>
      <c r="G87" s="256">
        <f>(('MDB calcs'!G156/'MDB calcs'!G139)*1000)</f>
        <v>0.78328421327595998</v>
      </c>
      <c r="H87" s="256">
        <f>(('MDB calcs'!H156/'MDB calcs'!H139)*1000)</f>
        <v>0.78298426918511288</v>
      </c>
      <c r="I87" s="183"/>
      <c r="J87" s="221">
        <f>'2017 Determination - charges'!L43</f>
        <v>0.82640000000000002</v>
      </c>
      <c r="K87" s="221">
        <f>ROUND((ROUND(H87,2)*(1+'2017 Determination - Revenue'!$F$18)),2)*(1+'2017 Determination - Revenue'!$H$22)</f>
        <v>0.82640000000000002</v>
      </c>
      <c r="L87" s="244">
        <f t="shared" si="22"/>
        <v>0</v>
      </c>
      <c r="M87" s="244"/>
      <c r="N87" s="204">
        <f>'2017 Determination - charges'!H43</f>
        <v>0.7831544756319907</v>
      </c>
      <c r="O87" s="204">
        <f t="shared" si="23"/>
        <v>0.78298426918511288</v>
      </c>
      <c r="P87" s="244">
        <f t="shared" si="24"/>
        <v>-2.1733444955474024E-4</v>
      </c>
      <c r="Q87" s="257"/>
      <c r="R87" s="210"/>
    </row>
    <row r="88" spans="2:18">
      <c r="B88" s="264"/>
      <c r="C88" s="210"/>
      <c r="D88" s="210"/>
      <c r="E88" s="210"/>
      <c r="F88" s="219"/>
      <c r="G88" s="83"/>
      <c r="H88" s="83"/>
      <c r="I88" s="135"/>
      <c r="J88" s="244"/>
      <c r="K88" s="244"/>
      <c r="L88" s="244"/>
      <c r="M88" s="244"/>
      <c r="N88" s="244"/>
      <c r="O88" s="244"/>
      <c r="P88" s="244"/>
      <c r="Q88" s="257"/>
      <c r="R88" s="210"/>
    </row>
    <row r="89" spans="2:18">
      <c r="B89" s="262" t="str">
        <f>B$48</f>
        <v>High security entitlement charges</v>
      </c>
      <c r="C89" s="210"/>
      <c r="D89" s="210"/>
      <c r="E89" s="210"/>
      <c r="F89" s="210"/>
      <c r="G89" s="38"/>
      <c r="H89" s="38"/>
      <c r="I89" s="38"/>
      <c r="J89" s="244"/>
      <c r="K89" s="244"/>
      <c r="L89" s="244"/>
      <c r="M89" s="244"/>
      <c r="N89" s="244"/>
      <c r="O89" s="244"/>
      <c r="P89" s="244"/>
      <c r="Q89" s="257"/>
      <c r="R89" s="210"/>
    </row>
    <row r="90" spans="2:18">
      <c r="B90" s="229" t="str">
        <f>'2017 Determination - Revenue'!B$33</f>
        <v>Border</v>
      </c>
      <c r="C90" s="210" t="str">
        <f>$C$27</f>
        <v>$/ML</v>
      </c>
      <c r="D90" s="210"/>
      <c r="E90" s="210"/>
      <c r="F90" s="263">
        <f>'2017 Determination - charges'!F52</f>
        <v>5.3280912819709219</v>
      </c>
      <c r="G90" s="256">
        <f>(G79*'MDB calcs'!G114)</f>
        <v>5.0764515698410557</v>
      </c>
      <c r="H90" s="256">
        <f>(H79*'MDB calcs'!H114)</f>
        <v>5.2243603987376757</v>
      </c>
      <c r="I90" s="183"/>
      <c r="J90" s="221">
        <f>'2017 Determination - charges'!L52</f>
        <v>5.6195199999999996</v>
      </c>
      <c r="K90" s="221">
        <f>ROUND((ROUND(H90,2)*(1+'2017 Determination - Revenue'!$F$18)),2)*(1+'2017 Determination - Revenue'!$H$22)</f>
        <v>5.50589</v>
      </c>
      <c r="L90" s="244">
        <f t="shared" ref="L90:L98" si="26">IF(J90=0,"na",K90/J90-1)</f>
        <v>-2.0220588235294046E-2</v>
      </c>
      <c r="M90" s="244"/>
      <c r="N90" s="204">
        <f>'2017 Determination - charges'!H52</f>
        <v>5.33</v>
      </c>
      <c r="O90" s="204">
        <f t="shared" ref="O90:O98" si="27">H90</f>
        <v>5.2243603987376757</v>
      </c>
      <c r="P90" s="244">
        <f t="shared" ref="P90:P98" si="28">IF(N90=0,"na",O90/N90-1)</f>
        <v>-1.9819812619573107E-2</v>
      </c>
      <c r="Q90" s="257"/>
      <c r="R90" s="210"/>
    </row>
    <row r="91" spans="2:18">
      <c r="B91" s="229" t="str">
        <f>'2017 Determination - Revenue'!B$34</f>
        <v>Gwydir</v>
      </c>
      <c r="C91" s="210" t="str">
        <f t="shared" ref="C91:C97" si="29">$C$27</f>
        <v>$/ML</v>
      </c>
      <c r="D91" s="210"/>
      <c r="E91" s="210"/>
      <c r="F91" s="263">
        <f>'2017 Determination - charges'!F53</f>
        <v>11.081245442126379</v>
      </c>
      <c r="G91" s="256">
        <f>(G80*'MDB calcs'!G115)</f>
        <v>11.042211204680088</v>
      </c>
      <c r="H91" s="256">
        <f>(H80*'MDB calcs'!H115)</f>
        <v>11.77936904257113</v>
      </c>
      <c r="I91" s="183"/>
      <c r="J91" s="221">
        <f>'2017 Determination - charges'!L53</f>
        <v>11.68323</v>
      </c>
      <c r="K91" s="221">
        <f>ROUND((ROUND(H91,2)*(1+'2017 Determination - Revenue'!$F$18)),2)*(1+'2017 Determination - Revenue'!$H$22)</f>
        <v>12.426989999999998</v>
      </c>
      <c r="L91" s="244">
        <f t="shared" si="26"/>
        <v>6.3660477453580722E-2</v>
      </c>
      <c r="M91" s="244"/>
      <c r="N91" s="204">
        <f>'2017 Determination - charges'!H53</f>
        <v>11.081245442126379</v>
      </c>
      <c r="O91" s="204">
        <f t="shared" si="27"/>
        <v>11.77936904257113</v>
      </c>
      <c r="P91" s="244">
        <f t="shared" si="28"/>
        <v>6.3000463629365067E-2</v>
      </c>
      <c r="Q91" s="257"/>
      <c r="R91" s="210"/>
    </row>
    <row r="92" spans="2:18">
      <c r="B92" s="229" t="str">
        <f>'2017 Determination - Revenue'!B$35</f>
        <v>Namoi</v>
      </c>
      <c r="C92" s="210" t="str">
        <f t="shared" si="29"/>
        <v>$/ML</v>
      </c>
      <c r="D92" s="210"/>
      <c r="E92" s="210"/>
      <c r="F92" s="263">
        <f>'2017 Determination - charges'!F54</f>
        <v>17.078806213771792</v>
      </c>
      <c r="G92" s="256">
        <f>(G81*'MDB calcs'!G116)</f>
        <v>16.761594789902677</v>
      </c>
      <c r="H92" s="256">
        <f>(H81*'MDB calcs'!H116)</f>
        <v>17.998221785890252</v>
      </c>
      <c r="I92" s="183"/>
      <c r="J92" s="221">
        <f>'2017 Determination - charges'!L54</f>
        <v>18.015519999999999</v>
      </c>
      <c r="K92" s="221">
        <f>ROUND((ROUND(H92,2)*(1+'2017 Determination - Revenue'!$F$18)),2)*(1+'2017 Determination - Revenue'!$H$22)</f>
        <v>18.986539999999998</v>
      </c>
      <c r="L92" s="244">
        <f t="shared" si="26"/>
        <v>5.3899082568807266E-2</v>
      </c>
      <c r="M92" s="244"/>
      <c r="N92" s="204">
        <f>'2017 Determination - charges'!H54</f>
        <v>17.078806213771792</v>
      </c>
      <c r="O92" s="204">
        <f t="shared" si="27"/>
        <v>17.998221785890252</v>
      </c>
      <c r="P92" s="244">
        <f t="shared" si="28"/>
        <v>5.3833714172426994E-2</v>
      </c>
      <c r="Q92" s="257"/>
      <c r="R92" s="210"/>
    </row>
    <row r="93" spans="2:18">
      <c r="B93" s="229" t="str">
        <f>'2017 Determination - Revenue'!B$36</f>
        <v>Peel</v>
      </c>
      <c r="C93" s="210" t="str">
        <f t="shared" si="29"/>
        <v>$/ML</v>
      </c>
      <c r="D93" s="210"/>
      <c r="E93" s="210"/>
      <c r="F93" s="263">
        <f>'2017 Determination - charges'!F55</f>
        <v>20.78395133436014</v>
      </c>
      <c r="G93" s="256">
        <f>(G82*'MDB calcs'!G117)</f>
        <v>41.401125251337078</v>
      </c>
      <c r="H93" s="256">
        <f>(H82*'MDB calcs'!H117)</f>
        <v>41.547652623209807</v>
      </c>
      <c r="I93" s="183"/>
      <c r="J93" s="221">
        <f>'2017 Determination - charges'!L55</f>
        <v>43.840519999999991</v>
      </c>
      <c r="K93" s="221">
        <f>ROUND((ROUND(H93,2)*(1+'2017 Determination - Revenue'!$F$18)),2)*(1+'2017 Determination - Revenue'!$H$22)</f>
        <v>43.819859999999998</v>
      </c>
      <c r="L93" s="244">
        <f t="shared" si="26"/>
        <v>-4.7125353440136131E-4</v>
      </c>
      <c r="M93" s="244"/>
      <c r="N93" s="204">
        <f>'2017 Determination - charges'!H55</f>
        <v>41.567902668720279</v>
      </c>
      <c r="O93" s="204">
        <f t="shared" si="27"/>
        <v>41.547652623209807</v>
      </c>
      <c r="P93" s="244">
        <f t="shared" si="28"/>
        <v>-4.871558151936517E-4</v>
      </c>
      <c r="Q93" s="257"/>
      <c r="R93" s="210"/>
    </row>
    <row r="94" spans="2:18">
      <c r="B94" s="229" t="str">
        <f>'2017 Determination - Revenue'!B$37</f>
        <v>Lachlan</v>
      </c>
      <c r="C94" s="210" t="str">
        <f t="shared" si="29"/>
        <v>$/ML</v>
      </c>
      <c r="D94" s="210"/>
      <c r="E94" s="210"/>
      <c r="F94" s="263">
        <f>'2017 Determination - charges'!F56</f>
        <v>15.379109814709489</v>
      </c>
      <c r="G94" s="256">
        <f>(G83*'MDB calcs'!G118)</f>
        <v>14.867665553751058</v>
      </c>
      <c r="H94" s="256">
        <f>(H83*'MDB calcs'!H118)</f>
        <v>15.691859559139104</v>
      </c>
      <c r="I94" s="183"/>
      <c r="J94" s="221">
        <f>'2017 Determination - charges'!L56</f>
        <v>16.2181</v>
      </c>
      <c r="K94" s="221">
        <f>ROUND((ROUND(H94,2)*(1+'2017 Determination - Revenue'!$F$18)),2)*(1+'2017 Determination - Revenue'!$H$22)</f>
        <v>16.548659999999998</v>
      </c>
      <c r="L94" s="244">
        <f t="shared" si="26"/>
        <v>2.0382165605095537E-2</v>
      </c>
      <c r="M94" s="244"/>
      <c r="N94" s="204">
        <f>'2017 Determination - charges'!H56</f>
        <v>15.379109814709489</v>
      </c>
      <c r="O94" s="204">
        <f t="shared" si="27"/>
        <v>15.691859559139104</v>
      </c>
      <c r="P94" s="244">
        <f t="shared" si="28"/>
        <v>2.0336010874340893E-2</v>
      </c>
      <c r="Q94" s="257"/>
      <c r="R94" s="210"/>
    </row>
    <row r="95" spans="2:18">
      <c r="B95" s="229" t="str">
        <f>'2017 Determination - Revenue'!B$38</f>
        <v>Macquarie</v>
      </c>
      <c r="C95" s="210" t="str">
        <f t="shared" si="29"/>
        <v>$/ML</v>
      </c>
      <c r="D95" s="210"/>
      <c r="E95" s="210"/>
      <c r="F95" s="263">
        <f>'2017 Determination - charges'!F57</f>
        <v>13.514162012252285</v>
      </c>
      <c r="G95" s="256">
        <f>(G84*'MDB calcs'!G119)</f>
        <v>13.3257587341638</v>
      </c>
      <c r="H95" s="256">
        <f>(H84*'MDB calcs'!H119)</f>
        <v>12.983641167550713</v>
      </c>
      <c r="I95" s="183"/>
      <c r="J95" s="221">
        <f>'2017 Determination - charges'!L57</f>
        <v>14.245069999999998</v>
      </c>
      <c r="K95" s="221">
        <f>ROUND((ROUND(H95,2)*(1+'2017 Determination - Revenue'!$F$18)),2)*(1+'2017 Determination - Revenue'!$H$22)</f>
        <v>13.687249999999999</v>
      </c>
      <c r="L95" s="244">
        <f t="shared" si="26"/>
        <v>-3.9158810732414784E-2</v>
      </c>
      <c r="M95" s="244"/>
      <c r="N95" s="204">
        <f>'2017 Determination - charges'!H57</f>
        <v>13.514162012252285</v>
      </c>
      <c r="O95" s="204">
        <f t="shared" si="27"/>
        <v>12.983641167550713</v>
      </c>
      <c r="P95" s="244">
        <f t="shared" si="28"/>
        <v>-3.9256658623789464E-2</v>
      </c>
      <c r="Q95" s="257"/>
      <c r="R95" s="210"/>
    </row>
    <row r="96" spans="2:18">
      <c r="B96" s="229" t="str">
        <f>'2017 Determination - Revenue'!B$39</f>
        <v>Murray</v>
      </c>
      <c r="C96" s="210" t="str">
        <f t="shared" si="29"/>
        <v>$/ML</v>
      </c>
      <c r="D96" s="210"/>
      <c r="E96" s="210"/>
      <c r="F96" s="263">
        <f>'2017 Determination - charges'!F58</f>
        <v>1.5377364390374406</v>
      </c>
      <c r="G96" s="256">
        <f>(G85*'MDB calcs'!G120)</f>
        <v>1.5377555998804464</v>
      </c>
      <c r="H96" s="256">
        <f>(H85*'MDB calcs'!H120)</f>
        <v>1.5709937629737774</v>
      </c>
      <c r="I96" s="183"/>
      <c r="J96" s="221">
        <f>'2017 Determination - charges'!L58</f>
        <v>1.62181</v>
      </c>
      <c r="K96" s="221">
        <f>ROUND((ROUND(H96,2)*(1+'2017 Determination - Revenue'!$F$18)),2)*(1+'2017 Determination - Revenue'!$H$22)</f>
        <v>1.6528</v>
      </c>
      <c r="L96" s="244">
        <f t="shared" si="26"/>
        <v>1.9108280254777066E-2</v>
      </c>
      <c r="M96" s="244"/>
      <c r="N96" s="204">
        <f>'2017 Determination - charges'!H58</f>
        <v>1.5377364390374406</v>
      </c>
      <c r="O96" s="204">
        <f t="shared" si="27"/>
        <v>1.5709937629737774</v>
      </c>
      <c r="P96" s="244">
        <f t="shared" si="28"/>
        <v>2.1627453893954929E-2</v>
      </c>
      <c r="Q96" s="257"/>
      <c r="R96" s="210"/>
    </row>
    <row r="97" spans="2:19">
      <c r="B97" s="229" t="str">
        <f>'2017 Determination - Revenue'!B$40</f>
        <v>Murrumbidgee</v>
      </c>
      <c r="C97" s="210" t="str">
        <f t="shared" si="29"/>
        <v>$/ML</v>
      </c>
      <c r="D97" s="210"/>
      <c r="E97" s="210"/>
      <c r="F97" s="263">
        <f>'2017 Determination - charges'!F59</f>
        <v>2.9532745157454201</v>
      </c>
      <c r="G97" s="256">
        <f>(G86*'MDB calcs'!G121)</f>
        <v>2.9533482054206868</v>
      </c>
      <c r="H97" s="256">
        <f>(H86*'MDB calcs'!H121)</f>
        <v>3.010582703071663</v>
      </c>
      <c r="I97" s="183"/>
      <c r="J97" s="221">
        <f>'2017 Determination - charges'!L59</f>
        <v>3.1093299999999995</v>
      </c>
      <c r="K97" s="221">
        <f>ROUND((ROUND(H97,2)*(1+'2017 Determination - Revenue'!$F$18)),2)*(1+'2017 Determination - Revenue'!$H$22)</f>
        <v>3.1713099999999996</v>
      </c>
      <c r="L97" s="244">
        <f t="shared" si="26"/>
        <v>1.9933554817275878E-2</v>
      </c>
      <c r="M97" s="244"/>
      <c r="N97" s="204">
        <f>'2017 Determination - charges'!H59</f>
        <v>2.9532745157454201</v>
      </c>
      <c r="O97" s="204">
        <f t="shared" si="27"/>
        <v>3.010582703071663</v>
      </c>
      <c r="P97" s="244">
        <f t="shared" si="28"/>
        <v>1.940496456414853E-2</v>
      </c>
      <c r="Q97" s="257"/>
      <c r="R97" s="210"/>
    </row>
    <row r="98" spans="2:19">
      <c r="B98" s="229" t="str">
        <f>'2017 Determination - Revenue'!B$41</f>
        <v>Lowbidgee</v>
      </c>
      <c r="C98" s="210" t="str">
        <f>$C$27</f>
        <v>$/ML</v>
      </c>
      <c r="D98" s="210"/>
      <c r="E98" s="210"/>
      <c r="F98" s="240">
        <v>0</v>
      </c>
      <c r="G98" s="270">
        <v>0</v>
      </c>
      <c r="H98" s="270">
        <v>0</v>
      </c>
      <c r="I98" s="183"/>
      <c r="J98" s="221">
        <f>'2017 Determination - charges'!L60</f>
        <v>0</v>
      </c>
      <c r="K98" s="221">
        <f>ROUND((ROUND(H98,2)*(1+'2017 Determination - Revenue'!$F$18)),2)*(1+'2017 Determination - Revenue'!$H$22)</f>
        <v>0</v>
      </c>
      <c r="L98" s="244" t="str">
        <f t="shared" si="26"/>
        <v>na</v>
      </c>
      <c r="M98" s="244"/>
      <c r="N98" s="204">
        <f>'2017 Determination - charges'!H60</f>
        <v>0</v>
      </c>
      <c r="O98" s="204">
        <f t="shared" si="27"/>
        <v>0</v>
      </c>
      <c r="P98" s="244" t="str">
        <f t="shared" si="28"/>
        <v>na</v>
      </c>
      <c r="Q98" s="257"/>
      <c r="R98" s="210"/>
    </row>
    <row r="99" spans="2:19">
      <c r="B99" s="264" t="s">
        <v>34</v>
      </c>
      <c r="C99" s="210"/>
      <c r="D99" s="210"/>
      <c r="E99" s="210"/>
      <c r="F99" s="219"/>
      <c r="G99" s="219">
        <f>SUMPRODUCT(G79:G87,'MDB calcs'!G114:G122)-SUM(G90:G98)</f>
        <v>0</v>
      </c>
      <c r="H99" s="219">
        <f>SUMPRODUCT(H79:H87,'MDB calcs'!H114:H122)-SUM(H90:H98)</f>
        <v>0</v>
      </c>
      <c r="I99" s="219"/>
      <c r="J99" s="232"/>
      <c r="K99" s="232"/>
      <c r="L99" s="232"/>
      <c r="M99" s="232"/>
      <c r="N99" s="232"/>
      <c r="O99" s="232"/>
      <c r="P99" s="232"/>
      <c r="Q99" s="257"/>
      <c r="R99" s="210"/>
    </row>
    <row r="100" spans="2:19">
      <c r="B100" s="267"/>
      <c r="C100" s="56"/>
      <c r="D100" s="56"/>
      <c r="E100" s="56"/>
      <c r="F100" s="56"/>
      <c r="G100" s="56"/>
      <c r="H100" s="56"/>
      <c r="I100" s="56"/>
      <c r="J100" s="178"/>
      <c r="K100" s="178"/>
      <c r="L100" s="178"/>
      <c r="M100" s="247"/>
      <c r="N100" s="247"/>
      <c r="O100" s="247"/>
      <c r="P100" s="247"/>
      <c r="Q100" s="258"/>
      <c r="R100" s="210"/>
    </row>
    <row r="101" spans="2:19"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48"/>
      <c r="M101" s="248"/>
      <c r="N101" s="248"/>
      <c r="O101" s="248"/>
      <c r="P101" s="248"/>
      <c r="Q101" s="248"/>
      <c r="R101" s="248"/>
    </row>
    <row r="102" spans="2:19"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  <c r="L102" s="248"/>
      <c r="M102" s="248"/>
      <c r="N102" s="248"/>
      <c r="O102" s="248"/>
      <c r="P102" s="248"/>
      <c r="Q102" s="248"/>
      <c r="R102" s="248"/>
    </row>
    <row r="103" spans="2:19">
      <c r="B103" s="268" t="s">
        <v>242</v>
      </c>
      <c r="C103" s="213"/>
      <c r="D103" s="213"/>
      <c r="E103" s="213"/>
      <c r="F103" s="213"/>
      <c r="G103" s="213"/>
      <c r="H103" s="213"/>
      <c r="I103" s="213"/>
      <c r="J103" s="213"/>
      <c r="K103" s="213"/>
      <c r="L103" s="248"/>
      <c r="M103" s="248"/>
      <c r="N103" s="248"/>
      <c r="O103" s="248"/>
      <c r="P103" s="248"/>
      <c r="Q103" s="248"/>
      <c r="R103" s="248"/>
    </row>
    <row r="104" spans="2:19">
      <c r="B104" s="260" t="str">
        <f>'2017 Determination - Revenue'!B$16</f>
        <v>Financial year</v>
      </c>
      <c r="C104" s="261" t="str">
        <f>'2017 Determination - Revenue'!C$28</f>
        <v>Units</v>
      </c>
      <c r="D104" s="261"/>
      <c r="E104" s="261"/>
      <c r="F104" s="230" t="str">
        <f>'2017 Determination - Revenue'!F$16</f>
        <v>2017-18</v>
      </c>
      <c r="G104" s="230" t="str">
        <f>'2017 Determination - Revenue'!G$16</f>
        <v>2018-19</v>
      </c>
      <c r="H104" s="230" t="str">
        <f>'2017 Determination - Revenue'!H$16</f>
        <v>2019-20</v>
      </c>
      <c r="I104" s="214"/>
      <c r="J104" s="315" t="str">
        <f>J$23</f>
        <v xml:space="preserve">2019-20 charges expressed </v>
      </c>
      <c r="K104" s="315"/>
      <c r="L104" s="198" t="str">
        <f>$L$23</f>
        <v>Difference between</v>
      </c>
      <c r="M104" s="198"/>
      <c r="N104" s="315" t="str">
        <f>N64</f>
        <v xml:space="preserve">2019-20 charges expressed </v>
      </c>
      <c r="O104" s="315"/>
      <c r="P104" s="198" t="str">
        <f>P64</f>
        <v>Difference between</v>
      </c>
      <c r="Q104" s="259"/>
      <c r="R104" s="210"/>
    </row>
    <row r="105" spans="2:19" s="110" customFormat="1" ht="22.25" customHeight="1">
      <c r="B105" s="229"/>
      <c r="C105" s="210"/>
      <c r="D105" s="210"/>
      <c r="E105" s="210"/>
      <c r="F105" s="234" t="str">
        <f>F$24</f>
        <v>As per 2017 Determination</v>
      </c>
      <c r="G105" s="234" t="str">
        <f>G$24</f>
        <v>Re-calculated charges</v>
      </c>
      <c r="H105" s="234" t="str">
        <f>H$24</f>
        <v>Re-calculated charges</v>
      </c>
      <c r="I105" s="271"/>
      <c r="J105" s="234" t="str">
        <f>F105</f>
        <v>As per 2017 Determination</v>
      </c>
      <c r="K105" s="199" t="str">
        <f>G105</f>
        <v>Re-calculated charges</v>
      </c>
      <c r="L105" s="199" t="str">
        <f>$L$24</f>
        <v xml:space="preserve"> 2019-20 re-calculated and 2017 determination charges</v>
      </c>
      <c r="M105" s="199"/>
      <c r="N105" s="199" t="str">
        <f>N65</f>
        <v>As per 2017 Determination</v>
      </c>
      <c r="O105" s="199" t="str">
        <f>O65</f>
        <v>Re-calculated charges</v>
      </c>
      <c r="P105" s="199" t="str">
        <f>P65</f>
        <v xml:space="preserve"> 2019-20 re-calculated and 2017 determination charges</v>
      </c>
      <c r="Q105" s="257"/>
      <c r="R105" s="210"/>
      <c r="S105" s="213"/>
    </row>
    <row r="106" spans="2:19">
      <c r="B106" s="229"/>
      <c r="C106" s="210"/>
      <c r="D106" s="210"/>
      <c r="E106" s="210"/>
      <c r="F106" s="235" t="str">
        <f>'2017 Determination - Revenue'!$F$29</f>
        <v>$2016-17</v>
      </c>
      <c r="G106" s="235" t="str">
        <f>'2017 Determination - Revenue'!$F$29</f>
        <v>$2016-17</v>
      </c>
      <c r="H106" s="235" t="str">
        <f>'2017 Determination - Revenue'!$F$29</f>
        <v>$2016-17</v>
      </c>
      <c r="I106" s="215"/>
      <c r="J106" s="203" t="str">
        <f>J$25</f>
        <v>$2019-20</v>
      </c>
      <c r="K106" s="235" t="str">
        <f>K$25</f>
        <v>$2019-20</v>
      </c>
      <c r="L106" s="132" t="str">
        <f>$L$25</f>
        <v>%</v>
      </c>
      <c r="M106" s="190"/>
      <c r="N106" s="132" t="str">
        <f>N$25</f>
        <v>$2016-17</v>
      </c>
      <c r="O106" s="132" t="str">
        <f>O$25</f>
        <v>$2016-17</v>
      </c>
      <c r="P106" s="132" t="str">
        <f>P$25</f>
        <v>%</v>
      </c>
      <c r="Q106" s="257"/>
      <c r="R106" s="210"/>
    </row>
    <row r="107" spans="2:19">
      <c r="B107" s="262" t="str">
        <f>B$26</f>
        <v>Usage charges</v>
      </c>
      <c r="C107" s="210"/>
      <c r="D107" s="210"/>
      <c r="E107" s="210"/>
      <c r="F107" s="53"/>
      <c r="G107" s="53"/>
      <c r="H107" s="53"/>
      <c r="I107" s="38"/>
      <c r="J107" s="232"/>
      <c r="K107" s="232"/>
      <c r="L107" s="232"/>
      <c r="M107" s="232"/>
      <c r="N107" s="232"/>
      <c r="O107" s="232"/>
      <c r="P107" s="232"/>
      <c r="Q107" s="257"/>
      <c r="R107" s="210"/>
    </row>
    <row r="108" spans="2:19">
      <c r="B108" s="229" t="str">
        <f>'2017 Determination - Revenue'!B$33</f>
        <v>Border</v>
      </c>
      <c r="C108" s="210" t="str">
        <f>$C$27</f>
        <v>$/ML</v>
      </c>
      <c r="D108" s="210"/>
      <c r="E108" s="210"/>
      <c r="F108" s="263">
        <f>'2017 Determination - charges'!F69</f>
        <v>0.78386903671713781</v>
      </c>
      <c r="G108" s="256">
        <f>(('MDB calcs'!G202/'MDB calcs'!G21)*1000)</f>
        <v>0.76768089838469111</v>
      </c>
      <c r="H108" s="256">
        <f>(('MDB calcs'!H202/'MDB calcs'!H21)*1000)</f>
        <v>0.78012746522233056</v>
      </c>
      <c r="I108" s="183"/>
      <c r="J108" s="221">
        <f>'2017 Determination - charges'!L69</f>
        <v>0.82640000000000002</v>
      </c>
      <c r="K108" s="221">
        <f>ROUND((ROUND(H108,2)*(1+'2017 Determination - Revenue'!$F$18)),2)*(1+'2017 Determination - Revenue'!$H$22)</f>
        <v>0.82640000000000002</v>
      </c>
      <c r="L108" s="244">
        <f t="shared" ref="L108:L116" si="30">IF(J108=0,"na",K108/J108-1)</f>
        <v>0</v>
      </c>
      <c r="M108" s="244"/>
      <c r="N108" s="204">
        <f>'2017 Determination - charges'!H69</f>
        <v>0.78386903671713781</v>
      </c>
      <c r="O108" s="204">
        <f t="shared" ref="O108:O116" si="31">H108</f>
        <v>0.78012746522233056</v>
      </c>
      <c r="P108" s="244">
        <f t="shared" ref="P108:P116" si="32">IF(N108=0,"na",O108/N108-1)</f>
        <v>-4.7732099618030821E-3</v>
      </c>
      <c r="Q108" s="257"/>
      <c r="R108" s="221"/>
    </row>
    <row r="109" spans="2:19">
      <c r="B109" s="229" t="str">
        <f>'2017 Determination - Revenue'!B$34</f>
        <v>Gwydir</v>
      </c>
      <c r="C109" s="210" t="str">
        <f t="shared" ref="C109:C115" si="33">$C$27</f>
        <v>$/ML</v>
      </c>
      <c r="D109" s="210"/>
      <c r="E109" s="210"/>
      <c r="F109" s="272">
        <v>0</v>
      </c>
      <c r="G109" s="256">
        <f>(('MDB calcs'!G203/'MDB calcs'!G22)*1000)</f>
        <v>0</v>
      </c>
      <c r="H109" s="256">
        <f>(('MDB calcs'!H203/'MDB calcs'!H22)*1000)</f>
        <v>0</v>
      </c>
      <c r="I109" s="183"/>
      <c r="J109" s="221">
        <v>0</v>
      </c>
      <c r="K109" s="221">
        <f>ROUND((ROUND(H109,2)*(1+'2017 Determination - Revenue'!$F$18)),2)*(1+'2017 Determination - Revenue'!$H$22)</f>
        <v>0</v>
      </c>
      <c r="L109" s="244" t="str">
        <f t="shared" si="30"/>
        <v>na</v>
      </c>
      <c r="M109" s="244"/>
      <c r="N109" s="205">
        <f>F109</f>
        <v>0</v>
      </c>
      <c r="O109" s="204">
        <f t="shared" si="31"/>
        <v>0</v>
      </c>
      <c r="P109" s="244" t="str">
        <f t="shared" si="32"/>
        <v>na</v>
      </c>
      <c r="Q109" s="257"/>
      <c r="R109" s="210"/>
    </row>
    <row r="110" spans="2:19">
      <c r="B110" s="229" t="str">
        <f>'2017 Determination - Revenue'!B$35</f>
        <v>Namoi</v>
      </c>
      <c r="C110" s="210" t="str">
        <f t="shared" si="33"/>
        <v>$/ML</v>
      </c>
      <c r="D110" s="210"/>
      <c r="E110" s="210"/>
      <c r="F110" s="272">
        <v>0</v>
      </c>
      <c r="G110" s="256">
        <f>(('MDB calcs'!G204/'MDB calcs'!G23)*1000)</f>
        <v>0</v>
      </c>
      <c r="H110" s="256">
        <f>(('MDB calcs'!H204/'MDB calcs'!H23)*1000)</f>
        <v>0</v>
      </c>
      <c r="I110" s="183"/>
      <c r="J110" s="221">
        <v>0</v>
      </c>
      <c r="K110" s="221">
        <f>ROUND((ROUND(H110,2)*(1+'2017 Determination - Revenue'!$F$18)),2)*(1+'2017 Determination - Revenue'!$H$22)</f>
        <v>0</v>
      </c>
      <c r="L110" s="244" t="str">
        <f t="shared" si="30"/>
        <v>na</v>
      </c>
      <c r="M110" s="244"/>
      <c r="N110" s="205">
        <f t="shared" ref="N110:N113" si="34">F110</f>
        <v>0</v>
      </c>
      <c r="O110" s="204">
        <f t="shared" si="31"/>
        <v>0</v>
      </c>
      <c r="P110" s="244" t="str">
        <f t="shared" si="32"/>
        <v>na</v>
      </c>
      <c r="Q110" s="257"/>
      <c r="R110" s="210"/>
    </row>
    <row r="111" spans="2:19">
      <c r="B111" s="229" t="str">
        <f>'2017 Determination - Revenue'!B$36</f>
        <v>Peel</v>
      </c>
      <c r="C111" s="210" t="str">
        <f t="shared" si="33"/>
        <v>$/ML</v>
      </c>
      <c r="D111" s="210"/>
      <c r="E111" s="210"/>
      <c r="F111" s="272">
        <v>0</v>
      </c>
      <c r="G111" s="256">
        <f>(('MDB calcs'!G205/'MDB calcs'!G24)*1000)</f>
        <v>0</v>
      </c>
      <c r="H111" s="256">
        <f>(('MDB calcs'!H205/'MDB calcs'!H24)*1000)</f>
        <v>0</v>
      </c>
      <c r="I111" s="183"/>
      <c r="J111" s="221">
        <v>0</v>
      </c>
      <c r="K111" s="221">
        <f>ROUND((ROUND(H111,2)*(1+'2017 Determination - Revenue'!$F$18)),2)*(1+'2017 Determination - Revenue'!$H$22)</f>
        <v>0</v>
      </c>
      <c r="L111" s="244" t="str">
        <f t="shared" si="30"/>
        <v>na</v>
      </c>
      <c r="M111" s="244"/>
      <c r="N111" s="205">
        <f t="shared" si="34"/>
        <v>0</v>
      </c>
      <c r="O111" s="204">
        <f t="shared" si="31"/>
        <v>0</v>
      </c>
      <c r="P111" s="244" t="str">
        <f t="shared" si="32"/>
        <v>na</v>
      </c>
      <c r="Q111" s="257"/>
      <c r="R111" s="210"/>
    </row>
    <row r="112" spans="2:19">
      <c r="B112" s="229" t="str">
        <f>'2017 Determination - Revenue'!B$37</f>
        <v>Lachlan</v>
      </c>
      <c r="C112" s="210" t="str">
        <f t="shared" si="33"/>
        <v>$/ML</v>
      </c>
      <c r="D112" s="210"/>
      <c r="E112" s="210"/>
      <c r="F112" s="272">
        <v>0</v>
      </c>
      <c r="G112" s="256">
        <f>(('MDB calcs'!G206/'MDB calcs'!G25)*1000)</f>
        <v>0</v>
      </c>
      <c r="H112" s="256">
        <f>(('MDB calcs'!H206/'MDB calcs'!H25)*1000)</f>
        <v>0</v>
      </c>
      <c r="I112" s="183"/>
      <c r="J112" s="221">
        <v>0</v>
      </c>
      <c r="K112" s="221">
        <f>ROUND((ROUND(H112,2)*(1+'2017 Determination - Revenue'!$F$18)),2)*(1+'2017 Determination - Revenue'!$H$22)</f>
        <v>0</v>
      </c>
      <c r="L112" s="244" t="str">
        <f t="shared" si="30"/>
        <v>na</v>
      </c>
      <c r="M112" s="244"/>
      <c r="N112" s="205">
        <f t="shared" si="34"/>
        <v>0</v>
      </c>
      <c r="O112" s="204">
        <f t="shared" si="31"/>
        <v>0</v>
      </c>
      <c r="P112" s="244" t="str">
        <f t="shared" si="32"/>
        <v>na</v>
      </c>
      <c r="Q112" s="257"/>
      <c r="R112" s="210"/>
    </row>
    <row r="113" spans="2:18">
      <c r="B113" s="229" t="str">
        <f>'2017 Determination - Revenue'!B$38</f>
        <v>Macquarie</v>
      </c>
      <c r="C113" s="210" t="str">
        <f t="shared" si="33"/>
        <v>$/ML</v>
      </c>
      <c r="D113" s="210"/>
      <c r="E113" s="210"/>
      <c r="F113" s="272">
        <v>0</v>
      </c>
      <c r="G113" s="256">
        <f>(('MDB calcs'!G207/'MDB calcs'!G26)*1000)</f>
        <v>0</v>
      </c>
      <c r="H113" s="256">
        <f>(('MDB calcs'!H207/'MDB calcs'!H26)*1000)</f>
        <v>0</v>
      </c>
      <c r="I113" s="183"/>
      <c r="J113" s="221">
        <v>0</v>
      </c>
      <c r="K113" s="221">
        <f>ROUND((ROUND(H113,2)*(1+'2017 Determination - Revenue'!$F$18)),2)*(1+'2017 Determination - Revenue'!$H$22)</f>
        <v>0</v>
      </c>
      <c r="L113" s="244" t="str">
        <f t="shared" si="30"/>
        <v>na</v>
      </c>
      <c r="M113" s="244"/>
      <c r="N113" s="205">
        <f t="shared" si="34"/>
        <v>0</v>
      </c>
      <c r="O113" s="204">
        <f t="shared" si="31"/>
        <v>0</v>
      </c>
      <c r="P113" s="244" t="str">
        <f t="shared" si="32"/>
        <v>na</v>
      </c>
      <c r="Q113" s="257"/>
      <c r="R113" s="210"/>
    </row>
    <row r="114" spans="2:18">
      <c r="B114" s="229" t="str">
        <f>'2017 Determination - Revenue'!B$39</f>
        <v>Murray</v>
      </c>
      <c r="C114" s="210" t="str">
        <f t="shared" si="33"/>
        <v>$/ML</v>
      </c>
      <c r="D114" s="210"/>
      <c r="E114" s="210"/>
      <c r="F114" s="263">
        <f>'2017 Determination - charges'!F70</f>
        <v>1.4985294573379557</v>
      </c>
      <c r="G114" s="256">
        <f>(('MDB calcs'!G208/'MDB calcs'!G27)*1000)</f>
        <v>1.5335036447488337</v>
      </c>
      <c r="H114" s="256">
        <f>(('MDB calcs'!H208/'MDB calcs'!H27)*1000)</f>
        <v>1.5575646818751891</v>
      </c>
      <c r="I114" s="183"/>
      <c r="J114" s="221">
        <f>'2017 Determination - charges'!L70</f>
        <v>1.58049</v>
      </c>
      <c r="K114" s="221">
        <f>ROUND((ROUND(H114,2)*(1+'2017 Determination - Revenue'!$F$18)),2)*(1+'2017 Determination - Revenue'!$H$22)</f>
        <v>1.6424699999999999</v>
      </c>
      <c r="L114" s="244">
        <f t="shared" si="30"/>
        <v>3.9215686274509665E-2</v>
      </c>
      <c r="M114" s="244"/>
      <c r="N114" s="204">
        <f>'2017 Determination - charges'!H70</f>
        <v>1.4985294573379557</v>
      </c>
      <c r="O114" s="204">
        <f t="shared" si="31"/>
        <v>1.5575646818751891</v>
      </c>
      <c r="P114" s="244">
        <f t="shared" si="32"/>
        <v>3.9395438139805394E-2</v>
      </c>
      <c r="Q114" s="257"/>
      <c r="R114" s="210"/>
    </row>
    <row r="115" spans="2:18">
      <c r="B115" s="229" t="str">
        <f>'2017 Determination - Revenue'!B$40</f>
        <v>Murrumbidgee</v>
      </c>
      <c r="C115" s="210" t="str">
        <f t="shared" si="33"/>
        <v>$/ML</v>
      </c>
      <c r="D115" s="210"/>
      <c r="E115" s="210"/>
      <c r="F115" s="263">
        <f>'2017 Determination - charges'!F71</f>
        <v>0.3005578181756689</v>
      </c>
      <c r="G115" s="256">
        <f>(('MDB calcs'!G209/'MDB calcs'!G28)*1000)</f>
        <v>0.30794560519035824</v>
      </c>
      <c r="H115" s="256">
        <f>(('MDB calcs'!H209/'MDB calcs'!H28)*1000)</f>
        <v>0.31540485061527967</v>
      </c>
      <c r="I115" s="183"/>
      <c r="J115" s="221">
        <f>'2017 Determination - charges'!L71</f>
        <v>0.32022999999999996</v>
      </c>
      <c r="K115" s="221">
        <f>ROUND((ROUND(H115,2)*(1+'2017 Determination - Revenue'!$F$18)),2)*(1+'2017 Determination - Revenue'!$H$22)</f>
        <v>0.34088999999999997</v>
      </c>
      <c r="L115" s="244">
        <f t="shared" si="30"/>
        <v>6.4516129032258007E-2</v>
      </c>
      <c r="M115" s="244"/>
      <c r="N115" s="204">
        <f>'2017 Determination - charges'!H71</f>
        <v>0.3005578181756689</v>
      </c>
      <c r="O115" s="204">
        <f t="shared" si="31"/>
        <v>0.31540485061527967</v>
      </c>
      <c r="P115" s="244">
        <f t="shared" si="32"/>
        <v>4.9398257312784466E-2</v>
      </c>
      <c r="Q115" s="257"/>
      <c r="R115" s="210"/>
    </row>
    <row r="116" spans="2:18">
      <c r="B116" s="229" t="str">
        <f>'2017 Determination - Revenue'!B$41</f>
        <v>Lowbidgee</v>
      </c>
      <c r="C116" s="210" t="str">
        <f>$C$27</f>
        <v>$/ML</v>
      </c>
      <c r="D116" s="210"/>
      <c r="E116" s="210"/>
      <c r="F116" s="272">
        <v>0</v>
      </c>
      <c r="G116" s="256">
        <f>(('MDB calcs'!G210/'MDB calcs'!G29)*1000)</f>
        <v>0</v>
      </c>
      <c r="H116" s="256">
        <f>(('MDB calcs'!H210/'MDB calcs'!H29)*1000)</f>
        <v>0</v>
      </c>
      <c r="I116" s="183"/>
      <c r="J116" s="221">
        <f>'2017 Determination - charges'!L77</f>
        <v>0</v>
      </c>
      <c r="K116" s="221">
        <f>ROUND((ROUND(H116,2)*(1+'2017 Determination - Revenue'!$F$18)),2)*(1+'2017 Determination - Revenue'!$H$22)</f>
        <v>0</v>
      </c>
      <c r="L116" s="244" t="str">
        <f t="shared" si="30"/>
        <v>na</v>
      </c>
      <c r="M116" s="244"/>
      <c r="N116" s="205">
        <f t="shared" ref="N116" si="35">F116</f>
        <v>0</v>
      </c>
      <c r="O116" s="204">
        <f t="shared" si="31"/>
        <v>0</v>
      </c>
      <c r="P116" s="244" t="str">
        <f t="shared" si="32"/>
        <v>na</v>
      </c>
      <c r="Q116" s="257"/>
      <c r="R116" s="210"/>
    </row>
    <row r="117" spans="2:18">
      <c r="B117" s="264" t="s">
        <v>34</v>
      </c>
      <c r="C117" s="210"/>
      <c r="D117" s="210"/>
      <c r="E117" s="210"/>
      <c r="F117" s="273"/>
      <c r="G117" s="219">
        <f>SUM(G108:G115)-((SUMPRODUCT('MDB calcs'!G202:G209/'MDB calcs'!G21:G28))*1000)</f>
        <v>0</v>
      </c>
      <c r="H117" s="219">
        <f>SUM(H108:H115)-((SUMPRODUCT('MDB calcs'!H202:H209/'MDB calcs'!H21:H28))*1000)</f>
        <v>0</v>
      </c>
      <c r="I117" s="219"/>
      <c r="J117" s="244"/>
      <c r="K117" s="244"/>
      <c r="L117" s="244"/>
      <c r="M117" s="244"/>
      <c r="N117" s="244"/>
      <c r="O117" s="244"/>
      <c r="P117" s="244"/>
      <c r="Q117" s="257"/>
      <c r="R117" s="210"/>
    </row>
    <row r="118" spans="2:18">
      <c r="B118" s="262" t="str">
        <f>B$37</f>
        <v>General security entitlement charges</v>
      </c>
      <c r="C118" s="210"/>
      <c r="D118" s="210"/>
      <c r="E118" s="210"/>
      <c r="F118" s="210"/>
      <c r="G118" s="210"/>
      <c r="H118" s="210"/>
      <c r="I118" s="210"/>
      <c r="J118" s="244"/>
      <c r="K118" s="244"/>
      <c r="L118" s="244"/>
      <c r="M118" s="244"/>
      <c r="N118" s="244"/>
      <c r="O118" s="244"/>
      <c r="P118" s="244"/>
      <c r="Q118" s="257"/>
      <c r="R118" s="210"/>
    </row>
    <row r="119" spans="2:18">
      <c r="B119" s="229" t="str">
        <f>'2017 Determination - Revenue'!B$33</f>
        <v>Border</v>
      </c>
      <c r="C119" s="210" t="str">
        <f>$C$27</f>
        <v>$/ML</v>
      </c>
      <c r="D119" s="210"/>
      <c r="E119" s="210"/>
      <c r="F119" s="263">
        <f>'2017 Determination - charges'!F74</f>
        <v>1.7103348160629046</v>
      </c>
      <c r="G119" s="256">
        <f>(('MDB calcs'!G190/'MDB calcs'!G131)*1000)</f>
        <v>1.7127102210273051</v>
      </c>
      <c r="H119" s="256">
        <f>(('MDB calcs'!H190/'MDB calcs'!H131)*1000)</f>
        <v>1.7107752868544186</v>
      </c>
      <c r="I119" s="183"/>
      <c r="J119" s="221">
        <f>'2017 Determination - charges'!L74</f>
        <v>1.80775</v>
      </c>
      <c r="K119" s="221">
        <f>ROUND((ROUND(H119,2)*(1+'2017 Determination - Revenue'!$F$18)),2)*(1+'2017 Determination - Revenue'!$H$22)</f>
        <v>1.80775</v>
      </c>
      <c r="L119" s="244">
        <f t="shared" ref="L119:L127" si="36">IF(J119=0,"na",K119/J119-1)</f>
        <v>0</v>
      </c>
      <c r="M119" s="244"/>
      <c r="N119" s="204">
        <f>'2017 Determination - charges'!H74</f>
        <v>1.7103348160629046</v>
      </c>
      <c r="O119" s="204">
        <f t="shared" ref="O119:O127" si="37">H119</f>
        <v>1.7107752868544186</v>
      </c>
      <c r="P119" s="244">
        <f t="shared" ref="P119:P127" si="38">IF(N119=0,"na",O119/N119-1)</f>
        <v>2.5753483316681702E-4</v>
      </c>
      <c r="Q119" s="257"/>
      <c r="R119" s="210"/>
    </row>
    <row r="120" spans="2:18">
      <c r="B120" s="229" t="str">
        <f>'2017 Determination - Revenue'!B$34</f>
        <v>Gwydir</v>
      </c>
      <c r="C120" s="210" t="str">
        <f t="shared" ref="C120:C126" si="39">$C$27</f>
        <v>$/ML</v>
      </c>
      <c r="D120" s="210"/>
      <c r="E120" s="210"/>
      <c r="F120" s="272">
        <v>0</v>
      </c>
      <c r="G120" s="256">
        <f>(('MDB calcs'!G191/'MDB calcs'!G132)*1000)</f>
        <v>0</v>
      </c>
      <c r="H120" s="256">
        <f>(('MDB calcs'!H191/'MDB calcs'!H132)*1000)</f>
        <v>0</v>
      </c>
      <c r="I120" s="183"/>
      <c r="J120" s="221">
        <v>0</v>
      </c>
      <c r="K120" s="221">
        <f>ROUND((ROUND(H120,2)*(1+'2017 Determination - Revenue'!$F$18)),2)*(1+'2017 Determination - Revenue'!$H$22)</f>
        <v>0</v>
      </c>
      <c r="L120" s="244" t="str">
        <f t="shared" si="36"/>
        <v>na</v>
      </c>
      <c r="M120" s="244"/>
      <c r="N120" s="205">
        <f>F120</f>
        <v>0</v>
      </c>
      <c r="O120" s="204">
        <f t="shared" si="37"/>
        <v>0</v>
      </c>
      <c r="P120" s="244" t="str">
        <f t="shared" si="38"/>
        <v>na</v>
      </c>
      <c r="Q120" s="257"/>
      <c r="R120" s="210"/>
    </row>
    <row r="121" spans="2:18">
      <c r="B121" s="229" t="str">
        <f>'2017 Determination - Revenue'!B$35</f>
        <v>Namoi</v>
      </c>
      <c r="C121" s="210" t="str">
        <f t="shared" si="39"/>
        <v>$/ML</v>
      </c>
      <c r="D121" s="210"/>
      <c r="E121" s="210"/>
      <c r="F121" s="272">
        <v>0</v>
      </c>
      <c r="G121" s="256">
        <f>(('MDB calcs'!G192/'MDB calcs'!G133)*1000)</f>
        <v>0</v>
      </c>
      <c r="H121" s="256">
        <f>(('MDB calcs'!H192/'MDB calcs'!H133)*1000)</f>
        <v>0</v>
      </c>
      <c r="I121" s="183"/>
      <c r="J121" s="221">
        <v>0</v>
      </c>
      <c r="K121" s="221">
        <f>ROUND((ROUND(H121,2)*(1+'2017 Determination - Revenue'!$F$18)),2)*(1+'2017 Determination - Revenue'!$H$22)</f>
        <v>0</v>
      </c>
      <c r="L121" s="244" t="str">
        <f t="shared" si="36"/>
        <v>na</v>
      </c>
      <c r="M121" s="244"/>
      <c r="N121" s="205">
        <f t="shared" ref="N121:N124" si="40">F121</f>
        <v>0</v>
      </c>
      <c r="O121" s="204">
        <f t="shared" si="37"/>
        <v>0</v>
      </c>
      <c r="P121" s="244" t="str">
        <f t="shared" si="38"/>
        <v>na</v>
      </c>
      <c r="Q121" s="257"/>
      <c r="R121" s="210"/>
    </row>
    <row r="122" spans="2:18">
      <c r="B122" s="229" t="str">
        <f>'2017 Determination - Revenue'!B$36</f>
        <v>Peel</v>
      </c>
      <c r="C122" s="210" t="str">
        <f t="shared" si="39"/>
        <v>$/ML</v>
      </c>
      <c r="D122" s="210"/>
      <c r="E122" s="210"/>
      <c r="F122" s="272">
        <v>0</v>
      </c>
      <c r="G122" s="256">
        <f>(('MDB calcs'!G193/'MDB calcs'!G134)*1000)</f>
        <v>0</v>
      </c>
      <c r="H122" s="256">
        <f>(('MDB calcs'!H193/'MDB calcs'!H134)*1000)</f>
        <v>0</v>
      </c>
      <c r="I122" s="183"/>
      <c r="J122" s="221">
        <v>0</v>
      </c>
      <c r="K122" s="221">
        <f>ROUND((ROUND(H122,2)*(1+'2017 Determination - Revenue'!$F$18)),2)*(1+'2017 Determination - Revenue'!$H$22)</f>
        <v>0</v>
      </c>
      <c r="L122" s="244" t="str">
        <f t="shared" si="36"/>
        <v>na</v>
      </c>
      <c r="M122" s="244"/>
      <c r="N122" s="205">
        <f t="shared" si="40"/>
        <v>0</v>
      </c>
      <c r="O122" s="204">
        <f t="shared" si="37"/>
        <v>0</v>
      </c>
      <c r="P122" s="244" t="str">
        <f t="shared" si="38"/>
        <v>na</v>
      </c>
      <c r="Q122" s="257"/>
      <c r="R122" s="210"/>
    </row>
    <row r="123" spans="2:18">
      <c r="B123" s="229" t="str">
        <f>'2017 Determination - Revenue'!B$37</f>
        <v>Lachlan</v>
      </c>
      <c r="C123" s="210" t="str">
        <f t="shared" si="39"/>
        <v>$/ML</v>
      </c>
      <c r="D123" s="210"/>
      <c r="E123" s="210"/>
      <c r="F123" s="272">
        <v>0</v>
      </c>
      <c r="G123" s="256">
        <f>(('MDB calcs'!G194/'MDB calcs'!G135)*1000)</f>
        <v>0</v>
      </c>
      <c r="H123" s="256">
        <f>(('MDB calcs'!H194/'MDB calcs'!H135)*1000)</f>
        <v>0</v>
      </c>
      <c r="I123" s="183"/>
      <c r="J123" s="221">
        <v>0</v>
      </c>
      <c r="K123" s="221">
        <f>ROUND((ROUND(H123,2)*(1+'2017 Determination - Revenue'!$F$18)),2)*(1+'2017 Determination - Revenue'!$H$22)</f>
        <v>0</v>
      </c>
      <c r="L123" s="244" t="str">
        <f t="shared" si="36"/>
        <v>na</v>
      </c>
      <c r="M123" s="244"/>
      <c r="N123" s="205">
        <f t="shared" si="40"/>
        <v>0</v>
      </c>
      <c r="O123" s="204">
        <f t="shared" si="37"/>
        <v>0</v>
      </c>
      <c r="P123" s="244" t="str">
        <f t="shared" si="38"/>
        <v>na</v>
      </c>
      <c r="Q123" s="257"/>
      <c r="R123" s="210"/>
    </row>
    <row r="124" spans="2:18">
      <c r="B124" s="229" t="str">
        <f>'2017 Determination - Revenue'!B$38</f>
        <v>Macquarie</v>
      </c>
      <c r="C124" s="210" t="str">
        <f t="shared" si="39"/>
        <v>$/ML</v>
      </c>
      <c r="D124" s="210"/>
      <c r="E124" s="210"/>
      <c r="F124" s="272">
        <v>0</v>
      </c>
      <c r="G124" s="256">
        <f>(('MDB calcs'!G195/'MDB calcs'!G136)*1000)</f>
        <v>0</v>
      </c>
      <c r="H124" s="256">
        <f>(('MDB calcs'!H195/'MDB calcs'!H136)*1000)</f>
        <v>0</v>
      </c>
      <c r="I124" s="183"/>
      <c r="J124" s="221">
        <v>0</v>
      </c>
      <c r="K124" s="221">
        <f>ROUND((ROUND(H124,2)*(1+'2017 Determination - Revenue'!$F$18)),2)*(1+'2017 Determination - Revenue'!$H$22)</f>
        <v>0</v>
      </c>
      <c r="L124" s="244" t="str">
        <f t="shared" si="36"/>
        <v>na</v>
      </c>
      <c r="M124" s="244"/>
      <c r="N124" s="205">
        <f t="shared" si="40"/>
        <v>0</v>
      </c>
      <c r="O124" s="204">
        <f t="shared" si="37"/>
        <v>0</v>
      </c>
      <c r="P124" s="244" t="str">
        <f t="shared" si="38"/>
        <v>na</v>
      </c>
      <c r="Q124" s="257"/>
      <c r="R124" s="210"/>
    </row>
    <row r="125" spans="2:18">
      <c r="B125" s="229" t="str">
        <f>'2017 Determination - Revenue'!B$39</f>
        <v>Murray</v>
      </c>
      <c r="C125" s="210" t="str">
        <f t="shared" si="39"/>
        <v>$/ML</v>
      </c>
      <c r="D125" s="210"/>
      <c r="E125" s="210"/>
      <c r="F125" s="263">
        <f>'2017 Determination - charges'!F75</f>
        <v>3.5616689641805239</v>
      </c>
      <c r="G125" s="256">
        <f>(('MDB calcs'!G196/'MDB calcs'!G137)*1000)</f>
        <v>3.5617050022686474</v>
      </c>
      <c r="H125" s="256">
        <f>(('MDB calcs'!H196/'MDB calcs'!H137)*1000)</f>
        <v>3.5419578787653303</v>
      </c>
      <c r="I125" s="183"/>
      <c r="J125" s="221">
        <f>'2017 Determination - charges'!L75</f>
        <v>3.7497899999999995</v>
      </c>
      <c r="K125" s="221">
        <f>ROUND((ROUND(H125,2)*(1+'2017 Determination - Revenue'!$F$18)),2)*(1+'2017 Determination - Revenue'!$H$22)</f>
        <v>3.7291299999999996</v>
      </c>
      <c r="L125" s="244">
        <f t="shared" si="36"/>
        <v>-5.5096418732781816E-3</v>
      </c>
      <c r="M125" s="244"/>
      <c r="N125" s="204">
        <f>'2017 Determination - charges'!H75</f>
        <v>3.5616689641805239</v>
      </c>
      <c r="O125" s="204">
        <f t="shared" si="37"/>
        <v>3.5419578787653303</v>
      </c>
      <c r="P125" s="244">
        <f t="shared" si="38"/>
        <v>-5.5342272438642093E-3</v>
      </c>
      <c r="Q125" s="257"/>
      <c r="R125" s="210"/>
    </row>
    <row r="126" spans="2:18">
      <c r="B126" s="229" t="str">
        <f>'2017 Determination - Revenue'!B$40</f>
        <v>Murrumbidgee</v>
      </c>
      <c r="C126" s="210" t="str">
        <f t="shared" si="39"/>
        <v>$/ML</v>
      </c>
      <c r="D126" s="210"/>
      <c r="E126" s="210"/>
      <c r="F126" s="263">
        <f>'2017 Determination - charges'!F76</f>
        <v>0.60861535478820739</v>
      </c>
      <c r="G126" s="256">
        <f>(('MDB calcs'!G197/'MDB calcs'!G138)*1000)</f>
        <v>0.60861465932249548</v>
      </c>
      <c r="H126" s="256">
        <f>(('MDB calcs'!H197/'MDB calcs'!H138)*1000)</f>
        <v>0.60255561664710766</v>
      </c>
      <c r="I126" s="183"/>
      <c r="J126" s="221">
        <f>'2017 Determination - charges'!L76</f>
        <v>0.64045999999999992</v>
      </c>
      <c r="K126" s="221">
        <f>ROUND((ROUND(H126,2)*(1+'2017 Determination - Revenue'!$F$18)),2)*(1+'2017 Determination - Revenue'!$H$22)</f>
        <v>0.63012999999999997</v>
      </c>
      <c r="L126" s="244">
        <f t="shared" si="36"/>
        <v>-1.6129032258064391E-2</v>
      </c>
      <c r="M126" s="244"/>
      <c r="N126" s="204">
        <f>'2017 Determination - charges'!H76</f>
        <v>0.60861535478820739</v>
      </c>
      <c r="O126" s="204">
        <f t="shared" si="37"/>
        <v>0.60255561664710766</v>
      </c>
      <c r="P126" s="244">
        <f t="shared" si="38"/>
        <v>-9.9565975347573055E-3</v>
      </c>
      <c r="Q126" s="257"/>
      <c r="R126" s="210"/>
    </row>
    <row r="127" spans="2:18">
      <c r="B127" s="229" t="str">
        <f>'2017 Determination - Revenue'!B$41</f>
        <v>Lowbidgee</v>
      </c>
      <c r="C127" s="210" t="str">
        <f>$C$27</f>
        <v>$/ML</v>
      </c>
      <c r="D127" s="210"/>
      <c r="E127" s="210"/>
      <c r="F127" s="272">
        <v>0</v>
      </c>
      <c r="G127" s="256">
        <f>(('MDB calcs'!G198/'MDB calcs'!G139)*1000)</f>
        <v>0</v>
      </c>
      <c r="H127" s="256">
        <f>(('MDB calcs'!H198/'MDB calcs'!H139)*1000)</f>
        <v>0</v>
      </c>
      <c r="I127" s="183"/>
      <c r="J127" s="221">
        <v>0</v>
      </c>
      <c r="K127" s="221">
        <f>ROUND((ROUND(H127,2)*(1+'2017 Determination - Revenue'!$F$18)),2)*(1+'2017 Determination - Revenue'!$H$22)</f>
        <v>0</v>
      </c>
      <c r="L127" s="244" t="str">
        <f t="shared" si="36"/>
        <v>na</v>
      </c>
      <c r="M127" s="244"/>
      <c r="N127" s="205">
        <f>F127</f>
        <v>0</v>
      </c>
      <c r="O127" s="204">
        <f t="shared" si="37"/>
        <v>0</v>
      </c>
      <c r="P127" s="244" t="str">
        <f t="shared" si="38"/>
        <v>na</v>
      </c>
      <c r="Q127" s="257"/>
      <c r="R127" s="210"/>
    </row>
    <row r="128" spans="2:18">
      <c r="B128" s="264"/>
      <c r="C128" s="210"/>
      <c r="D128" s="210"/>
      <c r="E128" s="210"/>
      <c r="F128" s="219"/>
      <c r="G128" s="83"/>
      <c r="H128" s="83"/>
      <c r="I128" s="83"/>
      <c r="J128" s="244"/>
      <c r="K128" s="244"/>
      <c r="L128" s="244"/>
      <c r="M128" s="244"/>
      <c r="N128" s="244"/>
      <c r="O128" s="244"/>
      <c r="P128" s="244"/>
      <c r="Q128" s="257"/>
      <c r="R128" s="210"/>
    </row>
    <row r="129" spans="2:19">
      <c r="B129" s="262" t="str">
        <f>B$48</f>
        <v>High security entitlement charges</v>
      </c>
      <c r="C129" s="210"/>
      <c r="D129" s="210"/>
      <c r="E129" s="210"/>
      <c r="F129" s="210"/>
      <c r="G129" s="38"/>
      <c r="H129" s="38"/>
      <c r="I129" s="183"/>
      <c r="J129" s="244"/>
      <c r="K129" s="244"/>
      <c r="L129" s="244"/>
      <c r="M129" s="244"/>
      <c r="N129" s="244"/>
      <c r="O129" s="244"/>
      <c r="P129" s="244"/>
      <c r="Q129" s="257"/>
      <c r="R129" s="213"/>
    </row>
    <row r="130" spans="2:19">
      <c r="B130" s="229" t="str">
        <f>'2017 Determination - Revenue'!B$33</f>
        <v>Border</v>
      </c>
      <c r="C130" s="210" t="str">
        <f>$C$27</f>
        <v>$/ML</v>
      </c>
      <c r="D130" s="210"/>
      <c r="E130" s="210"/>
      <c r="F130" s="263">
        <f>'2017 Determination - charges'!F79</f>
        <v>4.6050654775877584</v>
      </c>
      <c r="G130" s="256">
        <f>(G119*'MDB calcs'!G114)</f>
        <v>4.3875729729236124</v>
      </c>
      <c r="H130" s="256">
        <f>(H119*'MDB calcs'!H114)</f>
        <v>4.5154082674307556</v>
      </c>
      <c r="I130" s="183"/>
      <c r="J130" s="221">
        <f>'2017 Determination - charges'!L79</f>
        <v>4.8654299999999999</v>
      </c>
      <c r="K130" s="221">
        <f>ROUND((ROUND(H130,2)*(1+'2017 Determination - Revenue'!$F$18)),2)*(1+'2017 Determination - Revenue'!$H$22)</f>
        <v>4.76213</v>
      </c>
      <c r="L130" s="244">
        <f t="shared" ref="L130:L138" si="41">IF(J130=0,"na",K130/J130-1)</f>
        <v>-2.1231422505307851E-2</v>
      </c>
      <c r="M130" s="244"/>
      <c r="N130" s="204">
        <f>'2017 Determination - charges'!F79</f>
        <v>4.6050654775877584</v>
      </c>
      <c r="O130" s="204">
        <f t="shared" ref="O130:O138" si="42">H130</f>
        <v>4.5154082674307556</v>
      </c>
      <c r="P130" s="244">
        <f t="shared" ref="P130:P138" si="43">IF(N130=0,"na",O130/N130-1)</f>
        <v>-1.9469258492273878E-2</v>
      </c>
      <c r="Q130" s="257"/>
      <c r="R130" s="210"/>
    </row>
    <row r="131" spans="2:19">
      <c r="B131" s="229" t="str">
        <f>'2017 Determination - Revenue'!B$34</f>
        <v>Gwydir</v>
      </c>
      <c r="C131" s="210" t="str">
        <f t="shared" ref="C131:C137" si="44">$C$27</f>
        <v>$/ML</v>
      </c>
      <c r="D131" s="210"/>
      <c r="E131" s="210"/>
      <c r="F131" s="272">
        <v>0</v>
      </c>
      <c r="G131" s="256">
        <f>(G120*'MDB calcs'!G115)</f>
        <v>0</v>
      </c>
      <c r="H131" s="256">
        <f>(H120*'MDB calcs'!H115)</f>
        <v>0</v>
      </c>
      <c r="I131" s="183"/>
      <c r="J131" s="221">
        <v>0</v>
      </c>
      <c r="K131" s="221">
        <f>ROUND((ROUND(H131,2)*(1+'2017 Determination - Revenue'!$F$18)),2)*(1+'2017 Determination - Revenue'!$H$22)</f>
        <v>0</v>
      </c>
      <c r="L131" s="244" t="str">
        <f t="shared" si="41"/>
        <v>na</v>
      </c>
      <c r="M131" s="244"/>
      <c r="N131" s="205">
        <f t="shared" ref="N131:N135" si="45">F131</f>
        <v>0</v>
      </c>
      <c r="O131" s="204">
        <f t="shared" si="42"/>
        <v>0</v>
      </c>
      <c r="P131" s="244" t="str">
        <f t="shared" si="43"/>
        <v>na</v>
      </c>
      <c r="Q131" s="257"/>
      <c r="R131" s="210"/>
    </row>
    <row r="132" spans="2:19">
      <c r="B132" s="229" t="str">
        <f>'2017 Determination - Revenue'!B$35</f>
        <v>Namoi</v>
      </c>
      <c r="C132" s="210" t="str">
        <f t="shared" si="44"/>
        <v>$/ML</v>
      </c>
      <c r="D132" s="210"/>
      <c r="E132" s="210"/>
      <c r="F132" s="272">
        <v>0</v>
      </c>
      <c r="G132" s="256">
        <f>(G121*'MDB calcs'!G116)</f>
        <v>0</v>
      </c>
      <c r="H132" s="256">
        <f>(H121*'MDB calcs'!H116)</f>
        <v>0</v>
      </c>
      <c r="I132" s="183"/>
      <c r="J132" s="221">
        <v>0</v>
      </c>
      <c r="K132" s="221">
        <f>ROUND((ROUND(H132,2)*(1+'2017 Determination - Revenue'!$F$18)),2)*(1+'2017 Determination - Revenue'!$H$22)</f>
        <v>0</v>
      </c>
      <c r="L132" s="244" t="str">
        <f t="shared" si="41"/>
        <v>na</v>
      </c>
      <c r="M132" s="244"/>
      <c r="N132" s="205">
        <f t="shared" si="45"/>
        <v>0</v>
      </c>
      <c r="O132" s="204">
        <f t="shared" si="42"/>
        <v>0</v>
      </c>
      <c r="P132" s="244" t="str">
        <f t="shared" si="43"/>
        <v>na</v>
      </c>
      <c r="Q132" s="257"/>
      <c r="R132" s="210"/>
    </row>
    <row r="133" spans="2:19">
      <c r="B133" s="229" t="str">
        <f>'2017 Determination - Revenue'!B$36</f>
        <v>Peel</v>
      </c>
      <c r="C133" s="210" t="str">
        <f t="shared" si="44"/>
        <v>$/ML</v>
      </c>
      <c r="D133" s="210"/>
      <c r="E133" s="210"/>
      <c r="F133" s="272">
        <v>0</v>
      </c>
      <c r="G133" s="256">
        <f>(G122*'MDB calcs'!G117)</f>
        <v>0</v>
      </c>
      <c r="H133" s="256">
        <f>(H122*'MDB calcs'!H117)</f>
        <v>0</v>
      </c>
      <c r="I133" s="183"/>
      <c r="J133" s="221">
        <v>0</v>
      </c>
      <c r="K133" s="221">
        <f>ROUND((ROUND(H133,2)*(1+'2017 Determination - Revenue'!$F$18)),2)*(1+'2017 Determination - Revenue'!$H$22)</f>
        <v>0</v>
      </c>
      <c r="L133" s="244" t="str">
        <f t="shared" si="41"/>
        <v>na</v>
      </c>
      <c r="M133" s="244"/>
      <c r="N133" s="205">
        <f t="shared" si="45"/>
        <v>0</v>
      </c>
      <c r="O133" s="204">
        <f t="shared" si="42"/>
        <v>0</v>
      </c>
      <c r="P133" s="244" t="str">
        <f t="shared" si="43"/>
        <v>na</v>
      </c>
      <c r="Q133" s="257"/>
      <c r="R133" s="210"/>
    </row>
    <row r="134" spans="2:19">
      <c r="B134" s="229" t="str">
        <f>'2017 Determination - Revenue'!B$37</f>
        <v>Lachlan</v>
      </c>
      <c r="C134" s="210" t="str">
        <f t="shared" si="44"/>
        <v>$/ML</v>
      </c>
      <c r="D134" s="210"/>
      <c r="E134" s="210"/>
      <c r="F134" s="272">
        <v>0</v>
      </c>
      <c r="G134" s="256">
        <f>(G123*'MDB calcs'!G118)</f>
        <v>0</v>
      </c>
      <c r="H134" s="256">
        <f>(H123*'MDB calcs'!H118)</f>
        <v>0</v>
      </c>
      <c r="I134" s="183"/>
      <c r="J134" s="221">
        <v>0</v>
      </c>
      <c r="K134" s="221">
        <f>ROUND((ROUND(H134,2)*(1+'2017 Determination - Revenue'!$F$18)),2)*(1+'2017 Determination - Revenue'!$H$22)</f>
        <v>0</v>
      </c>
      <c r="L134" s="244" t="str">
        <f t="shared" si="41"/>
        <v>na</v>
      </c>
      <c r="M134" s="244"/>
      <c r="N134" s="205">
        <f t="shared" si="45"/>
        <v>0</v>
      </c>
      <c r="O134" s="204">
        <f t="shared" si="42"/>
        <v>0</v>
      </c>
      <c r="P134" s="244" t="str">
        <f t="shared" si="43"/>
        <v>na</v>
      </c>
      <c r="Q134" s="257"/>
      <c r="R134" s="210"/>
    </row>
    <row r="135" spans="2:19">
      <c r="B135" s="229" t="str">
        <f>'2017 Determination - Revenue'!B$38</f>
        <v>Macquarie</v>
      </c>
      <c r="C135" s="210" t="str">
        <f t="shared" si="44"/>
        <v>$/ML</v>
      </c>
      <c r="D135" s="210"/>
      <c r="E135" s="210"/>
      <c r="F135" s="272">
        <v>0</v>
      </c>
      <c r="G135" s="256">
        <f>(G124*'MDB calcs'!G119)</f>
        <v>0</v>
      </c>
      <c r="H135" s="256">
        <f>(H124*'MDB calcs'!H119)</f>
        <v>0</v>
      </c>
      <c r="I135" s="183"/>
      <c r="J135" s="221">
        <v>0</v>
      </c>
      <c r="K135" s="221">
        <f>ROUND((ROUND(H135,2)*(1+'2017 Determination - Revenue'!$F$18)),2)*(1+'2017 Determination - Revenue'!$H$22)</f>
        <v>0</v>
      </c>
      <c r="L135" s="244" t="str">
        <f t="shared" si="41"/>
        <v>na</v>
      </c>
      <c r="M135" s="244"/>
      <c r="N135" s="205">
        <f t="shared" si="45"/>
        <v>0</v>
      </c>
      <c r="O135" s="204">
        <f t="shared" si="42"/>
        <v>0</v>
      </c>
      <c r="P135" s="244" t="str">
        <f t="shared" si="43"/>
        <v>na</v>
      </c>
      <c r="Q135" s="257"/>
      <c r="R135" s="210"/>
    </row>
    <row r="136" spans="2:19">
      <c r="B136" s="229" t="str">
        <f>'2017 Determination - Revenue'!B$39</f>
        <v>Murray</v>
      </c>
      <c r="C136" s="210" t="str">
        <f t="shared" si="44"/>
        <v>$/ML</v>
      </c>
      <c r="D136" s="210"/>
      <c r="E136" s="210"/>
      <c r="F136" s="263">
        <f>'2017 Determination - charges'!F80</f>
        <v>7.2658214716513054</v>
      </c>
      <c r="G136" s="256">
        <f>(G125*'MDB calcs'!G120)</f>
        <v>7.2658949895209091</v>
      </c>
      <c r="H136" s="256">
        <f>(H125*'MDB calcs'!H120)</f>
        <v>7.4229510728906511</v>
      </c>
      <c r="I136" s="183"/>
      <c r="J136" s="221">
        <f>'2017 Determination - charges'!L80</f>
        <v>7.6648599999999991</v>
      </c>
      <c r="K136" s="221">
        <f>ROUND((ROUND(H136,2)*(1+'2017 Determination - Revenue'!$F$18)),2)*(1+'2017 Determination - Revenue'!$H$22)</f>
        <v>7.8301399999999992</v>
      </c>
      <c r="L136" s="244">
        <f t="shared" si="41"/>
        <v>2.1563342318059231E-2</v>
      </c>
      <c r="M136" s="244"/>
      <c r="N136" s="204">
        <f>'2017 Determination - charges'!H80</f>
        <v>7.2658214716513054</v>
      </c>
      <c r="O136" s="204">
        <f t="shared" si="42"/>
        <v>7.4229510728906511</v>
      </c>
      <c r="P136" s="244">
        <f t="shared" si="43"/>
        <v>2.1625854950112711E-2</v>
      </c>
      <c r="Q136" s="257"/>
      <c r="R136" s="210"/>
    </row>
    <row r="137" spans="2:19">
      <c r="B137" s="229" t="str">
        <f>'2017 Determination - Revenue'!B$40</f>
        <v>Murrumbidgee</v>
      </c>
      <c r="C137" s="210" t="str">
        <f t="shared" si="44"/>
        <v>$/ML</v>
      </c>
      <c r="D137" s="210"/>
      <c r="E137" s="210"/>
      <c r="F137" s="263">
        <f>'2017 Determination - charges'!F81</f>
        <v>1.6127560685673548</v>
      </c>
      <c r="G137" s="256">
        <f>(G126*'MDB calcs'!G121)</f>
        <v>1.6127596669925111</v>
      </c>
      <c r="H137" s="256">
        <f>(H126*'MDB calcs'!H121)</f>
        <v>1.6441098992459851</v>
      </c>
      <c r="I137" s="183"/>
      <c r="J137" s="221">
        <f>'2017 Determination - charges'!L81</f>
        <v>1.6941199999999998</v>
      </c>
      <c r="K137" s="221">
        <f>ROUND((ROUND(H137,2)*(1+'2017 Determination - Revenue'!$F$18)),2)*(1+'2017 Determination - Revenue'!$H$22)</f>
        <v>1.7251099999999997</v>
      </c>
      <c r="L137" s="244">
        <f t="shared" si="41"/>
        <v>1.8292682926829285E-2</v>
      </c>
      <c r="M137" s="244"/>
      <c r="N137" s="204">
        <f>'2017 Determination - charges'!H81</f>
        <v>1.6127560685673548</v>
      </c>
      <c r="O137" s="204">
        <f t="shared" si="42"/>
        <v>1.6441098992459851</v>
      </c>
      <c r="P137" s="244">
        <f t="shared" si="43"/>
        <v>1.9441148782334272E-2</v>
      </c>
      <c r="Q137" s="257"/>
      <c r="R137" s="210"/>
    </row>
    <row r="138" spans="2:19">
      <c r="B138" s="229" t="str">
        <f>'2017 Determination - Revenue'!B$41</f>
        <v>Lowbidgee</v>
      </c>
      <c r="C138" s="210" t="str">
        <f>$C$27</f>
        <v>$/ML</v>
      </c>
      <c r="D138" s="210"/>
      <c r="E138" s="210"/>
      <c r="F138" s="272">
        <v>0</v>
      </c>
      <c r="G138" s="256">
        <f>(G127*'MDB calcs'!G122)</f>
        <v>0</v>
      </c>
      <c r="H138" s="256">
        <f>(H127*'MDB calcs'!H122)</f>
        <v>0</v>
      </c>
      <c r="I138" s="183"/>
      <c r="J138" s="221">
        <v>0</v>
      </c>
      <c r="K138" s="221">
        <f>ROUND((ROUND(H138,2)*(1+'2017 Determination - Revenue'!$F$18)),2)*(1+'2017 Determination - Revenue'!$H$22)</f>
        <v>0</v>
      </c>
      <c r="L138" s="244" t="str">
        <f t="shared" si="41"/>
        <v>na</v>
      </c>
      <c r="M138" s="244"/>
      <c r="N138" s="205">
        <f>F138</f>
        <v>0</v>
      </c>
      <c r="O138" s="204">
        <f t="shared" si="42"/>
        <v>0</v>
      </c>
      <c r="P138" s="244" t="str">
        <f t="shared" si="43"/>
        <v>na</v>
      </c>
      <c r="Q138" s="257"/>
      <c r="R138" s="210"/>
    </row>
    <row r="139" spans="2:19">
      <c r="B139" s="264" t="s">
        <v>34</v>
      </c>
      <c r="C139" s="210"/>
      <c r="D139" s="210"/>
      <c r="E139" s="210"/>
      <c r="F139" s="219"/>
      <c r="G139" s="219">
        <f>SUMPRODUCT(G119:G127,'MDB calcs'!G114:G122)-SUM(G130:G138)</f>
        <v>0</v>
      </c>
      <c r="H139" s="219">
        <f>SUMPRODUCT(H119:H127,'MDB calcs'!H114:H122)-SUM(H130:H138)</f>
        <v>0</v>
      </c>
      <c r="I139" s="219"/>
      <c r="J139" s="219"/>
      <c r="K139" s="219"/>
      <c r="L139" s="232"/>
      <c r="M139" s="232"/>
      <c r="N139" s="232"/>
      <c r="O139" s="232"/>
      <c r="P139" s="232"/>
      <c r="Q139" s="257"/>
      <c r="R139" s="210"/>
    </row>
    <row r="140" spans="2:19">
      <c r="B140" s="267"/>
      <c r="C140" s="56"/>
      <c r="D140" s="56"/>
      <c r="E140" s="56"/>
      <c r="F140" s="56"/>
      <c r="G140" s="56"/>
      <c r="H140" s="56"/>
      <c r="I140" s="56"/>
      <c r="J140" s="178"/>
      <c r="K140" s="178"/>
      <c r="L140" s="178"/>
      <c r="M140" s="247"/>
      <c r="N140" s="247"/>
      <c r="O140" s="247"/>
      <c r="P140" s="247"/>
      <c r="Q140" s="258"/>
      <c r="R140" s="210"/>
    </row>
    <row r="141" spans="2:19">
      <c r="B141" s="213"/>
      <c r="C141" s="213"/>
      <c r="D141" s="213"/>
      <c r="E141" s="213"/>
      <c r="F141" s="213"/>
      <c r="G141" s="213"/>
      <c r="H141" s="213"/>
      <c r="I141" s="213"/>
      <c r="J141" s="213"/>
      <c r="K141" s="213"/>
      <c r="L141" s="248"/>
      <c r="M141" s="248"/>
      <c r="N141" s="248"/>
      <c r="O141" s="248"/>
      <c r="P141" s="248"/>
      <c r="Q141" s="248"/>
      <c r="R141" s="248"/>
    </row>
    <row r="142" spans="2:19" s="110" customFormat="1">
      <c r="B142" s="213"/>
      <c r="C142" s="213"/>
      <c r="D142" s="213"/>
      <c r="E142" s="213"/>
      <c r="F142" s="213"/>
      <c r="G142" s="213"/>
      <c r="H142" s="213"/>
      <c r="I142" s="213"/>
      <c r="J142" s="213"/>
      <c r="K142" s="213"/>
      <c r="L142" s="248"/>
      <c r="M142" s="248"/>
      <c r="N142" s="248"/>
      <c r="O142" s="248"/>
      <c r="P142" s="248"/>
      <c r="Q142" s="248"/>
      <c r="R142" s="248"/>
      <c r="S142" s="213"/>
    </row>
    <row r="143" spans="2:19" s="110" customFormat="1">
      <c r="B143" s="268" t="s">
        <v>128</v>
      </c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48"/>
      <c r="R143" s="248"/>
      <c r="S143" s="213"/>
    </row>
    <row r="144" spans="2:19" s="110" customFormat="1">
      <c r="B144" s="63" t="str">
        <f>'2017 Determination - Revenue'!B$16</f>
        <v>Financial year</v>
      </c>
      <c r="C144" s="64" t="str">
        <f>'2017 Determination - Revenue'!C$28</f>
        <v>Units</v>
      </c>
      <c r="D144" s="51"/>
      <c r="E144" s="51"/>
      <c r="F144" s="230" t="str">
        <f>'2017 Determination - Revenue'!F$16</f>
        <v>2017-18</v>
      </c>
      <c r="G144" s="230" t="str">
        <f>'2017 Determination - Revenue'!G$16</f>
        <v>2018-19</v>
      </c>
      <c r="H144" s="230" t="str">
        <f>'2017 Determination - Revenue'!H$16</f>
        <v>2019-20</v>
      </c>
      <c r="I144" s="261"/>
      <c r="J144" s="316" t="str">
        <f>J$23</f>
        <v xml:space="preserve">2019-20 charges expressed </v>
      </c>
      <c r="K144" s="316"/>
      <c r="L144" s="198" t="str">
        <f>$L$23</f>
        <v>Difference between</v>
      </c>
      <c r="M144" s="198"/>
      <c r="N144" s="315" t="str">
        <f>N104</f>
        <v xml:space="preserve">2019-20 charges expressed </v>
      </c>
      <c r="O144" s="315"/>
      <c r="P144" s="198" t="str">
        <f>P104</f>
        <v>Difference between</v>
      </c>
      <c r="Q144" s="259"/>
      <c r="R144" s="210"/>
      <c r="S144" s="213"/>
    </row>
    <row r="145" spans="2:19" s="110" customFormat="1" ht="22.75" customHeight="1">
      <c r="B145" s="78"/>
      <c r="C145" s="75"/>
      <c r="D145" s="53"/>
      <c r="E145" s="53"/>
      <c r="F145" s="234" t="str">
        <f>F$24</f>
        <v>As per 2017 Determination</v>
      </c>
      <c r="G145" s="234" t="str">
        <f>G$24</f>
        <v>Re-calculated charges</v>
      </c>
      <c r="H145" s="234" t="str">
        <f>H$24</f>
        <v>Re-calculated charges</v>
      </c>
      <c r="I145" s="210"/>
      <c r="J145" s="234" t="str">
        <f>F145</f>
        <v>As per 2017 Determination</v>
      </c>
      <c r="K145" s="199" t="str">
        <f>G145</f>
        <v>Re-calculated charges</v>
      </c>
      <c r="L145" s="199" t="str">
        <f>$L$24</f>
        <v xml:space="preserve"> 2019-20 re-calculated and 2017 determination charges</v>
      </c>
      <c r="M145" s="199"/>
      <c r="N145" s="199" t="str">
        <f>N105</f>
        <v>As per 2017 Determination</v>
      </c>
      <c r="O145" s="199" t="str">
        <f>O105</f>
        <v>Re-calculated charges</v>
      </c>
      <c r="P145" s="199" t="str">
        <f>P105</f>
        <v xml:space="preserve"> 2019-20 re-calculated and 2017 determination charges</v>
      </c>
      <c r="Q145" s="257"/>
      <c r="R145" s="210"/>
      <c r="S145" s="213"/>
    </row>
    <row r="146" spans="2:19" s="110" customFormat="1">
      <c r="B146" s="66"/>
      <c r="C146" s="53"/>
      <c r="D146" s="53"/>
      <c r="E146" s="53"/>
      <c r="F146" s="235" t="str">
        <f>'2017 Determination - Revenue'!$F$29</f>
        <v>$2016-17</v>
      </c>
      <c r="G146" s="157" t="str">
        <f>'2017 Determination - Revenue'!$F$29</f>
        <v>$2016-17</v>
      </c>
      <c r="H146" s="157" t="str">
        <f>'2017 Determination - Revenue'!$F$29</f>
        <v>$2016-17</v>
      </c>
      <c r="I146" s="1"/>
      <c r="J146" s="203" t="str">
        <f>J$25</f>
        <v>$2019-20</v>
      </c>
      <c r="K146" s="235" t="str">
        <f>K$25</f>
        <v>$2019-20</v>
      </c>
      <c r="L146" s="132" t="str">
        <f>$L$25</f>
        <v>%</v>
      </c>
      <c r="M146" s="190"/>
      <c r="N146" s="132" t="str">
        <f>N$25</f>
        <v>$2016-17</v>
      </c>
      <c r="O146" s="132" t="str">
        <f>O$25</f>
        <v>$2016-17</v>
      </c>
      <c r="P146" s="132" t="str">
        <f>P$25</f>
        <v>%</v>
      </c>
      <c r="Q146" s="257"/>
      <c r="R146" s="210"/>
      <c r="S146" s="213"/>
    </row>
    <row r="147" spans="2:19" s="110" customFormat="1">
      <c r="B147" s="66" t="s">
        <v>45</v>
      </c>
      <c r="C147" s="53"/>
      <c r="D147" s="53"/>
      <c r="E147" s="53"/>
      <c r="F147" s="53"/>
      <c r="G147" s="53"/>
      <c r="H147" s="53"/>
      <c r="I147" s="38"/>
      <c r="J147" s="232"/>
      <c r="K147" s="232"/>
      <c r="L147" s="232"/>
      <c r="M147" s="232"/>
      <c r="N147" s="232"/>
      <c r="O147" s="232"/>
      <c r="P147" s="232"/>
      <c r="Q147" s="257"/>
      <c r="R147" s="210"/>
      <c r="S147" s="213"/>
    </row>
    <row r="148" spans="2:19" s="110" customFormat="1">
      <c r="B148" s="274" t="str">
        <f>'Updated Volumes'!B$31</f>
        <v xml:space="preserve">Energy Australia </v>
      </c>
      <c r="C148" s="275" t="s">
        <v>39</v>
      </c>
      <c r="D148" s="53"/>
      <c r="E148" s="53"/>
      <c r="F148" s="231">
        <f>'2017 Determination - charges'!F91</f>
        <v>0.3916320430805259</v>
      </c>
      <c r="G148" s="256">
        <f>('FRWS calcs'!G43/'FRWS calcs'!G14)</f>
        <v>0.3916320430805259</v>
      </c>
      <c r="H148" s="256">
        <f>('FRWS calcs'!H43/'FRWS calcs'!H14)</f>
        <v>0.3916320430805259</v>
      </c>
      <c r="I148" s="183"/>
      <c r="J148" s="221">
        <f>'2017 Determination - charges'!L91</f>
        <v>0.41320000000000001</v>
      </c>
      <c r="K148" s="221">
        <f>ROUND((ROUND(H148,2)*(1+'2017 Determination - Revenue'!$F$18)),2)*(1+'2017 Determination - Revenue'!$H$22)</f>
        <v>0.41320000000000001</v>
      </c>
      <c r="L148" s="244">
        <f>IF(J148=0,"na",K148/J148-1)</f>
        <v>0</v>
      </c>
      <c r="M148" s="244"/>
      <c r="N148" s="204">
        <f>'2017 Determination - charges'!H91</f>
        <v>0.3916320430805259</v>
      </c>
      <c r="O148" s="204">
        <f>H148</f>
        <v>0.3916320430805259</v>
      </c>
      <c r="P148" s="244">
        <f t="shared" ref="P148:P150" si="46">IF(N148=0,"na",O148/N148-1)</f>
        <v>0</v>
      </c>
      <c r="Q148" s="257"/>
      <c r="R148" s="221"/>
      <c r="S148" s="213"/>
    </row>
    <row r="149" spans="2:19" s="110" customFormat="1">
      <c r="B149" s="274" t="str">
        <f>'Updated Volumes'!B$32</f>
        <v xml:space="preserve">Minor customers (raw) </v>
      </c>
      <c r="C149" s="276" t="str">
        <f>Outputs!$C$148</f>
        <v>$/KL</v>
      </c>
      <c r="D149" s="212"/>
      <c r="E149" s="212"/>
      <c r="F149" s="231">
        <f>'2017 Determination - charges'!F92</f>
        <v>0.3916320430805259</v>
      </c>
      <c r="G149" s="256">
        <f>('FRWS calcs'!G44/'FRWS calcs'!G15)</f>
        <v>0.38696975685337681</v>
      </c>
      <c r="H149" s="256">
        <f>('FRWS calcs'!H44/'FRWS calcs'!H15)</f>
        <v>0.3916320430805259</v>
      </c>
      <c r="I149" s="183"/>
      <c r="J149" s="221">
        <f>'2017 Determination - charges'!L92</f>
        <v>0.41320000000000001</v>
      </c>
      <c r="K149" s="221">
        <f>ROUND((ROUND(H149,2)*(1+'2017 Determination - Revenue'!$F$18)),2)*(1+'2017 Determination - Revenue'!$H$22)</f>
        <v>0.41320000000000001</v>
      </c>
      <c r="L149" s="244">
        <f>IF(J149=0,"na",K149/J149-1)</f>
        <v>0</v>
      </c>
      <c r="M149" s="244"/>
      <c r="N149" s="204">
        <f>'2017 Determination - charges'!H92</f>
        <v>0.3916320430805259</v>
      </c>
      <c r="O149" s="204">
        <f>H149</f>
        <v>0.3916320430805259</v>
      </c>
      <c r="P149" s="244">
        <f t="shared" si="46"/>
        <v>0</v>
      </c>
      <c r="Q149" s="257"/>
      <c r="R149" s="210"/>
      <c r="S149" s="213"/>
    </row>
    <row r="150" spans="2:19" s="110" customFormat="1">
      <c r="B150" s="274" t="str">
        <f>'Updated Volumes'!B$33</f>
        <v xml:space="preserve">Minor customers (filtered) </v>
      </c>
      <c r="C150" s="276" t="str">
        <f>Outputs!$C$148</f>
        <v>$/KL</v>
      </c>
      <c r="D150" s="212"/>
      <c r="E150" s="212"/>
      <c r="F150" s="231">
        <f>'2017 Determination - charges'!F93</f>
        <v>0.7580403009206228</v>
      </c>
      <c r="G150" s="256">
        <f>('FRWS calcs'!G45/'FRWS calcs'!G16)</f>
        <v>0.74819562168788734</v>
      </c>
      <c r="H150" s="256">
        <f>('FRWS calcs'!H45/'FRWS calcs'!H16)</f>
        <v>0.7580403009206228</v>
      </c>
      <c r="I150" s="183"/>
      <c r="J150" s="221">
        <f>'2017 Determination - charges'!L93</f>
        <v>0.80574000000000001</v>
      </c>
      <c r="K150" s="221">
        <f>ROUND((ROUND(H150,2)*(1+'2017 Determination - Revenue'!$F$18)),2)*(1+'2017 Determination - Revenue'!$H$22)</f>
        <v>0.80574000000000001</v>
      </c>
      <c r="L150" s="244">
        <f>IF(J150=0,"na",K150/J150-1)</f>
        <v>0</v>
      </c>
      <c r="M150" s="244"/>
      <c r="N150" s="204">
        <f>'2017 Determination - charges'!H93</f>
        <v>0.7580403009206228</v>
      </c>
      <c r="O150" s="204">
        <f>H150</f>
        <v>0.7580403009206228</v>
      </c>
      <c r="P150" s="244">
        <f t="shared" si="46"/>
        <v>0</v>
      </c>
      <c r="Q150" s="257"/>
      <c r="R150" s="210"/>
      <c r="S150" s="213"/>
    </row>
    <row r="151" spans="2:19" s="110" customFormat="1">
      <c r="B151" s="76"/>
      <c r="C151" s="212"/>
      <c r="D151" s="212"/>
      <c r="E151" s="212"/>
      <c r="F151" s="53"/>
      <c r="G151" s="212"/>
      <c r="H151" s="243"/>
      <c r="I151" s="38"/>
      <c r="J151" s="221"/>
      <c r="K151" s="221"/>
      <c r="L151" s="232"/>
      <c r="M151" s="232"/>
      <c r="N151" s="232"/>
      <c r="O151" s="232"/>
      <c r="P151" s="232"/>
      <c r="Q151" s="257"/>
      <c r="R151" s="210"/>
      <c r="S151" s="213"/>
    </row>
    <row r="152" spans="2:19" s="110" customFormat="1">
      <c r="B152" s="66" t="s">
        <v>46</v>
      </c>
      <c r="C152" s="212"/>
      <c r="D152" s="212"/>
      <c r="E152" s="212"/>
      <c r="F152" s="53"/>
      <c r="G152" s="212"/>
      <c r="H152" s="243"/>
      <c r="I152" s="38"/>
      <c r="J152" s="221"/>
      <c r="K152" s="221"/>
      <c r="L152" s="232"/>
      <c r="M152" s="232"/>
      <c r="N152" s="232"/>
      <c r="O152" s="232"/>
      <c r="P152" s="232"/>
      <c r="Q152" s="257"/>
      <c r="R152" s="266"/>
      <c r="S152" s="213"/>
    </row>
    <row r="153" spans="2:19" s="110" customFormat="1">
      <c r="B153" s="274" t="str">
        <f>'Updated Volumes'!B$31</f>
        <v xml:space="preserve">Energy Australia </v>
      </c>
      <c r="C153" s="276" t="str">
        <f>Outputs!$C$148</f>
        <v>$/KL</v>
      </c>
      <c r="D153" s="212"/>
      <c r="E153" s="212"/>
      <c r="F153" s="231">
        <f>'2017 Determination - charges'!F96</f>
        <v>0.24476949700441</v>
      </c>
      <c r="G153" s="256">
        <f>(IF('FRWS calcs'!G20&lt;='FRWS calcs'!G14,(('FRWS calcs'!G58-'FRWS calcs'!G43)/'FRWS calcs'!G20),((('FRWS calcs'!G58-'FRWS calcs'!G43)-(('FRWS calcs'!G20-'FRWS calcs'!G14)*G148))/'FRWS calcs'!G20)))</f>
        <v>0.24477869737715272</v>
      </c>
      <c r="H153" s="256">
        <f>(IF('FRWS calcs'!H20&lt;='FRWS calcs'!H14,(('FRWS calcs'!H58-'FRWS calcs'!H43)/'FRWS calcs'!H20),((('FRWS calcs'!H58-'FRWS calcs'!H43)-(('FRWS calcs'!H20-'FRWS calcs'!H14)*H148))/'FRWS calcs'!H20)))</f>
        <v>0.21410830371166456</v>
      </c>
      <c r="I153" s="183"/>
      <c r="J153" s="221">
        <f>'2017 Determination - charges'!L96</f>
        <v>0.25824999999999998</v>
      </c>
      <c r="K153" s="221">
        <f>ROUND((ROUND(H153,2)*(1+'2017 Determination - Revenue'!$F$18)),2)*(1+'2017 Determination - Revenue'!$H$22)</f>
        <v>0.21692999999999998</v>
      </c>
      <c r="L153" s="244">
        <f>IF(J153=0,"na",K153/J153-1)</f>
        <v>-0.16000000000000003</v>
      </c>
      <c r="M153" s="244"/>
      <c r="N153" s="204">
        <f>'2017 Determination - charges'!H96</f>
        <v>0.24476949700441</v>
      </c>
      <c r="O153" s="204">
        <f>H153</f>
        <v>0.21410830371166456</v>
      </c>
      <c r="P153" s="244">
        <f t="shared" ref="P153:P155" si="47">IF(N153=0,"na",O153/N153-1)</f>
        <v>-0.12526558116100972</v>
      </c>
      <c r="Q153" s="257"/>
      <c r="R153" s="210"/>
      <c r="S153" s="213"/>
    </row>
    <row r="154" spans="2:19" s="110" customFormat="1">
      <c r="B154" s="274" t="str">
        <f>'Updated Volumes'!B$32</f>
        <v xml:space="preserve">Minor customers (raw) </v>
      </c>
      <c r="C154" s="276" t="str">
        <f>Outputs!$C$148</f>
        <v>$/KL</v>
      </c>
      <c r="D154" s="212"/>
      <c r="E154" s="212"/>
      <c r="F154" s="231">
        <f>'2017 Determination - charges'!F97</f>
        <v>0.24476949700441</v>
      </c>
      <c r="G154" s="256">
        <f>(IF('FRWS calcs'!G21&lt;='FRWS calcs'!G15,(('FRWS calcs'!G59-'FRWS calcs'!G44)/'FRWS calcs'!G21),((('FRWS calcs'!G59-'FRWS calcs'!G44)-(('FRWS calcs'!G21-'FRWS calcs'!G15)*G149))/'FRWS calcs'!G21)))</f>
        <v>0.24590036957214176</v>
      </c>
      <c r="H154" s="256">
        <f>(IF('FRWS calcs'!H21&lt;='FRWS calcs'!H15,(('FRWS calcs'!H59-'FRWS calcs'!H44)/'FRWS calcs'!H21),((('FRWS calcs'!H59-'FRWS calcs'!H44)-(('FRWS calcs'!H21-'FRWS calcs'!H15)*H149))/'FRWS calcs'!H21)))</f>
        <v>0.23966596487080818</v>
      </c>
      <c r="I154" s="183"/>
      <c r="J154" s="221">
        <f>'2017 Determination - charges'!L97</f>
        <v>0.25824999999999998</v>
      </c>
      <c r="K154" s="221">
        <f>ROUND((ROUND(H154,2)*(1+'2017 Determination - Revenue'!$F$18)),2)*(1+'2017 Determination - Revenue'!$H$22)</f>
        <v>0.25824999999999998</v>
      </c>
      <c r="L154" s="244">
        <f>IF(J154=0,"na",K154/J154-1)</f>
        <v>0</v>
      </c>
      <c r="M154" s="244"/>
      <c r="N154" s="204">
        <f>'2017 Determination - charges'!H97</f>
        <v>0.24476949700441</v>
      </c>
      <c r="O154" s="204">
        <f>H154</f>
        <v>0.23966596487080818</v>
      </c>
      <c r="P154" s="244">
        <f t="shared" si="47"/>
        <v>-2.0850360016509195E-2</v>
      </c>
      <c r="Q154" s="257"/>
      <c r="R154" s="210"/>
      <c r="S154" s="213"/>
    </row>
    <row r="155" spans="2:19" s="110" customFormat="1">
      <c r="B155" s="274" t="str">
        <f>'Updated Volumes'!B$33</f>
        <v xml:space="preserve">Minor customers (filtered) </v>
      </c>
      <c r="C155" s="276" t="str">
        <f>Outputs!$C$148</f>
        <v>$/KL</v>
      </c>
      <c r="D155" s="212"/>
      <c r="E155" s="212"/>
      <c r="F155" s="231">
        <f>'2017 Determination - charges'!F98</f>
        <v>0.45655147010905456</v>
      </c>
      <c r="G155" s="256">
        <f>(IF('FRWS calcs'!G22&lt;='FRWS calcs'!G16,(('FRWS calcs'!G60-'FRWS calcs'!G45)/'FRWS calcs'!G22),((('FRWS calcs'!G60-'FRWS calcs'!G45)-(('FRWS calcs'!G22-'FRWS calcs'!G16)*G150))/'FRWS calcs'!G22)))</f>
        <v>0.53610748655226914</v>
      </c>
      <c r="H155" s="256">
        <f>(IF('FRWS calcs'!H22&lt;='FRWS calcs'!H16,(('FRWS calcs'!H60-'FRWS calcs'!H45)/'FRWS calcs'!H22),((('FRWS calcs'!H60-'FRWS calcs'!H45)-(('FRWS calcs'!H22-'FRWS calcs'!H16)*H150))/'FRWS calcs'!H22)))</f>
        <v>0.56979682293480249</v>
      </c>
      <c r="I155" s="183"/>
      <c r="J155" s="221">
        <f>'2017 Determination - charges'!L98</f>
        <v>0.48550999999999994</v>
      </c>
      <c r="K155" s="221">
        <f>ROUND((ROUND(H155,2)*(1+'2017 Determination - Revenue'!$F$18)),2)*(1+'2017 Determination - Revenue'!$H$22)</f>
        <v>0.59913999999999989</v>
      </c>
      <c r="L155" s="244">
        <f>IF(J155=0,"na",K155/J155-1)</f>
        <v>0.23404255319148937</v>
      </c>
      <c r="M155" s="244"/>
      <c r="N155" s="204">
        <f>'2017 Determination - charges'!H98</f>
        <v>0.45655147010905456</v>
      </c>
      <c r="O155" s="204">
        <f>H155</f>
        <v>0.56979682293480249</v>
      </c>
      <c r="P155" s="244">
        <f t="shared" si="47"/>
        <v>0.2480450951098625</v>
      </c>
      <c r="Q155" s="257"/>
      <c r="R155" s="210"/>
      <c r="S155" s="213"/>
    </row>
    <row r="156" spans="2:19" s="110" customFormat="1">
      <c r="B156" s="76"/>
      <c r="C156" s="212"/>
      <c r="D156" s="212"/>
      <c r="E156" s="212"/>
      <c r="F156" s="53"/>
      <c r="G156" s="212"/>
      <c r="H156" s="243"/>
      <c r="I156" s="38"/>
      <c r="J156" s="221"/>
      <c r="K156" s="221"/>
      <c r="L156" s="232"/>
      <c r="M156" s="232"/>
      <c r="N156" s="213"/>
      <c r="O156" s="213"/>
      <c r="P156" s="232"/>
      <c r="Q156" s="257"/>
      <c r="R156" s="210"/>
      <c r="S156" s="213"/>
    </row>
    <row r="157" spans="2:19" s="110" customFormat="1">
      <c r="B157" s="66" t="s">
        <v>47</v>
      </c>
      <c r="C157" s="212"/>
      <c r="D157" s="212"/>
      <c r="E157" s="212"/>
      <c r="F157" s="53"/>
      <c r="G157" s="212"/>
      <c r="H157" s="243"/>
      <c r="I157" s="38"/>
      <c r="J157" s="244"/>
      <c r="K157" s="244"/>
      <c r="L157" s="232"/>
      <c r="M157" s="232"/>
      <c r="N157" s="213"/>
      <c r="O157" s="213"/>
      <c r="P157" s="232"/>
      <c r="Q157" s="257"/>
      <c r="R157" s="210"/>
      <c r="S157" s="213"/>
    </row>
    <row r="158" spans="2:19" s="110" customFormat="1">
      <c r="B158" s="274" t="str">
        <f>'Updated Volumes'!B$31</f>
        <v xml:space="preserve">Energy Australia </v>
      </c>
      <c r="C158" s="276" t="str">
        <f>Outputs!$C$148</f>
        <v>$/KL</v>
      </c>
      <c r="D158" s="212"/>
      <c r="E158" s="212"/>
      <c r="F158" s="231">
        <f>ROUND(F148,2)+ROUND(F153,2)</f>
        <v>0.63</v>
      </c>
      <c r="G158" s="256">
        <f t="shared" ref="G158:H160" si="48">(G148+G153)</f>
        <v>0.63641074045767865</v>
      </c>
      <c r="H158" s="256">
        <f t="shared" si="48"/>
        <v>0.60574034679219046</v>
      </c>
      <c r="I158" s="183"/>
      <c r="J158" s="221">
        <f>'2017 Determination - charges'!L101</f>
        <v>0.66999999999999993</v>
      </c>
      <c r="K158" s="221">
        <f>ROUND((ROUND(H158,2)*(1+'2017 Determination - Revenue'!$F$18)),2)*(1+'2017 Determination - Revenue'!$H$22)</f>
        <v>0.64045999999999992</v>
      </c>
      <c r="L158" s="244">
        <f>IF(J158=0,"na",K158/J158-1)</f>
        <v>-4.4089552238805951E-2</v>
      </c>
      <c r="M158" s="244"/>
      <c r="N158" s="204">
        <f>'2017 Determination - charges'!H101</f>
        <v>0.63640154008493588</v>
      </c>
      <c r="O158" s="204">
        <f>H158</f>
        <v>0.60574034679219046</v>
      </c>
      <c r="P158" s="244">
        <f t="shared" ref="P158:P160" si="49">IF(N158=0,"na",O158/N158-1)</f>
        <v>-4.8179005488662496E-2</v>
      </c>
      <c r="Q158" s="257"/>
      <c r="R158" s="210"/>
      <c r="S158" s="213"/>
    </row>
    <row r="159" spans="2:19" s="110" customFormat="1">
      <c r="B159" s="274" t="str">
        <f>'Updated Volumes'!B$32</f>
        <v xml:space="preserve">Minor customers (raw) </v>
      </c>
      <c r="C159" s="276" t="str">
        <f>Outputs!$C$148</f>
        <v>$/KL</v>
      </c>
      <c r="D159" s="212"/>
      <c r="E159" s="212"/>
      <c r="F159" s="231">
        <f>ROUND(F149,2)+ROUND(F154,2)</f>
        <v>0.63</v>
      </c>
      <c r="G159" s="256">
        <f t="shared" si="48"/>
        <v>0.63287012642551854</v>
      </c>
      <c r="H159" s="256">
        <f t="shared" si="48"/>
        <v>0.63129800795133406</v>
      </c>
      <c r="I159" s="183"/>
      <c r="J159" s="221">
        <f>'2017 Determination - charges'!L102</f>
        <v>0.66999999999999993</v>
      </c>
      <c r="K159" s="221">
        <f>ROUND((ROUND(H159,2)*(1+'2017 Determination - Revenue'!$F$18)),2)*(1+'2017 Determination - Revenue'!$H$22)</f>
        <v>0.66111999999999993</v>
      </c>
      <c r="L159" s="244">
        <f>IF(J159=0,"na",K159/J159-1)</f>
        <v>-1.3253731343283559E-2</v>
      </c>
      <c r="M159" s="244"/>
      <c r="N159" s="204">
        <f>'2017 Determination - charges'!H102</f>
        <v>0.63640154008493588</v>
      </c>
      <c r="O159" s="204">
        <f>H159</f>
        <v>0.63129800795133406</v>
      </c>
      <c r="P159" s="244">
        <f t="shared" si="49"/>
        <v>-8.0193585529675371E-3</v>
      </c>
      <c r="Q159" s="257"/>
      <c r="R159" s="210"/>
      <c r="S159" s="213"/>
    </row>
    <row r="160" spans="2:19" s="110" customFormat="1">
      <c r="B160" s="274" t="str">
        <f>'Updated Volumes'!B$33</f>
        <v xml:space="preserve">Minor customers (filtered) </v>
      </c>
      <c r="C160" s="276" t="str">
        <f>Outputs!$C$148</f>
        <v>$/KL</v>
      </c>
      <c r="D160" s="212"/>
      <c r="E160" s="212"/>
      <c r="F160" s="231">
        <f>ROUND(F150,2)+ROUND(F155,2)</f>
        <v>1.22</v>
      </c>
      <c r="G160" s="256">
        <f t="shared" si="48"/>
        <v>1.2843031082401564</v>
      </c>
      <c r="H160" s="256">
        <f t="shared" si="48"/>
        <v>1.3278371238554252</v>
      </c>
      <c r="I160" s="183"/>
      <c r="J160" s="221">
        <f>'2017 Determination - charges'!L103</f>
        <v>1.3</v>
      </c>
      <c r="K160" s="221">
        <f>ROUND((ROUND(H160,2)*(1+'2017 Determination - Revenue'!$F$18)),2)*(1+'2017 Determination - Revenue'!$H$22)</f>
        <v>1.4048799999999999</v>
      </c>
      <c r="L160" s="244">
        <f>IF(J160=0,"na",K160/J160-1)</f>
        <v>8.0676923076922868E-2</v>
      </c>
      <c r="M160" s="244"/>
      <c r="N160" s="204">
        <f>'2017 Determination - charges'!H103</f>
        <v>1.2145917710296774</v>
      </c>
      <c r="O160" s="204">
        <f>H160</f>
        <v>1.3278371238554252</v>
      </c>
      <c r="P160" s="244">
        <f t="shared" si="49"/>
        <v>9.3237378621249256E-2</v>
      </c>
      <c r="Q160" s="257"/>
      <c r="R160" s="210"/>
      <c r="S160" s="213"/>
    </row>
    <row r="161" spans="2:19" s="110" customFormat="1">
      <c r="B161" s="77"/>
      <c r="C161" s="74"/>
      <c r="D161" s="74"/>
      <c r="E161" s="74"/>
      <c r="F161" s="74"/>
      <c r="G161" s="74"/>
      <c r="H161" s="74"/>
      <c r="I161" s="36"/>
      <c r="J161" s="178"/>
      <c r="K161" s="178"/>
      <c r="L161" s="178"/>
      <c r="M161" s="247"/>
      <c r="N161" s="247"/>
      <c r="O161" s="247"/>
      <c r="P161" s="247"/>
      <c r="Q161" s="258"/>
      <c r="R161" s="210"/>
      <c r="S161" s="213"/>
    </row>
    <row r="162" spans="2:19" s="110" customFormat="1">
      <c r="J162" s="213"/>
      <c r="K162" s="213"/>
      <c r="L162" s="213"/>
      <c r="M162" s="213"/>
      <c r="N162" s="213"/>
      <c r="O162" s="213"/>
      <c r="P162" s="213"/>
      <c r="Q162" s="213"/>
      <c r="R162" s="213"/>
      <c r="S162" s="213"/>
    </row>
    <row r="163" spans="2:19" s="110" customFormat="1">
      <c r="B163" s="33"/>
      <c r="J163" s="213"/>
      <c r="K163" s="213"/>
      <c r="L163" s="213"/>
      <c r="M163" s="213"/>
      <c r="N163" s="213"/>
      <c r="O163" s="213"/>
      <c r="P163" s="213"/>
      <c r="Q163" s="213"/>
      <c r="R163" s="213"/>
      <c r="S163" s="213"/>
    </row>
    <row r="164" spans="2:19" s="110" customFormat="1" ht="15.5">
      <c r="B164" s="120" t="s">
        <v>100</v>
      </c>
      <c r="C164" s="119"/>
      <c r="D164" s="119"/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S164" s="213"/>
    </row>
    <row r="165" spans="2:19" s="110" customFormat="1">
      <c r="S165" s="213"/>
    </row>
    <row r="166" spans="2:19">
      <c r="B166" s="33" t="s">
        <v>136</v>
      </c>
      <c r="H166" s="54"/>
      <c r="I166" s="54"/>
      <c r="J166" s="54"/>
      <c r="L166" s="110"/>
    </row>
    <row r="167" spans="2:19">
      <c r="B167" s="260" t="str">
        <f>'2017 Determination - Revenue'!B$16</f>
        <v>Financial year</v>
      </c>
      <c r="C167" s="261" t="str">
        <f>'2017 Determination - Revenue'!C$28</f>
        <v>Units</v>
      </c>
      <c r="D167" s="261"/>
      <c r="E167" s="261"/>
      <c r="F167" s="230"/>
      <c r="G167" s="230"/>
      <c r="H167" s="230" t="s">
        <v>215</v>
      </c>
      <c r="I167" s="230" t="s">
        <v>215</v>
      </c>
      <c r="J167" s="277"/>
      <c r="K167" s="277"/>
      <c r="L167" s="259"/>
      <c r="M167" s="210"/>
      <c r="N167" s="210"/>
      <c r="O167" s="210"/>
      <c r="P167" s="210"/>
      <c r="Q167" s="210"/>
      <c r="R167" s="210"/>
    </row>
    <row r="168" spans="2:19" s="110" customFormat="1" ht="57.5">
      <c r="B168" s="229"/>
      <c r="C168" s="210"/>
      <c r="D168" s="210"/>
      <c r="E168" s="210"/>
      <c r="F168" s="234"/>
      <c r="G168" s="234"/>
      <c r="H168" s="234" t="s">
        <v>234</v>
      </c>
      <c r="I168" s="234" t="s">
        <v>235</v>
      </c>
      <c r="J168" s="232" t="s">
        <v>233</v>
      </c>
      <c r="K168" s="278"/>
      <c r="L168" s="257"/>
      <c r="M168" s="210"/>
      <c r="N168" s="210"/>
      <c r="O168" s="210"/>
      <c r="P168" s="210"/>
      <c r="Q168" s="210"/>
      <c r="R168" s="210"/>
      <c r="S168" s="213"/>
    </row>
    <row r="169" spans="2:19" ht="12">
      <c r="B169" s="279"/>
      <c r="C169" s="210"/>
      <c r="D169" s="210"/>
      <c r="E169" s="213"/>
      <c r="F169" s="235"/>
      <c r="G169" s="235"/>
      <c r="H169" s="235" t="str">
        <f>'2017 Determination - charges'!$L$15</f>
        <v>$2019-20</v>
      </c>
      <c r="I169" s="235" t="str">
        <f>'2017 Determination - charges'!$L$15</f>
        <v>$2019-20</v>
      </c>
      <c r="J169" s="298" t="str">
        <f>$L$25</f>
        <v>%</v>
      </c>
      <c r="K169" s="280"/>
      <c r="L169" s="257"/>
      <c r="M169" s="210"/>
      <c r="N169" s="210"/>
      <c r="O169" s="210"/>
      <c r="P169" s="210"/>
      <c r="Q169" s="210"/>
      <c r="R169" s="210"/>
    </row>
    <row r="170" spans="2:19">
      <c r="B170" s="262" t="str">
        <f>'2017 Determination - Revenue'!B$130</f>
        <v>Small consumption customers</v>
      </c>
      <c r="C170" s="213" t="str">
        <f>"Entitlement = "&amp;'2017 Determination - Revenue'!G$130&amp;" kL pa, Usage = "&amp;'2017 Determination - Revenue'!G$135*'2017 Determination - Revenue'!G$130&amp;" kL pa"</f>
        <v>Entitlement = 100 kL pa, Usage = 100 kL pa</v>
      </c>
      <c r="D170" s="213"/>
      <c r="E170" s="213"/>
      <c r="F170" s="210"/>
      <c r="G170" s="210"/>
      <c r="H170" s="210"/>
      <c r="I170" s="210"/>
      <c r="J170" s="232"/>
      <c r="K170" s="210"/>
      <c r="L170" s="257"/>
      <c r="M170" s="210"/>
      <c r="N170" s="210"/>
      <c r="O170" s="210"/>
      <c r="P170" s="210"/>
      <c r="Q170" s="210"/>
      <c r="R170" s="210"/>
    </row>
    <row r="171" spans="2:19" ht="12" customHeight="1">
      <c r="B171" s="229" t="str">
        <f>'2017 Determination - Revenue'!B$33</f>
        <v>Border</v>
      </c>
      <c r="C171" s="275" t="s">
        <v>77</v>
      </c>
      <c r="D171" s="210"/>
      <c r="E171" s="210"/>
      <c r="F171" s="239"/>
      <c r="G171" s="209"/>
      <c r="H171" s="239">
        <f>('2017 Determination - Revenue'!H$130*ROUND('2017 Determination - charges'!L52,2))+('2017 Determination - Revenue'!H$130*'2017 Determination - Revenue'!H$135*ROUND('2017 Determination - charges'!L18,2))</f>
        <v>1135</v>
      </c>
      <c r="I171" s="239">
        <f>('2017 Determination - Revenue'!H$130*ROUND(Outputs!K90,2))+('2017 Determination - Revenue'!H$130*'2017 Determination - Revenue'!H$135*ROUND(Outputs!K68,2))</f>
        <v>1122</v>
      </c>
      <c r="J171" s="241">
        <f t="shared" ref="J171:J178" si="50">IFERROR(I171/H171-1,"N/A")</f>
        <v>-1.1453744493392093E-2</v>
      </c>
      <c r="K171" s="241"/>
      <c r="L171" s="257"/>
      <c r="M171" s="210"/>
      <c r="N171" s="210"/>
      <c r="O171" s="38"/>
      <c r="P171" s="38"/>
      <c r="Q171" s="197"/>
      <c r="R171" s="38"/>
    </row>
    <row r="172" spans="2:19">
      <c r="B172" s="229" t="str">
        <f>'2017 Determination - Revenue'!B$34</f>
        <v>Gwydir</v>
      </c>
      <c r="C172" s="210" t="str">
        <f t="shared" ref="C172:C179" si="51">C$171</f>
        <v>$</v>
      </c>
      <c r="D172" s="210"/>
      <c r="E172" s="210"/>
      <c r="F172" s="239"/>
      <c r="G172" s="209"/>
      <c r="H172" s="239">
        <f>('2017 Determination - Revenue'!H$130*ROUND('2017 Determination - charges'!L53,2))+('2017 Determination - Revenue'!H$130*'2017 Determination - Revenue'!H$135*ROUND('2017 Determination - charges'!L19,2))</f>
        <v>2420</v>
      </c>
      <c r="I172" s="239">
        <f>('2017 Determination - Revenue'!H$130*ROUND(Outputs!K91,2))+('2017 Determination - Revenue'!H$130*'2017 Determination - Revenue'!H$135*ROUND(Outputs!K69,2))</f>
        <v>2546</v>
      </c>
      <c r="J172" s="241">
        <f t="shared" si="50"/>
        <v>5.2066115702479321E-2</v>
      </c>
      <c r="K172" s="228"/>
      <c r="L172" s="257"/>
      <c r="M172" s="210"/>
      <c r="N172" s="210"/>
      <c r="O172" s="38"/>
      <c r="P172" s="38"/>
      <c r="Q172" s="197"/>
      <c r="R172" s="38"/>
    </row>
    <row r="173" spans="2:19">
      <c r="B173" s="229" t="str">
        <f>'2017 Determination - Revenue'!B$35</f>
        <v>Namoi</v>
      </c>
      <c r="C173" s="210" t="str">
        <f t="shared" si="51"/>
        <v>$</v>
      </c>
      <c r="D173" s="210"/>
      <c r="E173" s="210"/>
      <c r="F173" s="239"/>
      <c r="G173" s="209"/>
      <c r="H173" s="239">
        <f>('2017 Determination - Revenue'!H$130*ROUND('2017 Determination - charges'!L54,2))+('2017 Determination - Revenue'!H$130*'2017 Determination - Revenue'!H$135*ROUND('2017 Determination - charges'!L20,2))</f>
        <v>3909</v>
      </c>
      <c r="I173" s="239">
        <f>('2017 Determination - Revenue'!H$130*ROUND(Outputs!K92,2))+('2017 Determination - Revenue'!H$130*'2017 Determination - Revenue'!H$135*ROUND(Outputs!K70,2))</f>
        <v>4092</v>
      </c>
      <c r="J173" s="241">
        <f t="shared" si="50"/>
        <v>4.6815042210283986E-2</v>
      </c>
      <c r="K173" s="228"/>
      <c r="L173" s="257"/>
      <c r="M173" s="210"/>
      <c r="N173" s="210"/>
      <c r="O173" s="38"/>
      <c r="P173" s="38"/>
      <c r="Q173" s="38"/>
      <c r="R173" s="38"/>
    </row>
    <row r="174" spans="2:19">
      <c r="B174" s="229" t="str">
        <f>'2017 Determination - Revenue'!B$36</f>
        <v>Peel</v>
      </c>
      <c r="C174" s="210" t="str">
        <f t="shared" si="51"/>
        <v>$</v>
      </c>
      <c r="D174" s="210"/>
      <c r="E174" s="210"/>
      <c r="F174" s="239"/>
      <c r="G174" s="209"/>
      <c r="H174" s="239">
        <f>('2017 Determination - Revenue'!H$130*ROUND('2017 Determination - charges'!L55,2))+('2017 Determination - Revenue'!H$130*'2017 Determination - Revenue'!H$135*ROUND('2017 Determination - charges'!L21,2))</f>
        <v>6321</v>
      </c>
      <c r="I174" s="239">
        <f>('2017 Determination - Revenue'!H$130*ROUND(Outputs!K93,2))+('2017 Determination - Revenue'!H$130*'2017 Determination - Revenue'!H$135*ROUND(Outputs!K71,2))</f>
        <v>6232</v>
      </c>
      <c r="J174" s="241">
        <f t="shared" si="50"/>
        <v>-1.4080050624901141E-2</v>
      </c>
      <c r="K174" s="228"/>
      <c r="L174" s="257"/>
      <c r="M174" s="210"/>
      <c r="N174" s="210"/>
      <c r="O174" s="38"/>
      <c r="P174" s="38"/>
      <c r="Q174" s="38"/>
      <c r="R174" s="38"/>
    </row>
    <row r="175" spans="2:19">
      <c r="B175" s="229" t="str">
        <f>'2017 Determination - Revenue'!B$37</f>
        <v>Lachlan</v>
      </c>
      <c r="C175" s="210" t="str">
        <f t="shared" si="51"/>
        <v>$</v>
      </c>
      <c r="D175" s="210"/>
      <c r="E175" s="210"/>
      <c r="F175" s="239"/>
      <c r="G175" s="209"/>
      <c r="H175" s="239">
        <f>('2017 Determination - Revenue'!H$130*ROUND('2017 Determination - charges'!L56,2))+('2017 Determination - Revenue'!H$130*'2017 Determination - Revenue'!H$135*ROUND('2017 Determination - charges'!L22,2))</f>
        <v>3630</v>
      </c>
      <c r="I175" s="239">
        <f>('2017 Determination - Revenue'!H$130*ROUND(Outputs!K94,2))+('2017 Determination - Revenue'!H$130*'2017 Determination - Revenue'!H$135*ROUND(Outputs!K72,2))</f>
        <v>3818</v>
      </c>
      <c r="J175" s="241">
        <f t="shared" si="50"/>
        <v>5.1790633608815417E-2</v>
      </c>
      <c r="K175" s="228"/>
      <c r="L175" s="257"/>
      <c r="M175" s="210"/>
      <c r="N175" s="210"/>
      <c r="O175" s="38"/>
      <c r="P175" s="38"/>
      <c r="Q175" s="38"/>
      <c r="R175" s="38"/>
    </row>
    <row r="176" spans="2:19">
      <c r="B176" s="229" t="str">
        <f>'2017 Determination - Revenue'!B$38</f>
        <v>Macquarie</v>
      </c>
      <c r="C176" s="210" t="str">
        <f t="shared" si="51"/>
        <v>$</v>
      </c>
      <c r="D176" s="210"/>
      <c r="E176" s="210"/>
      <c r="F176" s="239"/>
      <c r="G176" s="209"/>
      <c r="H176" s="239">
        <f>('2017 Determination - Revenue'!H$130*ROUND('2017 Determination - charges'!L57,2))+('2017 Determination - Revenue'!H$130*'2017 Determination - Revenue'!H$135*ROUND('2017 Determination - charges'!L23,2))</f>
        <v>2878</v>
      </c>
      <c r="I176" s="239">
        <f>('2017 Determination - Revenue'!H$130*ROUND(Outputs!K95,2))+('2017 Determination - Revenue'!H$130*'2017 Determination - Revenue'!H$135*ROUND(Outputs!K73,2))</f>
        <v>2858</v>
      </c>
      <c r="J176" s="241">
        <f t="shared" si="50"/>
        <v>-6.9492703266157418E-3</v>
      </c>
      <c r="K176" s="228"/>
      <c r="L176" s="257"/>
      <c r="M176" s="210"/>
      <c r="N176" s="210"/>
      <c r="O176" s="38"/>
      <c r="P176" s="38"/>
      <c r="Q176" s="38"/>
      <c r="R176" s="38"/>
    </row>
    <row r="177" spans="2:18">
      <c r="B177" s="229" t="str">
        <f>'2017 Determination - Revenue'!B$39</f>
        <v>Murray</v>
      </c>
      <c r="C177" s="210" t="str">
        <f t="shared" si="51"/>
        <v>$</v>
      </c>
      <c r="D177" s="210"/>
      <c r="E177" s="210"/>
      <c r="F177" s="239"/>
      <c r="G177" s="209"/>
      <c r="H177" s="239">
        <f>('2017 Determination - Revenue'!H$130*ROUND('2017 Determination - charges'!L58,2))+('2017 Determination - Revenue'!H$130*'2017 Determination - Revenue'!H$135*ROUND('2017 Determination - charges'!L24,2))</f>
        <v>363</v>
      </c>
      <c r="I177" s="239">
        <f>('2017 Determination - Revenue'!H$130*ROUND(Outputs!K96,2))+('2017 Determination - Revenue'!H$130*'2017 Determination - Revenue'!H$135*ROUND(Outputs!K74,2))</f>
        <v>374</v>
      </c>
      <c r="J177" s="241">
        <f t="shared" si="50"/>
        <v>3.0303030303030276E-2</v>
      </c>
      <c r="K177" s="228"/>
      <c r="L177" s="257"/>
      <c r="M177" s="210"/>
      <c r="N177" s="210"/>
      <c r="O177" s="38"/>
      <c r="P177" s="38"/>
      <c r="Q177" s="38"/>
      <c r="R177" s="38"/>
    </row>
    <row r="178" spans="2:18">
      <c r="B178" s="229" t="str">
        <f>'2017 Determination - Revenue'!B$40</f>
        <v>Murrumbidgee</v>
      </c>
      <c r="C178" s="210" t="str">
        <f t="shared" si="51"/>
        <v>$</v>
      </c>
      <c r="D178" s="210"/>
      <c r="E178" s="210"/>
      <c r="F178" s="239"/>
      <c r="G178" s="209"/>
      <c r="H178" s="239">
        <f>('2017 Determination - Revenue'!H$130*ROUND('2017 Determination - charges'!L59,2))+('2017 Determination - Revenue'!H$130*'2017 Determination - Revenue'!H$135*ROUND('2017 Determination - charges'!L25,2))</f>
        <v>660</v>
      </c>
      <c r="I178" s="239">
        <f>('2017 Determination - Revenue'!H$130*ROUND(Outputs!K97,2))+('2017 Determination - Revenue'!H$130*'2017 Determination - Revenue'!H$135*ROUND(Outputs!K75,2))</f>
        <v>683</v>
      </c>
      <c r="J178" s="241">
        <f t="shared" si="50"/>
        <v>3.4848484848484906E-2</v>
      </c>
      <c r="K178" s="228"/>
      <c r="L178" s="257"/>
      <c r="M178" s="210"/>
      <c r="N178" s="210"/>
      <c r="O178" s="38"/>
      <c r="P178" s="38"/>
      <c r="Q178" s="38"/>
      <c r="R178" s="38"/>
    </row>
    <row r="179" spans="2:18">
      <c r="B179" s="229" t="str">
        <f>'2017 Determination - Revenue'!B$41</f>
        <v>Lowbidgee</v>
      </c>
      <c r="C179" s="210" t="str">
        <f t="shared" si="51"/>
        <v>$</v>
      </c>
      <c r="D179" s="210"/>
      <c r="E179" s="210"/>
      <c r="F179" s="239"/>
      <c r="G179" s="209"/>
      <c r="H179" s="239">
        <f>('2017 Determination - Revenue'!H$130*ROUND('2017 Determination - charges'!L60,2))+('2017 Determination - Revenue'!H$130*'2017 Determination - Revenue'!H$135*ROUND('2017 Determination - charges'!L26,2))</f>
        <v>0</v>
      </c>
      <c r="I179" s="239">
        <f>('2017 Determination - Revenue'!H$130*ROUND(Outputs!K98,2))+('2017 Determination - Revenue'!H$130*'2017 Determination - Revenue'!H$135*ROUND(Outputs!K76,2))</f>
        <v>0</v>
      </c>
      <c r="J179" s="241" t="str">
        <f>IFERROR(I179/H179-1,"N/A")</f>
        <v>N/A</v>
      </c>
      <c r="K179" s="228"/>
      <c r="L179" s="257"/>
      <c r="M179" s="210"/>
      <c r="N179" s="210"/>
      <c r="O179" s="38"/>
      <c r="P179" s="38"/>
      <c r="Q179" s="38"/>
      <c r="R179" s="38"/>
    </row>
    <row r="180" spans="2:18">
      <c r="B180" s="229"/>
      <c r="C180" s="210"/>
      <c r="D180" s="210"/>
      <c r="E180" s="210"/>
      <c r="F180" s="210"/>
      <c r="G180" s="210"/>
      <c r="H180" s="210"/>
      <c r="I180" s="210"/>
      <c r="J180" s="241"/>
      <c r="K180" s="228"/>
      <c r="L180" s="257"/>
      <c r="M180" s="210"/>
      <c r="N180" s="210"/>
      <c r="O180" s="38"/>
      <c r="P180" s="38"/>
      <c r="Q180" s="38"/>
      <c r="R180" s="38"/>
    </row>
    <row r="181" spans="2:18">
      <c r="B181" s="262" t="str">
        <f>'2017 Determination - Revenue'!B$131</f>
        <v>Medium consumption customers</v>
      </c>
      <c r="C181" s="213" t="str">
        <f>"Entitlement = "&amp;'2017 Determination - Revenue'!G$131&amp;" kL pa, Usage = "&amp;'2017 Determination - Revenue'!G$136*'2017 Determination - Revenue'!G$131&amp;" kL pa"</f>
        <v>Entitlement = 500 kL pa, Usage = 500 kL pa</v>
      </c>
      <c r="D181" s="210"/>
      <c r="E181" s="210"/>
      <c r="F181" s="210"/>
      <c r="G181" s="210"/>
      <c r="H181" s="210"/>
      <c r="I181" s="210"/>
      <c r="J181" s="241"/>
      <c r="K181" s="228"/>
      <c r="L181" s="257"/>
      <c r="M181" s="210"/>
      <c r="N181" s="210"/>
      <c r="O181" s="38"/>
      <c r="P181" s="38"/>
      <c r="Q181" s="38"/>
      <c r="R181" s="38"/>
    </row>
    <row r="182" spans="2:18">
      <c r="B182" s="229" t="str">
        <f>'2017 Determination - Revenue'!B$33</f>
        <v>Border</v>
      </c>
      <c r="C182" s="210" t="str">
        <f t="shared" ref="C182:C190" si="52">C$171</f>
        <v>$</v>
      </c>
      <c r="D182" s="210"/>
      <c r="E182" s="210"/>
      <c r="F182" s="239"/>
      <c r="G182" s="209"/>
      <c r="H182" s="209">
        <f>('2017 Determination - Revenue'!H$131*ROUND('2017 Determination - charges'!L52,2))+('2017 Determination - Revenue'!H$131*'2017 Determination - Revenue'!H$136*ROUND('2017 Determination - charges'!L18,2))</f>
        <v>5675</v>
      </c>
      <c r="I182" s="209">
        <f>('2017 Determination - Revenue'!H$131*ROUND(Outputs!K90,2))+('2017 Determination - Revenue'!H$131*'2017 Determination - Revenue'!H$136*ROUND(Outputs!K68,2))</f>
        <v>5610</v>
      </c>
      <c r="J182" s="241">
        <f t="shared" ref="J182:J190" si="53">IFERROR(I182/H182-1,"N/A")</f>
        <v>-1.1453744493392093E-2</v>
      </c>
      <c r="K182" s="228"/>
      <c r="L182" s="257"/>
      <c r="M182" s="210"/>
      <c r="N182" s="210"/>
      <c r="O182" s="38"/>
      <c r="P182" s="38"/>
      <c r="Q182" s="38"/>
      <c r="R182" s="38"/>
    </row>
    <row r="183" spans="2:18">
      <c r="B183" s="229" t="str">
        <f>'2017 Determination - Revenue'!B$34</f>
        <v>Gwydir</v>
      </c>
      <c r="C183" s="210" t="str">
        <f t="shared" si="52"/>
        <v>$</v>
      </c>
      <c r="D183" s="210"/>
      <c r="E183" s="210"/>
      <c r="F183" s="239"/>
      <c r="G183" s="209"/>
      <c r="H183" s="209">
        <f>('2017 Determination - Revenue'!H$131*ROUND('2017 Determination - charges'!L53,2))+('2017 Determination - Revenue'!H$131*'2017 Determination - Revenue'!H$136*ROUND('2017 Determination - charges'!L19,2))</f>
        <v>12100</v>
      </c>
      <c r="I183" s="209">
        <f>('2017 Determination - Revenue'!H$131*ROUND(Outputs!K91,2))+('2017 Determination - Revenue'!H$131*'2017 Determination - Revenue'!H$136*ROUND(Outputs!K69,2))</f>
        <v>12730</v>
      </c>
      <c r="J183" s="241">
        <f t="shared" si="53"/>
        <v>5.2066115702479321E-2</v>
      </c>
      <c r="K183" s="228"/>
      <c r="L183" s="257"/>
      <c r="M183" s="210"/>
      <c r="N183" s="210"/>
      <c r="O183" s="38"/>
      <c r="P183" s="38"/>
      <c r="Q183" s="38"/>
      <c r="R183" s="38"/>
    </row>
    <row r="184" spans="2:18">
      <c r="B184" s="229" t="str">
        <f>'2017 Determination - Revenue'!B$35</f>
        <v>Namoi</v>
      </c>
      <c r="C184" s="210" t="str">
        <f t="shared" si="52"/>
        <v>$</v>
      </c>
      <c r="D184" s="210"/>
      <c r="E184" s="210"/>
      <c r="F184" s="239"/>
      <c r="G184" s="209"/>
      <c r="H184" s="209">
        <f>('2017 Determination - Revenue'!H$131*ROUND('2017 Determination - charges'!L54,2))+('2017 Determination - Revenue'!H$131*'2017 Determination - Revenue'!H$136*ROUND('2017 Determination - charges'!L20,2))</f>
        <v>19545</v>
      </c>
      <c r="I184" s="209">
        <f>('2017 Determination - Revenue'!H$131*ROUND(Outputs!K92,2))+('2017 Determination - Revenue'!H$131*'2017 Determination - Revenue'!H$136*ROUND(Outputs!K70,2))</f>
        <v>20460</v>
      </c>
      <c r="J184" s="241">
        <f t="shared" si="53"/>
        <v>4.6815042210283986E-2</v>
      </c>
      <c r="K184" s="228"/>
      <c r="L184" s="257"/>
      <c r="M184" s="210"/>
      <c r="N184" s="210"/>
      <c r="O184" s="38"/>
      <c r="P184" s="38"/>
      <c r="Q184" s="38"/>
      <c r="R184" s="38"/>
    </row>
    <row r="185" spans="2:18">
      <c r="B185" s="229" t="str">
        <f>'2017 Determination - Revenue'!B$36</f>
        <v>Peel</v>
      </c>
      <c r="C185" s="210" t="str">
        <f t="shared" si="52"/>
        <v>$</v>
      </c>
      <c r="D185" s="210"/>
      <c r="E185" s="210"/>
      <c r="F185" s="239"/>
      <c r="G185" s="209"/>
      <c r="H185" s="209">
        <f>('2017 Determination - Revenue'!H$131*ROUND('2017 Determination - charges'!L55,2))+('2017 Determination - Revenue'!H$131*'2017 Determination - Revenue'!H$136*ROUND('2017 Determination - charges'!L21,2))</f>
        <v>31605</v>
      </c>
      <c r="I185" s="209">
        <f>('2017 Determination - Revenue'!H$131*ROUND(Outputs!K93,2))+('2017 Determination - Revenue'!H$131*'2017 Determination - Revenue'!H$136*ROUND(Outputs!K71,2))</f>
        <v>31160</v>
      </c>
      <c r="J185" s="241">
        <f t="shared" si="53"/>
        <v>-1.4080050624901141E-2</v>
      </c>
      <c r="K185" s="228"/>
      <c r="L185" s="257"/>
      <c r="M185" s="210"/>
      <c r="N185" s="210"/>
      <c r="O185" s="38"/>
      <c r="P185" s="38"/>
      <c r="Q185" s="38"/>
      <c r="R185" s="38"/>
    </row>
    <row r="186" spans="2:18">
      <c r="B186" s="229" t="str">
        <f>'2017 Determination - Revenue'!B$37</f>
        <v>Lachlan</v>
      </c>
      <c r="C186" s="210" t="str">
        <f t="shared" si="52"/>
        <v>$</v>
      </c>
      <c r="D186" s="210"/>
      <c r="E186" s="210"/>
      <c r="F186" s="239"/>
      <c r="G186" s="209"/>
      <c r="H186" s="209">
        <f>('2017 Determination - Revenue'!H$131*ROUND('2017 Determination - charges'!L56,2))+('2017 Determination - Revenue'!H$131*'2017 Determination - Revenue'!H$136*ROUND('2017 Determination - charges'!L22,2))</f>
        <v>18150</v>
      </c>
      <c r="I186" s="209">
        <f>('2017 Determination - Revenue'!H$131*ROUND(Outputs!K94,2))+('2017 Determination - Revenue'!H$131*'2017 Determination - Revenue'!H$136*ROUND(Outputs!K72,2))</f>
        <v>19090</v>
      </c>
      <c r="J186" s="241">
        <f t="shared" si="53"/>
        <v>5.1790633608815417E-2</v>
      </c>
      <c r="K186" s="228"/>
      <c r="L186" s="257"/>
      <c r="M186" s="210"/>
      <c r="N186" s="210"/>
      <c r="O186" s="38"/>
      <c r="P186" s="38"/>
      <c r="Q186" s="38"/>
      <c r="R186" s="38"/>
    </row>
    <row r="187" spans="2:18">
      <c r="B187" s="229" t="str">
        <f>'2017 Determination - Revenue'!B$38</f>
        <v>Macquarie</v>
      </c>
      <c r="C187" s="210" t="str">
        <f t="shared" si="52"/>
        <v>$</v>
      </c>
      <c r="D187" s="210"/>
      <c r="E187" s="210"/>
      <c r="F187" s="239"/>
      <c r="G187" s="209"/>
      <c r="H187" s="209">
        <f>('2017 Determination - Revenue'!H$131*ROUND('2017 Determination - charges'!L57,2))+('2017 Determination - Revenue'!H$131*'2017 Determination - Revenue'!H$136*ROUND('2017 Determination - charges'!L23,2))</f>
        <v>14390</v>
      </c>
      <c r="I187" s="209">
        <f>('2017 Determination - Revenue'!H$131*ROUND(Outputs!K95,2))+('2017 Determination - Revenue'!H$131*'2017 Determination - Revenue'!H$136*ROUND(Outputs!K73,2))</f>
        <v>14290</v>
      </c>
      <c r="J187" s="241">
        <f t="shared" si="53"/>
        <v>-6.9492703266157418E-3</v>
      </c>
      <c r="K187" s="228"/>
      <c r="L187" s="257"/>
      <c r="M187" s="210"/>
      <c r="N187" s="210"/>
      <c r="O187" s="38"/>
      <c r="P187" s="38"/>
      <c r="Q187" s="38"/>
      <c r="R187" s="38"/>
    </row>
    <row r="188" spans="2:18">
      <c r="B188" s="229" t="str">
        <f>'2017 Determination - Revenue'!B$39</f>
        <v>Murray</v>
      </c>
      <c r="C188" s="210" t="str">
        <f t="shared" si="52"/>
        <v>$</v>
      </c>
      <c r="D188" s="210"/>
      <c r="E188" s="210"/>
      <c r="F188" s="239"/>
      <c r="G188" s="209"/>
      <c r="H188" s="209">
        <f>('2017 Determination - Revenue'!H$131*ROUND('2017 Determination - charges'!L58,2))+('2017 Determination - Revenue'!H$131*'2017 Determination - Revenue'!H$136*ROUND('2017 Determination - charges'!L24,2))</f>
        <v>1815</v>
      </c>
      <c r="I188" s="209">
        <f>('2017 Determination - Revenue'!H$131*ROUND(Outputs!K96,2))+('2017 Determination - Revenue'!H$131*'2017 Determination - Revenue'!H$136*ROUND(Outputs!K74,2))</f>
        <v>1870</v>
      </c>
      <c r="J188" s="241">
        <f t="shared" si="53"/>
        <v>3.0303030303030276E-2</v>
      </c>
      <c r="K188" s="228"/>
      <c r="L188" s="257"/>
      <c r="M188" s="210"/>
      <c r="N188" s="210"/>
      <c r="O188" s="38"/>
      <c r="P188" s="38"/>
      <c r="Q188" s="38"/>
      <c r="R188" s="38"/>
    </row>
    <row r="189" spans="2:18">
      <c r="B189" s="229" t="str">
        <f>'2017 Determination - Revenue'!B$40</f>
        <v>Murrumbidgee</v>
      </c>
      <c r="C189" s="210" t="str">
        <f t="shared" si="52"/>
        <v>$</v>
      </c>
      <c r="D189" s="210"/>
      <c r="E189" s="210"/>
      <c r="F189" s="239"/>
      <c r="G189" s="209"/>
      <c r="H189" s="209">
        <f>('2017 Determination - Revenue'!H$131*ROUND('2017 Determination - charges'!L59,2))+('2017 Determination - Revenue'!H$131*'2017 Determination - Revenue'!H$136*ROUND('2017 Determination - charges'!L25,2))</f>
        <v>3300</v>
      </c>
      <c r="I189" s="209">
        <f>('2017 Determination - Revenue'!H$131*ROUND(Outputs!K97,2))+('2017 Determination - Revenue'!H$131*'2017 Determination - Revenue'!H$136*ROUND(Outputs!K75,2))</f>
        <v>3415</v>
      </c>
      <c r="J189" s="241">
        <f t="shared" si="53"/>
        <v>3.4848484848484906E-2</v>
      </c>
      <c r="K189" s="228"/>
      <c r="L189" s="257"/>
      <c r="M189" s="210"/>
      <c r="N189" s="210"/>
      <c r="O189" s="38"/>
      <c r="P189" s="38"/>
      <c r="Q189" s="38"/>
      <c r="R189" s="38"/>
    </row>
    <row r="190" spans="2:18">
      <c r="B190" s="229" t="str">
        <f>'2017 Determination - Revenue'!B$41</f>
        <v>Lowbidgee</v>
      </c>
      <c r="C190" s="210" t="str">
        <f t="shared" si="52"/>
        <v>$</v>
      </c>
      <c r="D190" s="210"/>
      <c r="E190" s="210"/>
      <c r="F190" s="239"/>
      <c r="G190" s="209"/>
      <c r="H190" s="209">
        <f>('2017 Determination - Revenue'!H$131*ROUND('2017 Determination - charges'!L60,2))+('2017 Determination - Revenue'!H$131*'2017 Determination - Revenue'!H$136*ROUND('2017 Determination - charges'!L26,2))</f>
        <v>0</v>
      </c>
      <c r="I190" s="209">
        <f>('2017 Determination - Revenue'!H$131*ROUND(Outputs!K98,2))+('2017 Determination - Revenue'!H$131*'2017 Determination - Revenue'!H$136*ROUND(Outputs!K76,2))</f>
        <v>0</v>
      </c>
      <c r="J190" s="241" t="str">
        <f t="shared" si="53"/>
        <v>N/A</v>
      </c>
      <c r="K190" s="228"/>
      <c r="L190" s="257"/>
      <c r="M190" s="210"/>
      <c r="N190" s="210"/>
      <c r="O190" s="38"/>
      <c r="P190" s="38"/>
      <c r="Q190" s="38"/>
      <c r="R190" s="38"/>
    </row>
    <row r="191" spans="2:18">
      <c r="B191" s="229"/>
      <c r="C191" s="210"/>
      <c r="D191" s="210"/>
      <c r="E191" s="210"/>
      <c r="F191" s="208"/>
      <c r="G191" s="208"/>
      <c r="H191" s="208"/>
      <c r="I191" s="210"/>
      <c r="J191" s="241"/>
      <c r="K191" s="228"/>
      <c r="L191" s="257"/>
      <c r="M191" s="210"/>
      <c r="N191" s="210"/>
      <c r="O191" s="38"/>
      <c r="P191" s="38"/>
      <c r="Q191" s="38"/>
      <c r="R191" s="38"/>
    </row>
    <row r="192" spans="2:18">
      <c r="B192" s="262" t="str">
        <f>'2017 Determination - Revenue'!B$132</f>
        <v>Large consumption customers</v>
      </c>
      <c r="C192" s="213" t="str">
        <f>"Entitlement = "&amp;'2017 Determination - Revenue'!G$132&amp;" kL pa, Usage = "&amp;'2017 Determination - Revenue'!G$137*'2017 Determination - Revenue'!G$132&amp;" kL pa"</f>
        <v>Entitlement = 1000 kL pa, Usage = 1000 kL pa</v>
      </c>
      <c r="D192" s="210"/>
      <c r="E192" s="210"/>
      <c r="F192" s="208"/>
      <c r="G192" s="208"/>
      <c r="H192" s="208"/>
      <c r="I192" s="210"/>
      <c r="J192" s="241"/>
      <c r="K192" s="228"/>
      <c r="L192" s="257"/>
      <c r="M192" s="210"/>
      <c r="N192" s="210"/>
      <c r="O192" s="38"/>
      <c r="P192" s="38"/>
      <c r="Q192" s="38"/>
      <c r="R192" s="38"/>
    </row>
    <row r="193" spans="2:19">
      <c r="B193" s="229" t="str">
        <f>'2017 Determination - Revenue'!B$33</f>
        <v>Border</v>
      </c>
      <c r="C193" s="210" t="str">
        <f t="shared" ref="C193:C201" si="54">C$171</f>
        <v>$</v>
      </c>
      <c r="D193" s="210"/>
      <c r="E193" s="210"/>
      <c r="F193" s="239"/>
      <c r="G193" s="209"/>
      <c r="H193" s="209">
        <f>('2017 Determination - Revenue'!H$132*ROUND('2017 Determination - charges'!L52,2))+('2017 Determination - Revenue'!H$132*'2017 Determination - Revenue'!H$137*ROUND('2017 Determination - charges'!L18,2))</f>
        <v>11350</v>
      </c>
      <c r="I193" s="209">
        <f>('2017 Determination - Revenue'!H$132*ROUND(Outputs!K90,2))+('2017 Determination - Revenue'!H$132*'2017 Determination - Revenue'!H$137*ROUND(Outputs!K68,2))</f>
        <v>11220</v>
      </c>
      <c r="J193" s="241">
        <f t="shared" ref="J193:J201" si="55">IFERROR(I193/H193-1,"N/A")</f>
        <v>-1.1453744493392093E-2</v>
      </c>
      <c r="K193" s="228"/>
      <c r="L193" s="257"/>
      <c r="M193" s="210"/>
      <c r="N193" s="210"/>
      <c r="O193" s="38"/>
      <c r="P193" s="38"/>
      <c r="Q193" s="38"/>
      <c r="R193" s="38"/>
    </row>
    <row r="194" spans="2:19">
      <c r="B194" s="229" t="str">
        <f>'2017 Determination - Revenue'!B$34</f>
        <v>Gwydir</v>
      </c>
      <c r="C194" s="210" t="str">
        <f t="shared" si="54"/>
        <v>$</v>
      </c>
      <c r="D194" s="210"/>
      <c r="E194" s="210"/>
      <c r="F194" s="239"/>
      <c r="G194" s="209"/>
      <c r="H194" s="209">
        <f>('2017 Determination - Revenue'!H$132*ROUND('2017 Determination - charges'!L53,2))+('2017 Determination - Revenue'!H$132*'2017 Determination - Revenue'!H$137*ROUND('2017 Determination - charges'!L19,2))</f>
        <v>24200</v>
      </c>
      <c r="I194" s="209">
        <f>('2017 Determination - Revenue'!H$132*ROUND(Outputs!K91,2))+('2017 Determination - Revenue'!H$132*'2017 Determination - Revenue'!H$137*ROUND(Outputs!K69,2))</f>
        <v>25460</v>
      </c>
      <c r="J194" s="241">
        <f t="shared" si="55"/>
        <v>5.2066115702479321E-2</v>
      </c>
      <c r="K194" s="228"/>
      <c r="L194" s="257"/>
      <c r="M194" s="210"/>
      <c r="N194" s="210"/>
      <c r="O194" s="38"/>
      <c r="P194" s="38"/>
      <c r="Q194" s="38"/>
      <c r="R194" s="38"/>
    </row>
    <row r="195" spans="2:19">
      <c r="B195" s="229" t="str">
        <f>'2017 Determination - Revenue'!B$35</f>
        <v>Namoi</v>
      </c>
      <c r="C195" s="210" t="str">
        <f t="shared" si="54"/>
        <v>$</v>
      </c>
      <c r="D195" s="210"/>
      <c r="E195" s="210"/>
      <c r="F195" s="239"/>
      <c r="G195" s="209"/>
      <c r="H195" s="209">
        <f>('2017 Determination - Revenue'!H$132*ROUND('2017 Determination - charges'!L54,2))+('2017 Determination - Revenue'!H$132*'2017 Determination - Revenue'!H$137*ROUND('2017 Determination - charges'!L20,2))</f>
        <v>39090</v>
      </c>
      <c r="I195" s="209">
        <f>('2017 Determination - Revenue'!H$132*ROUND(Outputs!K92,2))+('2017 Determination - Revenue'!H$132*'2017 Determination - Revenue'!H$137*ROUND(Outputs!K70,2))</f>
        <v>40920</v>
      </c>
      <c r="J195" s="241">
        <f t="shared" si="55"/>
        <v>4.6815042210283986E-2</v>
      </c>
      <c r="K195" s="228"/>
      <c r="L195" s="257"/>
      <c r="M195" s="210"/>
      <c r="N195" s="210"/>
      <c r="O195" s="38"/>
      <c r="P195" s="38"/>
      <c r="Q195" s="38"/>
      <c r="R195" s="38"/>
    </row>
    <row r="196" spans="2:19">
      <c r="B196" s="229" t="str">
        <f>'2017 Determination - Revenue'!B$36</f>
        <v>Peel</v>
      </c>
      <c r="C196" s="210" t="str">
        <f t="shared" si="54"/>
        <v>$</v>
      </c>
      <c r="D196" s="210"/>
      <c r="E196" s="210"/>
      <c r="F196" s="239"/>
      <c r="G196" s="209"/>
      <c r="H196" s="209">
        <f>('2017 Determination - Revenue'!H$132*ROUND('2017 Determination - charges'!L55,2))+('2017 Determination - Revenue'!H$132*'2017 Determination - Revenue'!H$137*ROUND('2017 Determination - charges'!L21,2))</f>
        <v>63210</v>
      </c>
      <c r="I196" s="209">
        <f>('2017 Determination - Revenue'!H$132*ROUND(Outputs!K93,2))+('2017 Determination - Revenue'!H$132*'2017 Determination - Revenue'!H$137*ROUND(Outputs!K71,2))</f>
        <v>62320</v>
      </c>
      <c r="J196" s="241">
        <f t="shared" si="55"/>
        <v>-1.4080050624901141E-2</v>
      </c>
      <c r="K196" s="228"/>
      <c r="L196" s="257"/>
      <c r="M196" s="210"/>
      <c r="N196" s="210"/>
      <c r="O196" s="38"/>
      <c r="P196" s="38"/>
      <c r="Q196" s="38"/>
      <c r="R196" s="38"/>
    </row>
    <row r="197" spans="2:19">
      <c r="B197" s="229" t="str">
        <f>'2017 Determination - Revenue'!B$37</f>
        <v>Lachlan</v>
      </c>
      <c r="C197" s="210" t="str">
        <f t="shared" si="54"/>
        <v>$</v>
      </c>
      <c r="D197" s="210"/>
      <c r="E197" s="210"/>
      <c r="F197" s="239"/>
      <c r="G197" s="209"/>
      <c r="H197" s="209">
        <f>('2017 Determination - Revenue'!H$132*ROUND('2017 Determination - charges'!L56,2))+('2017 Determination - Revenue'!H$132*'2017 Determination - Revenue'!H$137*ROUND('2017 Determination - charges'!L22,2))</f>
        <v>36300</v>
      </c>
      <c r="I197" s="209">
        <f>('2017 Determination - Revenue'!H$132*ROUND(Outputs!K94,2))+('2017 Determination - Revenue'!H$132*'2017 Determination - Revenue'!H$137*ROUND(Outputs!K72,2))</f>
        <v>38180</v>
      </c>
      <c r="J197" s="241">
        <f t="shared" si="55"/>
        <v>5.1790633608815417E-2</v>
      </c>
      <c r="K197" s="228"/>
      <c r="L197" s="257"/>
      <c r="M197" s="210"/>
      <c r="N197" s="210"/>
      <c r="O197" s="38"/>
      <c r="P197" s="38"/>
      <c r="Q197" s="38"/>
      <c r="R197" s="38"/>
    </row>
    <row r="198" spans="2:19">
      <c r="B198" s="229" t="str">
        <f>'2017 Determination - Revenue'!B$38</f>
        <v>Macquarie</v>
      </c>
      <c r="C198" s="210" t="str">
        <f t="shared" si="54"/>
        <v>$</v>
      </c>
      <c r="D198" s="210"/>
      <c r="E198" s="210"/>
      <c r="F198" s="239"/>
      <c r="G198" s="209"/>
      <c r="H198" s="209">
        <f>('2017 Determination - Revenue'!H$132*ROUND('2017 Determination - charges'!L57,2))+('2017 Determination - Revenue'!H$132*'2017 Determination - Revenue'!H$137*ROUND('2017 Determination - charges'!L23,2))</f>
        <v>28780</v>
      </c>
      <c r="I198" s="209">
        <f>('2017 Determination - Revenue'!H$132*ROUND(Outputs!K95,2))+('2017 Determination - Revenue'!H$132*'2017 Determination - Revenue'!H$137*ROUND(Outputs!K73,2))</f>
        <v>28580</v>
      </c>
      <c r="J198" s="241">
        <f t="shared" si="55"/>
        <v>-6.9492703266157418E-3</v>
      </c>
      <c r="K198" s="228"/>
      <c r="L198" s="257"/>
      <c r="M198" s="210"/>
      <c r="N198" s="210"/>
      <c r="O198" s="38"/>
      <c r="P198" s="38"/>
      <c r="Q198" s="38"/>
      <c r="R198" s="38"/>
    </row>
    <row r="199" spans="2:19">
      <c r="B199" s="229" t="str">
        <f>'2017 Determination - Revenue'!B$39</f>
        <v>Murray</v>
      </c>
      <c r="C199" s="210" t="str">
        <f t="shared" si="54"/>
        <v>$</v>
      </c>
      <c r="D199" s="210"/>
      <c r="E199" s="210"/>
      <c r="F199" s="239"/>
      <c r="G199" s="209"/>
      <c r="H199" s="209">
        <f>('2017 Determination - Revenue'!H$132*ROUND('2017 Determination - charges'!L58,2))+('2017 Determination - Revenue'!H$132*'2017 Determination - Revenue'!H$137*ROUND('2017 Determination - charges'!L24,2))</f>
        <v>3630</v>
      </c>
      <c r="I199" s="209">
        <f>('2017 Determination - Revenue'!H$132*ROUND(Outputs!K96,2))+('2017 Determination - Revenue'!H$132*'2017 Determination - Revenue'!H$137*ROUND(Outputs!K74,2))</f>
        <v>3740</v>
      </c>
      <c r="J199" s="241">
        <f t="shared" si="55"/>
        <v>3.0303030303030276E-2</v>
      </c>
      <c r="K199" s="228"/>
      <c r="L199" s="257"/>
      <c r="M199" s="210"/>
      <c r="N199" s="210"/>
      <c r="O199" s="38"/>
      <c r="P199" s="38"/>
      <c r="Q199" s="38"/>
      <c r="R199" s="38"/>
    </row>
    <row r="200" spans="2:19">
      <c r="B200" s="229" t="str">
        <f>'2017 Determination - Revenue'!B$40</f>
        <v>Murrumbidgee</v>
      </c>
      <c r="C200" s="210" t="str">
        <f t="shared" si="54"/>
        <v>$</v>
      </c>
      <c r="D200" s="210"/>
      <c r="E200" s="210"/>
      <c r="F200" s="239"/>
      <c r="G200" s="209"/>
      <c r="H200" s="209">
        <f>('2017 Determination - Revenue'!H$132*ROUND('2017 Determination - charges'!L59,2))+('2017 Determination - Revenue'!H$132*'2017 Determination - Revenue'!H$137*ROUND('2017 Determination - charges'!L25,2))</f>
        <v>6600</v>
      </c>
      <c r="I200" s="209">
        <f>('2017 Determination - Revenue'!H$132*ROUND(Outputs!K97,2))+('2017 Determination - Revenue'!H$132*'2017 Determination - Revenue'!H$137*ROUND(Outputs!K75,2))</f>
        <v>6830</v>
      </c>
      <c r="J200" s="241">
        <f t="shared" si="55"/>
        <v>3.4848484848484906E-2</v>
      </c>
      <c r="K200" s="228"/>
      <c r="L200" s="257"/>
      <c r="M200" s="210"/>
      <c r="N200" s="210"/>
      <c r="O200" s="38"/>
      <c r="P200" s="38"/>
      <c r="Q200" s="38"/>
      <c r="R200" s="38"/>
    </row>
    <row r="201" spans="2:19">
      <c r="B201" s="229" t="str">
        <f>'2017 Determination - Revenue'!B$41</f>
        <v>Lowbidgee</v>
      </c>
      <c r="C201" s="210" t="str">
        <f t="shared" si="54"/>
        <v>$</v>
      </c>
      <c r="D201" s="210"/>
      <c r="E201" s="210"/>
      <c r="F201" s="239"/>
      <c r="G201" s="209"/>
      <c r="H201" s="209">
        <f>('2017 Determination - Revenue'!H$132*ROUND('2017 Determination - charges'!L60,2))+('2017 Determination - Revenue'!H$132*'2017 Determination - Revenue'!H$137*ROUND('2017 Determination - charges'!L26,2))</f>
        <v>0</v>
      </c>
      <c r="I201" s="209">
        <f>('2017 Determination - Revenue'!H$132*ROUND(Outputs!K98,2))+('2017 Determination - Revenue'!H$132*'2017 Determination - Revenue'!H$137*ROUND(Outputs!K76,2))</f>
        <v>0</v>
      </c>
      <c r="J201" s="241" t="str">
        <f t="shared" si="55"/>
        <v>N/A</v>
      </c>
      <c r="K201" s="228"/>
      <c r="L201" s="257"/>
      <c r="M201" s="210"/>
      <c r="N201" s="210"/>
      <c r="O201" s="38"/>
      <c r="P201" s="38"/>
      <c r="Q201" s="38"/>
      <c r="R201" s="38"/>
    </row>
    <row r="202" spans="2:19">
      <c r="B202" s="267"/>
      <c r="C202" s="56"/>
      <c r="D202" s="56"/>
      <c r="E202" s="56"/>
      <c r="F202" s="56"/>
      <c r="G202" s="56"/>
      <c r="H202" s="56"/>
      <c r="I202" s="56"/>
      <c r="J202" s="178"/>
      <c r="K202" s="56"/>
      <c r="L202" s="258"/>
      <c r="M202" s="210"/>
      <c r="N202" s="210"/>
      <c r="O202" s="38"/>
      <c r="P202" s="38"/>
      <c r="Q202" s="38"/>
      <c r="R202" s="38"/>
    </row>
    <row r="203" spans="2:19">
      <c r="B203" s="213"/>
      <c r="C203" s="213"/>
      <c r="D203" s="213"/>
      <c r="E203" s="213"/>
      <c r="F203" s="213"/>
      <c r="G203" s="213"/>
      <c r="H203" s="213"/>
      <c r="I203" s="213"/>
      <c r="J203" s="248"/>
      <c r="K203" s="213"/>
      <c r="L203" s="213"/>
      <c r="M203" s="213"/>
      <c r="N203" s="213"/>
    </row>
    <row r="204" spans="2:19">
      <c r="B204" s="213"/>
      <c r="C204" s="213"/>
      <c r="D204" s="213"/>
      <c r="E204" s="213"/>
      <c r="F204" s="213"/>
      <c r="G204" s="213"/>
      <c r="H204" s="213"/>
      <c r="I204" s="213"/>
      <c r="J204" s="248"/>
      <c r="K204" s="213"/>
      <c r="L204" s="213"/>
      <c r="M204" s="213"/>
      <c r="N204" s="213"/>
    </row>
    <row r="205" spans="2:19">
      <c r="B205" s="268" t="s">
        <v>135</v>
      </c>
      <c r="C205" s="213"/>
      <c r="D205" s="213"/>
      <c r="E205" s="213"/>
      <c r="F205" s="213"/>
      <c r="G205" s="213"/>
      <c r="H205" s="213"/>
      <c r="I205" s="56"/>
      <c r="J205" s="56"/>
      <c r="K205" s="56"/>
      <c r="L205" s="213"/>
      <c r="M205" s="213"/>
      <c r="N205" s="213"/>
    </row>
    <row r="206" spans="2:19">
      <c r="B206" s="260" t="str">
        <f>'2017 Determination - Revenue'!B$16</f>
        <v>Financial year</v>
      </c>
      <c r="C206" s="261" t="str">
        <f>'2017 Determination - Revenue'!C$28</f>
        <v>Units</v>
      </c>
      <c r="D206" s="261"/>
      <c r="E206" s="261"/>
      <c r="F206" s="230"/>
      <c r="G206" s="230"/>
      <c r="H206" s="230" t="s">
        <v>215</v>
      </c>
      <c r="I206" s="230" t="s">
        <v>215</v>
      </c>
      <c r="J206" s="213"/>
      <c r="K206" s="213"/>
      <c r="L206" s="259"/>
      <c r="M206" s="210"/>
      <c r="N206" s="210"/>
      <c r="O206" s="210"/>
      <c r="P206" s="210"/>
      <c r="Q206" s="210"/>
      <c r="R206" s="210"/>
    </row>
    <row r="207" spans="2:19" s="110" customFormat="1" ht="46">
      <c r="B207" s="229"/>
      <c r="C207" s="210"/>
      <c r="D207" s="210"/>
      <c r="E207" s="210"/>
      <c r="F207" s="234"/>
      <c r="G207" s="234"/>
      <c r="H207" s="234" t="str">
        <f>H$168</f>
        <v>Bill using the 2017 determination charges for 2019-20</v>
      </c>
      <c r="I207" s="234" t="str">
        <f>I$168</f>
        <v>Bill using the re-calculated charges for 2019-20</v>
      </c>
      <c r="J207" s="234" t="s">
        <v>216</v>
      </c>
      <c r="K207" s="234"/>
      <c r="L207" s="257"/>
      <c r="M207" s="210"/>
      <c r="N207" s="210"/>
      <c r="O207" s="210"/>
      <c r="P207" s="210"/>
      <c r="Q207" s="210"/>
      <c r="R207" s="210"/>
      <c r="S207" s="213"/>
    </row>
    <row r="208" spans="2:19" ht="12">
      <c r="B208" s="279"/>
      <c r="C208" s="210"/>
      <c r="D208" s="210"/>
      <c r="E208" s="210"/>
      <c r="F208" s="235"/>
      <c r="G208" s="235"/>
      <c r="H208" s="235" t="str">
        <f>'2017 Determination - charges'!$L$15</f>
        <v>$2019-20</v>
      </c>
      <c r="I208" s="235" t="str">
        <f>'2017 Determination - charges'!$L$15</f>
        <v>$2019-20</v>
      </c>
      <c r="J208" s="132" t="str">
        <f>$L$25</f>
        <v>%</v>
      </c>
      <c r="K208" s="280"/>
      <c r="L208" s="257"/>
      <c r="M208" s="210"/>
      <c r="N208" s="210"/>
      <c r="O208" s="38"/>
      <c r="P208" s="38"/>
      <c r="Q208" s="210"/>
      <c r="R208" s="38"/>
    </row>
    <row r="209" spans="2:18">
      <c r="B209" s="262" t="str">
        <f>'2017 Determination - Revenue'!B$130</f>
        <v>Small consumption customers</v>
      </c>
      <c r="C209" s="213" t="str">
        <f>"Entitlement = "&amp;'2017 Determination - Revenue'!G$140&amp;" kL pa, Usage = "&amp;'2017 Determination - Revenue'!G$145*'2017 Determination - Revenue'!G$140&amp;" kL pa"</f>
        <v>Entitlement = 100 kL pa, Usage = 60 kL pa</v>
      </c>
      <c r="D209" s="210"/>
      <c r="E209" s="210"/>
      <c r="F209" s="210"/>
      <c r="G209" s="210"/>
      <c r="H209" s="210"/>
      <c r="I209" s="210"/>
      <c r="J209" s="232"/>
      <c r="K209" s="210"/>
      <c r="L209" s="257"/>
      <c r="M209" s="210"/>
      <c r="N209" s="210"/>
      <c r="O209" s="210"/>
      <c r="P209" s="210"/>
      <c r="Q209" s="210"/>
      <c r="R209" s="38"/>
    </row>
    <row r="210" spans="2:18" ht="12" customHeight="1">
      <c r="B210" s="229" t="str">
        <f>'2017 Determination - Revenue'!B$33</f>
        <v>Border</v>
      </c>
      <c r="C210" s="210" t="str">
        <f t="shared" ref="C210:C218" si="56">C$171</f>
        <v>$</v>
      </c>
      <c r="D210" s="210"/>
      <c r="E210" s="210"/>
      <c r="F210" s="239"/>
      <c r="G210" s="209"/>
      <c r="H210" s="209">
        <f>('2017 Determination - Revenue'!H$140*ROUND('2017 Determination - charges'!L35,2))+('2017 Determination - Revenue'!H$140*'2017 Determination - Revenue'!H$145*ROUND('2017 Determination - charges'!L18,2))</f>
        <v>552.79999999999995</v>
      </c>
      <c r="I210" s="209">
        <f>('2017 Determination - Revenue'!H$140*ROUND(Outputs!K79,2))+('2017 Determination - Revenue'!H$140*'2017 Determination - Revenue'!H$145*ROUND(Outputs!K68,2))</f>
        <v>551.6</v>
      </c>
      <c r="J210" s="241">
        <f t="shared" ref="J210:J218" si="57">IFERROR(I210/H210-1,"N/A")</f>
        <v>-2.1707670043413785E-3</v>
      </c>
      <c r="K210" s="228"/>
      <c r="L210" s="257"/>
      <c r="M210" s="210"/>
      <c r="N210" s="210"/>
      <c r="O210" s="38"/>
      <c r="P210" s="38"/>
      <c r="Q210" s="210"/>
      <c r="R210" s="38"/>
    </row>
    <row r="211" spans="2:18">
      <c r="B211" s="229" t="str">
        <f>'2017 Determination - Revenue'!B$34</f>
        <v>Gwydir</v>
      </c>
      <c r="C211" s="210" t="str">
        <f t="shared" si="56"/>
        <v>$</v>
      </c>
      <c r="D211" s="210"/>
      <c r="E211" s="210"/>
      <c r="F211" s="239"/>
      <c r="G211" s="209"/>
      <c r="H211" s="209">
        <f>('2017 Determination - Revenue'!H$140*ROUND('2017 Determination - charges'!L36,2))+('2017 Determination - Revenue'!H$140*'2017 Determination - Revenue'!H$145*ROUND('2017 Determination - charges'!L19,2))</f>
        <v>1118.1999999999998</v>
      </c>
      <c r="I211" s="209">
        <f>('2017 Determination - Revenue'!H$140*ROUND(Outputs!K80,2))+('2017 Determination - Revenue'!H$140*'2017 Determination - Revenue'!H$145*ROUND(Outputs!K69,2))</f>
        <v>1144.8</v>
      </c>
      <c r="J211" s="241">
        <f t="shared" si="57"/>
        <v>2.3788231085673628E-2</v>
      </c>
      <c r="K211" s="228"/>
      <c r="L211" s="257"/>
      <c r="M211" s="210"/>
      <c r="N211" s="210"/>
      <c r="O211" s="38"/>
      <c r="P211" s="38"/>
      <c r="Q211" s="210"/>
      <c r="R211" s="38"/>
    </row>
    <row r="212" spans="2:18">
      <c r="B212" s="229" t="str">
        <f>'2017 Determination - Revenue'!B$35</f>
        <v>Namoi</v>
      </c>
      <c r="C212" s="210" t="str">
        <f t="shared" si="56"/>
        <v>$</v>
      </c>
      <c r="D212" s="210"/>
      <c r="E212" s="210"/>
      <c r="F212" s="239"/>
      <c r="G212" s="209"/>
      <c r="H212" s="209">
        <f>('2017 Determination - Revenue'!H$140*ROUND('2017 Determination - charges'!L37,2))+('2017 Determination - Revenue'!H$140*'2017 Determination - Revenue'!H$145*ROUND('2017 Determination - charges'!L20,2))</f>
        <v>2104.1999999999998</v>
      </c>
      <c r="I212" s="209">
        <f>('2017 Determination - Revenue'!H$140*ROUND(Outputs!K81,2))+('2017 Determination - Revenue'!H$140*'2017 Determination - Revenue'!H$145*ROUND(Outputs!K70,2))</f>
        <v>2151.8000000000002</v>
      </c>
      <c r="J212" s="241">
        <f t="shared" si="57"/>
        <v>2.2621423819028763E-2</v>
      </c>
      <c r="K212" s="228"/>
      <c r="L212" s="257"/>
      <c r="M212" s="210"/>
      <c r="N212" s="210"/>
      <c r="O212" s="38"/>
      <c r="P212" s="38"/>
      <c r="Q212" s="210"/>
      <c r="R212" s="38"/>
    </row>
    <row r="213" spans="2:18">
      <c r="B213" s="229" t="str">
        <f>'2017 Determination - Revenue'!B$36</f>
        <v>Peel</v>
      </c>
      <c r="C213" s="210" t="str">
        <f t="shared" si="56"/>
        <v>$</v>
      </c>
      <c r="D213" s="210"/>
      <c r="E213" s="210"/>
      <c r="F213" s="239"/>
      <c r="G213" s="209"/>
      <c r="H213" s="209">
        <f>('2017 Determination - Revenue'!H$140*ROUND('2017 Determination - charges'!L38,2))+('2017 Determination - Revenue'!H$140*'2017 Determination - Revenue'!H$145*ROUND('2017 Determination - charges'!L21,2))</f>
        <v>1586.2</v>
      </c>
      <c r="I213" s="209">
        <f>('2017 Determination - Revenue'!H$140*ROUND(Outputs!K82,2))+('2017 Determination - Revenue'!H$140*'2017 Determination - Revenue'!H$145*ROUND(Outputs!K71,2))</f>
        <v>1547</v>
      </c>
      <c r="J213" s="241">
        <f t="shared" si="57"/>
        <v>-2.4713150926743199E-2</v>
      </c>
      <c r="K213" s="228"/>
      <c r="L213" s="257"/>
      <c r="M213" s="210"/>
      <c r="N213" s="210"/>
      <c r="O213" s="38"/>
      <c r="P213" s="38"/>
      <c r="Q213" s="210"/>
      <c r="R213" s="38"/>
    </row>
    <row r="214" spans="2:18">
      <c r="B214" s="229" t="str">
        <f>'2017 Determination - Revenue'!B$37</f>
        <v>Lachlan</v>
      </c>
      <c r="C214" s="210" t="str">
        <f t="shared" si="56"/>
        <v>$</v>
      </c>
      <c r="D214" s="210"/>
      <c r="E214" s="210"/>
      <c r="F214" s="239"/>
      <c r="G214" s="209"/>
      <c r="H214" s="209">
        <f>('2017 Determination - Revenue'!H$140*ROUND('2017 Determination - charges'!L39,2))+('2017 Determination - Revenue'!H$140*'2017 Determination - Revenue'!H$145*ROUND('2017 Determination - charges'!L22,2))</f>
        <v>1492.8</v>
      </c>
      <c r="I214" s="209">
        <f>('2017 Determination - Revenue'!H$140*ROUND(Outputs!K83,2))+('2017 Determination - Revenue'!H$140*'2017 Determination - Revenue'!H$145*ROUND(Outputs!K72,2))</f>
        <v>1582.8</v>
      </c>
      <c r="J214" s="241">
        <f t="shared" si="57"/>
        <v>6.0289389067524013E-2</v>
      </c>
      <c r="K214" s="228"/>
      <c r="L214" s="257"/>
      <c r="M214" s="210"/>
      <c r="N214" s="210"/>
      <c r="O214" s="38"/>
      <c r="P214" s="38"/>
      <c r="Q214" s="210"/>
      <c r="R214" s="38"/>
    </row>
    <row r="215" spans="2:18">
      <c r="B215" s="229" t="str">
        <f>'2017 Determination - Revenue'!B$38</f>
        <v>Macquarie</v>
      </c>
      <c r="C215" s="210" t="str">
        <f t="shared" si="56"/>
        <v>$</v>
      </c>
      <c r="D215" s="210"/>
      <c r="E215" s="210"/>
      <c r="F215" s="239"/>
      <c r="G215" s="209"/>
      <c r="H215" s="209">
        <f>('2017 Determination - Revenue'!H$140*ROUND('2017 Determination - charges'!L40,2))+('2017 Determination - Revenue'!H$140*'2017 Determination - Revenue'!H$145*ROUND('2017 Determination - charges'!L23,2))</f>
        <v>1172.8</v>
      </c>
      <c r="I215" s="209">
        <f>('2017 Determination - Revenue'!H$140*ROUND(Outputs!K84,2))+('2017 Determination - Revenue'!H$140*'2017 Determination - Revenue'!H$145*ROUND(Outputs!K73,2))</f>
        <v>1197.4000000000001</v>
      </c>
      <c r="J215" s="241">
        <f t="shared" si="57"/>
        <v>2.0975443383356218E-2</v>
      </c>
      <c r="K215" s="228"/>
      <c r="L215" s="257"/>
      <c r="M215" s="210"/>
      <c r="N215" s="210"/>
      <c r="O215" s="38"/>
      <c r="P215" s="38"/>
      <c r="Q215" s="210"/>
      <c r="R215" s="38"/>
    </row>
    <row r="216" spans="2:18">
      <c r="B216" s="229" t="str">
        <f>'2017 Determination - Revenue'!B$39</f>
        <v>Murray</v>
      </c>
      <c r="C216" s="210" t="str">
        <f t="shared" si="56"/>
        <v>$</v>
      </c>
      <c r="D216" s="210"/>
      <c r="E216" s="210"/>
      <c r="F216" s="239"/>
      <c r="G216" s="209"/>
      <c r="H216" s="209">
        <f>('2017 Determination - Revenue'!H$140*ROUND('2017 Determination - charges'!L41,2))+('2017 Determination - Revenue'!H$140*'2017 Determination - Revenue'!H$145*ROUND('2017 Determination - charges'!L24,2))</f>
        <v>200.6</v>
      </c>
      <c r="I216" s="209">
        <f>('2017 Determination - Revenue'!H$140*ROUND(Outputs!K85,2))+('2017 Determination - Revenue'!H$140*'2017 Determination - Revenue'!H$145*ROUND(Outputs!K74,2))</f>
        <v>205.39999999999998</v>
      </c>
      <c r="J216" s="241">
        <f t="shared" si="57"/>
        <v>2.3928215353938187E-2</v>
      </c>
      <c r="K216" s="228"/>
      <c r="L216" s="257"/>
      <c r="M216" s="210"/>
      <c r="N216" s="210"/>
      <c r="O216" s="38"/>
      <c r="P216" s="38"/>
      <c r="Q216" s="210"/>
      <c r="R216" s="38"/>
    </row>
    <row r="217" spans="2:18">
      <c r="B217" s="229" t="str">
        <f>'2017 Determination - Revenue'!B$40</f>
        <v>Murrumbidgee</v>
      </c>
      <c r="C217" s="210" t="str">
        <f t="shared" si="56"/>
        <v>$</v>
      </c>
      <c r="D217" s="210"/>
      <c r="E217" s="210"/>
      <c r="F217" s="239"/>
      <c r="G217" s="209"/>
      <c r="H217" s="209">
        <f>('2017 Determination - Revenue'!H$140*ROUND('2017 Determination - charges'!L42,2))+('2017 Determination - Revenue'!H$140*'2017 Determination - Revenue'!H$145*ROUND('2017 Determination - charges'!L25,2))</f>
        <v>326.39999999999998</v>
      </c>
      <c r="I217" s="209">
        <f>('2017 Determination - Revenue'!H$140*ROUND(Outputs!K86,2))+('2017 Determination - Revenue'!H$140*'2017 Determination - Revenue'!H$145*ROUND(Outputs!K75,2))</f>
        <v>335.6</v>
      </c>
      <c r="J217" s="241">
        <f t="shared" si="57"/>
        <v>2.8186274509804043E-2</v>
      </c>
      <c r="K217" s="228"/>
      <c r="L217" s="257"/>
      <c r="M217" s="210"/>
      <c r="N217" s="210"/>
      <c r="O217" s="38"/>
      <c r="P217" s="38"/>
      <c r="Q217" s="38"/>
      <c r="R217" s="38"/>
    </row>
    <row r="218" spans="2:18">
      <c r="B218" s="229" t="str">
        <f>'2017 Determination - Revenue'!B$41</f>
        <v>Lowbidgee</v>
      </c>
      <c r="C218" s="210" t="str">
        <f t="shared" si="56"/>
        <v>$</v>
      </c>
      <c r="D218" s="210"/>
      <c r="E218" s="210"/>
      <c r="F218" s="239"/>
      <c r="G218" s="209"/>
      <c r="H218" s="209">
        <f>('2017 Determination - Revenue'!H$140*ROUND('2017 Determination - charges'!L43,2))+('2017 Determination - Revenue'!H$140*'2017 Determination - Revenue'!H$145*ROUND('2017 Determination - charges'!L26,2))</f>
        <v>83</v>
      </c>
      <c r="I218" s="209">
        <f>('2017 Determination - Revenue'!H$140*ROUND(Outputs!K87,2))+('2017 Determination - Revenue'!H$140*'2017 Determination - Revenue'!H$145*ROUND(Outputs!K76,2))</f>
        <v>83</v>
      </c>
      <c r="J218" s="241">
        <f t="shared" si="57"/>
        <v>0</v>
      </c>
      <c r="K218" s="228"/>
      <c r="L218" s="257"/>
      <c r="M218" s="210"/>
      <c r="N218" s="210"/>
      <c r="O218" s="38"/>
      <c r="P218" s="38"/>
      <c r="Q218" s="38"/>
      <c r="R218" s="38"/>
    </row>
    <row r="219" spans="2:18">
      <c r="B219" s="229"/>
      <c r="C219" s="210"/>
      <c r="D219" s="210"/>
      <c r="E219" s="210"/>
      <c r="F219" s="210"/>
      <c r="G219" s="210"/>
      <c r="H219" s="210"/>
      <c r="I219" s="210"/>
      <c r="J219" s="241"/>
      <c r="K219" s="228"/>
      <c r="L219" s="257"/>
      <c r="M219" s="210"/>
      <c r="N219" s="210"/>
      <c r="O219" s="38"/>
      <c r="P219" s="38"/>
      <c r="Q219" s="38"/>
      <c r="R219" s="38"/>
    </row>
    <row r="220" spans="2:18">
      <c r="B220" s="262" t="str">
        <f>'2017 Determination - Revenue'!B$131</f>
        <v>Medium consumption customers</v>
      </c>
      <c r="C220" s="213" t="str">
        <f>"Entitlement = "&amp;'2017 Determination - Revenue'!G$141&amp;" kL pa, Usage = "&amp;'2017 Determination - Revenue'!G$146*'2017 Determination - Revenue'!G$141&amp;" kL pa"</f>
        <v>Entitlement = 500 kL pa, Usage = 300 kL pa</v>
      </c>
      <c r="D220" s="210"/>
      <c r="E220" s="210"/>
      <c r="F220" s="210"/>
      <c r="G220" s="210"/>
      <c r="H220" s="210"/>
      <c r="I220" s="210"/>
      <c r="J220" s="241"/>
      <c r="K220" s="228"/>
      <c r="L220" s="257"/>
      <c r="M220" s="210"/>
      <c r="N220" s="210"/>
      <c r="O220" s="38"/>
      <c r="P220" s="38"/>
      <c r="Q220" s="38"/>
      <c r="R220" s="38"/>
    </row>
    <row r="221" spans="2:18">
      <c r="B221" s="229" t="str">
        <f>'2017 Determination - Revenue'!B$33</f>
        <v>Border</v>
      </c>
      <c r="C221" s="210" t="str">
        <f t="shared" ref="C221:C229" si="58">C$171</f>
        <v>$</v>
      </c>
      <c r="D221" s="210"/>
      <c r="E221" s="210"/>
      <c r="F221" s="239"/>
      <c r="G221" s="209"/>
      <c r="H221" s="209">
        <f>('2017 Determination - Revenue'!H$141*ROUND('2017 Determination - charges'!L35,2))+('2017 Determination - Revenue'!H$141*'2017 Determination - Revenue'!H$146*ROUND('2017 Determination - charges'!L18,2))</f>
        <v>2764</v>
      </c>
      <c r="I221" s="210">
        <f>('2017 Determination - Revenue'!H$141*ROUND(Outputs!K79,2))+('2017 Determination - Revenue'!H$141*'2017 Determination - Revenue'!H$146*ROUND(Outputs!K68,2))</f>
        <v>2758</v>
      </c>
      <c r="J221" s="241">
        <f t="shared" ref="J221:J229" si="59">IFERROR(I221/H221-1,"N/A")</f>
        <v>-2.1707670043414895E-3</v>
      </c>
      <c r="K221" s="228"/>
      <c r="L221" s="257"/>
      <c r="M221" s="210"/>
      <c r="N221" s="210"/>
      <c r="O221" s="38"/>
      <c r="P221" s="38"/>
      <c r="Q221" s="38"/>
      <c r="R221" s="38"/>
    </row>
    <row r="222" spans="2:18">
      <c r="B222" s="229" t="str">
        <f>'2017 Determination - Revenue'!B$34</f>
        <v>Gwydir</v>
      </c>
      <c r="C222" s="210" t="str">
        <f t="shared" si="58"/>
        <v>$</v>
      </c>
      <c r="D222" s="210"/>
      <c r="E222" s="210"/>
      <c r="F222" s="239"/>
      <c r="G222" s="209"/>
      <c r="H222" s="209">
        <f>('2017 Determination - Revenue'!H$141*ROUND('2017 Determination - charges'!L36,2))+('2017 Determination - Revenue'!H$141*'2017 Determination - Revenue'!H$146*ROUND('2017 Determination - charges'!L19,2))</f>
        <v>5591</v>
      </c>
      <c r="I222" s="210">
        <f>('2017 Determination - Revenue'!H$141*ROUND(Outputs!K80,2))+('2017 Determination - Revenue'!H$141*'2017 Determination - Revenue'!H$146*ROUND(Outputs!K69,2))</f>
        <v>5724</v>
      </c>
      <c r="J222" s="241">
        <f t="shared" si="59"/>
        <v>2.3788231085673406E-2</v>
      </c>
      <c r="K222" s="228"/>
      <c r="L222" s="257"/>
      <c r="M222" s="210"/>
      <c r="N222" s="210"/>
      <c r="O222" s="38"/>
      <c r="P222" s="38"/>
      <c r="Q222" s="38"/>
      <c r="R222" s="38"/>
    </row>
    <row r="223" spans="2:18">
      <c r="B223" s="229" t="str">
        <f>'2017 Determination - Revenue'!B$35</f>
        <v>Namoi</v>
      </c>
      <c r="C223" s="210" t="str">
        <f t="shared" si="58"/>
        <v>$</v>
      </c>
      <c r="D223" s="210"/>
      <c r="E223" s="210"/>
      <c r="F223" s="239"/>
      <c r="G223" s="209"/>
      <c r="H223" s="209">
        <f>('2017 Determination - Revenue'!H$141*ROUND('2017 Determination - charges'!L37,2))+('2017 Determination - Revenue'!H$141*'2017 Determination - Revenue'!H$146*ROUND('2017 Determination - charges'!L20,2))</f>
        <v>10521</v>
      </c>
      <c r="I223" s="210">
        <f>('2017 Determination - Revenue'!H$141*ROUND(Outputs!K81,2))+('2017 Determination - Revenue'!H$141*'2017 Determination - Revenue'!H$146*ROUND(Outputs!K70,2))</f>
        <v>10759</v>
      </c>
      <c r="J223" s="241">
        <f t="shared" si="59"/>
        <v>2.2621423819028541E-2</v>
      </c>
      <c r="K223" s="228"/>
      <c r="L223" s="257"/>
      <c r="M223" s="210"/>
      <c r="N223" s="210"/>
      <c r="O223" s="38"/>
      <c r="P223" s="38"/>
      <c r="Q223" s="38"/>
      <c r="R223" s="38"/>
    </row>
    <row r="224" spans="2:18">
      <c r="B224" s="229" t="str">
        <f>'2017 Determination - Revenue'!B$36</f>
        <v>Peel</v>
      </c>
      <c r="C224" s="210" t="str">
        <f t="shared" si="58"/>
        <v>$</v>
      </c>
      <c r="D224" s="210"/>
      <c r="E224" s="210"/>
      <c r="F224" s="239"/>
      <c r="G224" s="209"/>
      <c r="H224" s="209">
        <f>('2017 Determination - Revenue'!H$141*ROUND('2017 Determination - charges'!L38,2))+('2017 Determination - Revenue'!H$141*'2017 Determination - Revenue'!H$146*ROUND('2017 Determination - charges'!L21,2))</f>
        <v>7931</v>
      </c>
      <c r="I224" s="210">
        <f>('2017 Determination - Revenue'!H$141*ROUND(Outputs!K82,2))+('2017 Determination - Revenue'!H$141*'2017 Determination - Revenue'!H$146*ROUND(Outputs!K71,2))</f>
        <v>7735</v>
      </c>
      <c r="J224" s="241">
        <f t="shared" si="59"/>
        <v>-2.4713150926743199E-2</v>
      </c>
      <c r="K224" s="228"/>
      <c r="L224" s="257"/>
      <c r="M224" s="210"/>
      <c r="N224" s="210"/>
      <c r="O224" s="38"/>
      <c r="P224" s="38"/>
      <c r="Q224" s="38"/>
      <c r="R224" s="38"/>
    </row>
    <row r="225" spans="2:18">
      <c r="B225" s="229" t="str">
        <f>'2017 Determination - Revenue'!B$37</f>
        <v>Lachlan</v>
      </c>
      <c r="C225" s="210" t="str">
        <f t="shared" si="58"/>
        <v>$</v>
      </c>
      <c r="D225" s="210"/>
      <c r="E225" s="210"/>
      <c r="F225" s="239"/>
      <c r="G225" s="209"/>
      <c r="H225" s="209">
        <f>('2017 Determination - Revenue'!H$141*ROUND('2017 Determination - charges'!L39,2))+('2017 Determination - Revenue'!H$141*'2017 Determination - Revenue'!H$146*ROUND('2017 Determination - charges'!L22,2))</f>
        <v>7463.9999999999991</v>
      </c>
      <c r="I225" s="210">
        <f>('2017 Determination - Revenue'!H$141*ROUND(Outputs!K83,2))+('2017 Determination - Revenue'!H$141*'2017 Determination - Revenue'!H$146*ROUND(Outputs!K72,2))</f>
        <v>7914</v>
      </c>
      <c r="J225" s="241">
        <f t="shared" si="59"/>
        <v>6.0289389067524235E-2</v>
      </c>
      <c r="K225" s="228"/>
      <c r="L225" s="257"/>
      <c r="M225" s="210"/>
      <c r="N225" s="210"/>
      <c r="O225" s="38"/>
      <c r="P225" s="38"/>
      <c r="Q225" s="38"/>
      <c r="R225" s="38"/>
    </row>
    <row r="226" spans="2:18">
      <c r="B226" s="229" t="str">
        <f>'2017 Determination - Revenue'!B$38</f>
        <v>Macquarie</v>
      </c>
      <c r="C226" s="210" t="str">
        <f t="shared" si="58"/>
        <v>$</v>
      </c>
      <c r="D226" s="210"/>
      <c r="E226" s="210"/>
      <c r="F226" s="239"/>
      <c r="G226" s="209"/>
      <c r="H226" s="209">
        <f>('2017 Determination - Revenue'!H$141*ROUND('2017 Determination - charges'!L40,2))+('2017 Determination - Revenue'!H$141*'2017 Determination - Revenue'!H$146*ROUND('2017 Determination - charges'!L23,2))</f>
        <v>5864</v>
      </c>
      <c r="I226" s="210">
        <f>('2017 Determination - Revenue'!H$141*ROUND(Outputs!K84,2))+('2017 Determination - Revenue'!H$141*'2017 Determination - Revenue'!H$146*ROUND(Outputs!K73,2))</f>
        <v>5987</v>
      </c>
      <c r="J226" s="241">
        <f t="shared" si="59"/>
        <v>2.0975443383355996E-2</v>
      </c>
      <c r="K226" s="228"/>
      <c r="L226" s="257"/>
      <c r="M226" s="210"/>
      <c r="N226" s="210"/>
      <c r="O226" s="38"/>
      <c r="P226" s="38"/>
      <c r="Q226" s="38"/>
      <c r="R226" s="38"/>
    </row>
    <row r="227" spans="2:18">
      <c r="B227" s="229" t="str">
        <f>'2017 Determination - Revenue'!B$39</f>
        <v>Murray</v>
      </c>
      <c r="C227" s="210" t="str">
        <f t="shared" si="58"/>
        <v>$</v>
      </c>
      <c r="D227" s="210"/>
      <c r="E227" s="210"/>
      <c r="F227" s="239"/>
      <c r="G227" s="209"/>
      <c r="H227" s="209">
        <f>('2017 Determination - Revenue'!H$141*ROUND('2017 Determination - charges'!L41,2))+('2017 Determination - Revenue'!H$141*'2017 Determination - Revenue'!H$146*ROUND('2017 Determination - charges'!L24,2))</f>
        <v>1002.9999999999999</v>
      </c>
      <c r="I227" s="210">
        <f>('2017 Determination - Revenue'!H$141*ROUND(Outputs!K85,2))+('2017 Determination - Revenue'!H$141*'2017 Determination - Revenue'!H$146*ROUND(Outputs!K74,2))</f>
        <v>1027</v>
      </c>
      <c r="J227" s="241">
        <f t="shared" si="59"/>
        <v>2.3928215353938409E-2</v>
      </c>
      <c r="K227" s="228"/>
      <c r="L227" s="257"/>
      <c r="M227" s="210"/>
      <c r="N227" s="210"/>
      <c r="O227" s="38"/>
      <c r="P227" s="38"/>
      <c r="Q227" s="38"/>
      <c r="R227" s="38"/>
    </row>
    <row r="228" spans="2:18">
      <c r="B228" s="229" t="str">
        <f>'2017 Determination - Revenue'!B$40</f>
        <v>Murrumbidgee</v>
      </c>
      <c r="C228" s="210" t="str">
        <f t="shared" si="58"/>
        <v>$</v>
      </c>
      <c r="D228" s="210"/>
      <c r="E228" s="210"/>
      <c r="F228" s="239"/>
      <c r="G228" s="209"/>
      <c r="H228" s="209">
        <f>('2017 Determination - Revenue'!H$141*ROUND('2017 Determination - charges'!L42,2))+('2017 Determination - Revenue'!H$141*'2017 Determination - Revenue'!H$146*ROUND('2017 Determination - charges'!L25,2))</f>
        <v>1632</v>
      </c>
      <c r="I228" s="210">
        <f>('2017 Determination - Revenue'!H$141*ROUND(Outputs!K86,2))+('2017 Determination - Revenue'!H$141*'2017 Determination - Revenue'!H$146*ROUND(Outputs!K75,2))</f>
        <v>1678</v>
      </c>
      <c r="J228" s="241">
        <f t="shared" si="59"/>
        <v>2.8186274509803821E-2</v>
      </c>
      <c r="K228" s="228"/>
      <c r="L228" s="257"/>
      <c r="M228" s="210"/>
      <c r="N228" s="210"/>
      <c r="O228" s="38"/>
      <c r="P228" s="38"/>
      <c r="Q228" s="38"/>
      <c r="R228" s="38"/>
    </row>
    <row r="229" spans="2:18">
      <c r="B229" s="229" t="str">
        <f>'2017 Determination - Revenue'!B$41</f>
        <v>Lowbidgee</v>
      </c>
      <c r="C229" s="210" t="str">
        <f t="shared" si="58"/>
        <v>$</v>
      </c>
      <c r="D229" s="210"/>
      <c r="E229" s="210"/>
      <c r="F229" s="239"/>
      <c r="G229" s="209"/>
      <c r="H229" s="209">
        <f>('2017 Determination - Revenue'!H$141*ROUND('2017 Determination - charges'!L43,2))+('2017 Determination - Revenue'!H$141*'2017 Determination - Revenue'!H$146*ROUND('2017 Determination - charges'!L26,2))</f>
        <v>415</v>
      </c>
      <c r="I229" s="210">
        <f>('2017 Determination - Revenue'!H$141*ROUND(Outputs!K87,2))+('2017 Determination - Revenue'!H$141*'2017 Determination - Revenue'!H$146*ROUND(Outputs!K76,2))</f>
        <v>415</v>
      </c>
      <c r="J229" s="241">
        <f t="shared" si="59"/>
        <v>0</v>
      </c>
      <c r="K229" s="228"/>
      <c r="L229" s="257"/>
      <c r="M229" s="210"/>
      <c r="N229" s="210"/>
      <c r="O229" s="38"/>
      <c r="P229" s="38"/>
      <c r="Q229" s="38"/>
      <c r="R229" s="38"/>
    </row>
    <row r="230" spans="2:18">
      <c r="B230" s="229"/>
      <c r="C230" s="210"/>
      <c r="D230" s="210"/>
      <c r="E230" s="210"/>
      <c r="F230" s="208"/>
      <c r="G230" s="208"/>
      <c r="H230" s="208"/>
      <c r="I230" s="210"/>
      <c r="J230" s="241"/>
      <c r="K230" s="228"/>
      <c r="L230" s="257"/>
      <c r="M230" s="210"/>
      <c r="N230" s="210"/>
      <c r="O230" s="38"/>
      <c r="P230" s="38"/>
      <c r="Q230" s="38"/>
      <c r="R230" s="38"/>
    </row>
    <row r="231" spans="2:18">
      <c r="B231" s="262" t="str">
        <f>'2017 Determination - Revenue'!B$132</f>
        <v>Large consumption customers</v>
      </c>
      <c r="C231" s="213" t="str">
        <f>"Entitlement = "&amp;'2017 Determination - Revenue'!G$142&amp;" kL pa, Usage = "&amp;'2017 Determination - Revenue'!G$147*'2017 Determination - Revenue'!G$142&amp;" kL pa"</f>
        <v>Entitlement = 1000 kL pa, Usage = 600 kL pa</v>
      </c>
      <c r="D231" s="210"/>
      <c r="E231" s="210"/>
      <c r="F231" s="208"/>
      <c r="G231" s="208"/>
      <c r="H231" s="208"/>
      <c r="I231" s="210"/>
      <c r="J231" s="241"/>
      <c r="K231" s="228"/>
      <c r="L231" s="257"/>
      <c r="M231" s="210"/>
      <c r="N231" s="210"/>
      <c r="O231" s="38"/>
      <c r="P231" s="38"/>
      <c r="Q231" s="38"/>
      <c r="R231" s="38"/>
    </row>
    <row r="232" spans="2:18">
      <c r="B232" s="229" t="str">
        <f>'2017 Determination - Revenue'!B$33</f>
        <v>Border</v>
      </c>
      <c r="C232" s="210" t="str">
        <f t="shared" ref="C232:C240" si="60">C$171</f>
        <v>$</v>
      </c>
      <c r="D232" s="210"/>
      <c r="E232" s="210"/>
      <c r="F232" s="239"/>
      <c r="G232" s="209"/>
      <c r="H232" s="209">
        <f>('2017 Determination - Revenue'!H$142*ROUND('2017 Determination - charges'!L35,2))+('2017 Determination - Revenue'!H$142*'2017 Determination - Revenue'!H$147*ROUND('2017 Determination - charges'!L18,2))</f>
        <v>5528</v>
      </c>
      <c r="I232" s="210">
        <f>('2017 Determination - Revenue'!H$142*ROUND(Outputs!K79,2))+('2017 Determination - Revenue'!H$142*'2017 Determination - Revenue'!H$147*ROUND(Outputs!K68,2))</f>
        <v>5516</v>
      </c>
      <c r="J232" s="241">
        <f t="shared" ref="J232:J240" si="61">IFERROR(I232/H232-1,"N/A")</f>
        <v>-2.1707670043414895E-3</v>
      </c>
      <c r="K232" s="228"/>
      <c r="L232" s="257"/>
      <c r="M232" s="210"/>
      <c r="N232" s="210"/>
      <c r="O232" s="38"/>
      <c r="P232" s="38"/>
      <c r="Q232" s="38"/>
      <c r="R232" s="38"/>
    </row>
    <row r="233" spans="2:18">
      <c r="B233" s="229" t="str">
        <f>'2017 Determination - Revenue'!B$34</f>
        <v>Gwydir</v>
      </c>
      <c r="C233" s="210" t="str">
        <f t="shared" si="60"/>
        <v>$</v>
      </c>
      <c r="D233" s="210"/>
      <c r="E233" s="210"/>
      <c r="F233" s="239"/>
      <c r="G233" s="209"/>
      <c r="H233" s="209">
        <f>('2017 Determination - Revenue'!H$142*ROUND('2017 Determination - charges'!L36,2))+('2017 Determination - Revenue'!H$142*'2017 Determination - Revenue'!H$147*ROUND('2017 Determination - charges'!L19,2))</f>
        <v>11182</v>
      </c>
      <c r="I233" s="210">
        <f>('2017 Determination - Revenue'!H$142*ROUND(Outputs!K80,2))+('2017 Determination - Revenue'!H$142*'2017 Determination - Revenue'!H$147*ROUND(Outputs!K69,2))</f>
        <v>11448</v>
      </c>
      <c r="J233" s="241">
        <f t="shared" si="61"/>
        <v>2.3788231085673406E-2</v>
      </c>
      <c r="K233" s="228"/>
      <c r="L233" s="257"/>
      <c r="M233" s="210"/>
      <c r="N233" s="210"/>
      <c r="O233" s="38"/>
      <c r="P233" s="38"/>
      <c r="Q233" s="38"/>
      <c r="R233" s="38"/>
    </row>
    <row r="234" spans="2:18">
      <c r="B234" s="229" t="str">
        <f>'2017 Determination - Revenue'!B$35</f>
        <v>Namoi</v>
      </c>
      <c r="C234" s="210" t="str">
        <f t="shared" si="60"/>
        <v>$</v>
      </c>
      <c r="D234" s="210"/>
      <c r="E234" s="210"/>
      <c r="F234" s="239"/>
      <c r="G234" s="209"/>
      <c r="H234" s="209">
        <f>('2017 Determination - Revenue'!H$142*ROUND('2017 Determination - charges'!L37,2))+('2017 Determination - Revenue'!H$142*'2017 Determination - Revenue'!H$147*ROUND('2017 Determination - charges'!L20,2))</f>
        <v>21042</v>
      </c>
      <c r="I234" s="210">
        <f>('2017 Determination - Revenue'!H$142*ROUND(Outputs!K81,2))+('2017 Determination - Revenue'!H$142*'2017 Determination - Revenue'!H$147*ROUND(Outputs!K70,2))</f>
        <v>21518</v>
      </c>
      <c r="J234" s="241">
        <f t="shared" si="61"/>
        <v>2.2621423819028541E-2</v>
      </c>
      <c r="K234" s="228"/>
      <c r="L234" s="257"/>
      <c r="M234" s="210"/>
      <c r="N234" s="210"/>
      <c r="O234" s="38"/>
      <c r="P234" s="38"/>
      <c r="Q234" s="38"/>
      <c r="R234" s="38"/>
    </row>
    <row r="235" spans="2:18">
      <c r="B235" s="229" t="str">
        <f>'2017 Determination - Revenue'!B$36</f>
        <v>Peel</v>
      </c>
      <c r="C235" s="210" t="str">
        <f t="shared" si="60"/>
        <v>$</v>
      </c>
      <c r="D235" s="210"/>
      <c r="E235" s="210"/>
      <c r="F235" s="239"/>
      <c r="G235" s="209"/>
      <c r="H235" s="209">
        <f>('2017 Determination - Revenue'!H$142*ROUND('2017 Determination - charges'!L38,2))+('2017 Determination - Revenue'!H$142*'2017 Determination - Revenue'!H$147*ROUND('2017 Determination - charges'!L21,2))</f>
        <v>15862</v>
      </c>
      <c r="I235" s="210">
        <f>('2017 Determination - Revenue'!H$142*ROUND(Outputs!K82,2))+('2017 Determination - Revenue'!H$142*'2017 Determination - Revenue'!H$147*ROUND(Outputs!K71,2))</f>
        <v>15470</v>
      </c>
      <c r="J235" s="241">
        <f t="shared" si="61"/>
        <v>-2.4713150926743199E-2</v>
      </c>
      <c r="K235" s="228"/>
      <c r="L235" s="257"/>
      <c r="M235" s="210"/>
      <c r="N235" s="210"/>
      <c r="O235" s="38"/>
      <c r="P235" s="38"/>
      <c r="Q235" s="38"/>
      <c r="R235" s="38"/>
    </row>
    <row r="236" spans="2:18">
      <c r="B236" s="229" t="str">
        <f>'2017 Determination - Revenue'!B$37</f>
        <v>Lachlan</v>
      </c>
      <c r="C236" s="210" t="str">
        <f t="shared" si="60"/>
        <v>$</v>
      </c>
      <c r="D236" s="210"/>
      <c r="E236" s="210"/>
      <c r="F236" s="239"/>
      <c r="G236" s="209"/>
      <c r="H236" s="209">
        <f>('2017 Determination - Revenue'!H$142*ROUND('2017 Determination - charges'!L39,2))+('2017 Determination - Revenue'!H$142*'2017 Determination - Revenue'!H$147*ROUND('2017 Determination - charges'!L22,2))</f>
        <v>14927.999999999998</v>
      </c>
      <c r="I236" s="210">
        <f>('2017 Determination - Revenue'!H$142*ROUND(Outputs!K83,2))+('2017 Determination - Revenue'!H$142*'2017 Determination - Revenue'!H$147*ROUND(Outputs!K72,2))</f>
        <v>15828</v>
      </c>
      <c r="J236" s="241">
        <f t="shared" si="61"/>
        <v>6.0289389067524235E-2</v>
      </c>
      <c r="K236" s="228"/>
      <c r="L236" s="257"/>
      <c r="M236" s="210"/>
      <c r="N236" s="210"/>
      <c r="O236" s="38"/>
      <c r="P236" s="38"/>
      <c r="Q236" s="38"/>
      <c r="R236" s="38"/>
    </row>
    <row r="237" spans="2:18">
      <c r="B237" s="229" t="str">
        <f>'2017 Determination - Revenue'!B$38</f>
        <v>Macquarie</v>
      </c>
      <c r="C237" s="210" t="str">
        <f t="shared" si="60"/>
        <v>$</v>
      </c>
      <c r="D237" s="210"/>
      <c r="E237" s="210"/>
      <c r="F237" s="239"/>
      <c r="G237" s="209"/>
      <c r="H237" s="209">
        <f>('2017 Determination - Revenue'!H$142*ROUND('2017 Determination - charges'!L40,2))+('2017 Determination - Revenue'!H$142*'2017 Determination - Revenue'!H$147*ROUND('2017 Determination - charges'!L23,2))</f>
        <v>11728</v>
      </c>
      <c r="I237" s="210">
        <f>('2017 Determination - Revenue'!H$142*ROUND(Outputs!K84,2))+('2017 Determination - Revenue'!H$142*'2017 Determination - Revenue'!H$147*ROUND(Outputs!K73,2))</f>
        <v>11974</v>
      </c>
      <c r="J237" s="241">
        <f t="shared" si="61"/>
        <v>2.0975443383355996E-2</v>
      </c>
      <c r="K237" s="228"/>
      <c r="L237" s="257"/>
      <c r="M237" s="210"/>
      <c r="N237" s="210"/>
      <c r="O237" s="38"/>
      <c r="P237" s="38"/>
      <c r="Q237" s="38"/>
      <c r="R237" s="38"/>
    </row>
    <row r="238" spans="2:18">
      <c r="B238" s="229" t="str">
        <f>'2017 Determination - Revenue'!B$39</f>
        <v>Murray</v>
      </c>
      <c r="C238" s="210" t="str">
        <f t="shared" si="60"/>
        <v>$</v>
      </c>
      <c r="D238" s="210"/>
      <c r="E238" s="210"/>
      <c r="F238" s="239"/>
      <c r="G238" s="209"/>
      <c r="H238" s="209">
        <f>('2017 Determination - Revenue'!H$142*ROUND('2017 Determination - charges'!L41,2))+('2017 Determination - Revenue'!H$142*'2017 Determination - Revenue'!H$147*ROUND('2017 Determination - charges'!L24,2))</f>
        <v>2005.9999999999998</v>
      </c>
      <c r="I238" s="210">
        <f>('2017 Determination - Revenue'!H$142*ROUND(Outputs!K85,2))+('2017 Determination - Revenue'!H$142*'2017 Determination - Revenue'!H$147*ROUND(Outputs!K74,2))</f>
        <v>2054</v>
      </c>
      <c r="J238" s="241">
        <f t="shared" si="61"/>
        <v>2.3928215353938409E-2</v>
      </c>
      <c r="K238" s="228"/>
      <c r="L238" s="257"/>
      <c r="M238" s="210"/>
      <c r="N238" s="210"/>
      <c r="O238" s="38"/>
      <c r="P238" s="38"/>
      <c r="Q238" s="38"/>
      <c r="R238" s="38"/>
    </row>
    <row r="239" spans="2:18">
      <c r="B239" s="229" t="str">
        <f>'2017 Determination - Revenue'!B$40</f>
        <v>Murrumbidgee</v>
      </c>
      <c r="C239" s="210" t="str">
        <f t="shared" si="60"/>
        <v>$</v>
      </c>
      <c r="D239" s="210"/>
      <c r="E239" s="210"/>
      <c r="F239" s="239"/>
      <c r="G239" s="209"/>
      <c r="H239" s="209">
        <f>('2017 Determination - Revenue'!H$142*ROUND('2017 Determination - charges'!L42,2))+('2017 Determination - Revenue'!H$142*'2017 Determination - Revenue'!H$147*ROUND('2017 Determination - charges'!L25,2))</f>
        <v>3264</v>
      </c>
      <c r="I239" s="210">
        <f>('2017 Determination - Revenue'!H$142*ROUND(Outputs!K86,2))+('2017 Determination - Revenue'!H$142*'2017 Determination - Revenue'!H$147*ROUND(Outputs!K75,2))</f>
        <v>3356</v>
      </c>
      <c r="J239" s="241">
        <f t="shared" si="61"/>
        <v>2.8186274509803821E-2</v>
      </c>
      <c r="K239" s="228"/>
      <c r="L239" s="257"/>
      <c r="M239" s="210"/>
      <c r="N239" s="210"/>
      <c r="O239" s="38"/>
      <c r="P239" s="38"/>
      <c r="Q239" s="38"/>
      <c r="R239" s="38"/>
    </row>
    <row r="240" spans="2:18">
      <c r="B240" s="229" t="str">
        <f>'2017 Determination - Revenue'!B$41</f>
        <v>Lowbidgee</v>
      </c>
      <c r="C240" s="210" t="str">
        <f t="shared" si="60"/>
        <v>$</v>
      </c>
      <c r="D240" s="210"/>
      <c r="E240" s="210"/>
      <c r="F240" s="239"/>
      <c r="G240" s="209"/>
      <c r="H240" s="209">
        <f>('2017 Determination - Revenue'!H$142*ROUND('2017 Determination - charges'!L43,2))+('2017 Determination - Revenue'!H$142*'2017 Determination - Revenue'!H$147*ROUND('2017 Determination - charges'!L26,2))</f>
        <v>830</v>
      </c>
      <c r="I240" s="210">
        <f>('2017 Determination - Revenue'!H$142*ROUND(Outputs!K87,2))+('2017 Determination - Revenue'!H$142*'2017 Determination - Revenue'!H$147*ROUND(Outputs!K76,2))</f>
        <v>830</v>
      </c>
      <c r="J240" s="241">
        <f t="shared" si="61"/>
        <v>0</v>
      </c>
      <c r="K240" s="228"/>
      <c r="L240" s="257"/>
      <c r="M240" s="210"/>
      <c r="N240" s="210"/>
      <c r="O240" s="38"/>
      <c r="P240" s="38"/>
      <c r="Q240" s="38"/>
      <c r="R240" s="38"/>
    </row>
    <row r="241" spans="2:19">
      <c r="B241" s="267"/>
      <c r="C241" s="56"/>
      <c r="D241" s="56"/>
      <c r="E241" s="56"/>
      <c r="F241" s="56"/>
      <c r="G241" s="56"/>
      <c r="H241" s="56"/>
      <c r="I241" s="56"/>
      <c r="J241" s="178"/>
      <c r="K241" s="56"/>
      <c r="L241" s="258"/>
      <c r="M241" s="210"/>
      <c r="N241" s="210"/>
      <c r="O241" s="38"/>
      <c r="P241" s="38"/>
      <c r="Q241" s="38"/>
      <c r="R241" s="38"/>
    </row>
    <row r="242" spans="2:19">
      <c r="B242" s="213"/>
      <c r="C242" s="213"/>
      <c r="D242" s="213"/>
      <c r="E242" s="213"/>
      <c r="F242" s="213"/>
      <c r="G242" s="213"/>
      <c r="H242" s="213"/>
      <c r="I242" s="213"/>
      <c r="J242" s="248"/>
      <c r="K242" s="213"/>
      <c r="L242" s="213"/>
      <c r="M242" s="213"/>
      <c r="N242" s="213"/>
    </row>
    <row r="243" spans="2:19">
      <c r="B243" s="213"/>
      <c r="C243" s="213"/>
      <c r="D243" s="213"/>
      <c r="E243" s="213"/>
      <c r="F243" s="213"/>
      <c r="G243" s="213"/>
      <c r="H243" s="213"/>
      <c r="I243" s="213"/>
      <c r="J243" s="213"/>
      <c r="K243" s="213"/>
      <c r="L243" s="213"/>
      <c r="M243" s="213"/>
      <c r="N243" s="213"/>
    </row>
    <row r="244" spans="2:19">
      <c r="B244" s="268" t="s">
        <v>151</v>
      </c>
      <c r="C244" s="213"/>
      <c r="D244" s="213"/>
      <c r="E244" s="213"/>
      <c r="F244" s="213"/>
      <c r="G244" s="213"/>
      <c r="H244" s="213"/>
      <c r="I244" s="213"/>
      <c r="J244" s="248"/>
      <c r="K244" s="213"/>
      <c r="L244" s="213"/>
      <c r="M244" s="213"/>
      <c r="N244" s="213"/>
    </row>
    <row r="245" spans="2:19">
      <c r="B245" s="260" t="str">
        <f>'2017 Determination - Revenue'!B$16</f>
        <v>Financial year</v>
      </c>
      <c r="C245" s="261" t="str">
        <f>'2017 Determination - Revenue'!C$28</f>
        <v>Units</v>
      </c>
      <c r="D245" s="261"/>
      <c r="E245" s="261"/>
      <c r="F245" s="230"/>
      <c r="G245" s="230"/>
      <c r="H245" s="230" t="s">
        <v>215</v>
      </c>
      <c r="I245" s="230" t="s">
        <v>215</v>
      </c>
      <c r="J245" s="230"/>
      <c r="K245" s="214"/>
      <c r="L245" s="259"/>
      <c r="M245" s="210"/>
      <c r="N245" s="210"/>
      <c r="O245" s="38"/>
      <c r="P245" s="38"/>
      <c r="Q245" s="38"/>
      <c r="R245" s="38"/>
    </row>
    <row r="246" spans="2:19" s="110" customFormat="1" ht="12">
      <c r="B246" s="279"/>
      <c r="C246" s="210"/>
      <c r="D246" s="210"/>
      <c r="E246" s="210"/>
      <c r="F246" s="234"/>
      <c r="G246" s="234"/>
      <c r="H246" s="234" t="str">
        <f>H$168</f>
        <v>Bill using the 2017 determination charges for 2019-20</v>
      </c>
      <c r="I246" s="234" t="str">
        <f>I$168</f>
        <v>Bill using the re-calculated charges for 2019-20</v>
      </c>
      <c r="J246" s="234" t="str">
        <f>J$168</f>
        <v xml:space="preserve">Difference between </v>
      </c>
      <c r="K246" s="278"/>
      <c r="L246" s="257"/>
      <c r="M246" s="210"/>
      <c r="N246" s="210"/>
      <c r="O246" s="38"/>
      <c r="P246" s="38"/>
      <c r="Q246" s="38"/>
      <c r="R246" s="38"/>
      <c r="S246" s="213"/>
    </row>
    <row r="247" spans="2:19">
      <c r="B247" s="262" t="s">
        <v>78</v>
      </c>
      <c r="C247" s="210"/>
      <c r="D247" s="210"/>
      <c r="E247" s="210"/>
      <c r="F247" s="235"/>
      <c r="G247" s="235"/>
      <c r="H247" s="235" t="str">
        <f>'2017 Determination - charges'!$L$15</f>
        <v>$2019-20</v>
      </c>
      <c r="I247" s="235" t="str">
        <f>'2017 Determination - charges'!$L$15</f>
        <v>$2019-20</v>
      </c>
      <c r="J247" s="132" t="str">
        <f>$L$25</f>
        <v>%</v>
      </c>
      <c r="K247" s="280"/>
      <c r="L247" s="257"/>
      <c r="M247" s="210"/>
      <c r="N247" s="210"/>
      <c r="O247" s="38"/>
      <c r="P247" s="38"/>
      <c r="Q247" s="38"/>
      <c r="R247" s="38"/>
    </row>
    <row r="248" spans="2:19">
      <c r="B248" s="262" t="str">
        <f>'2017 Determination - Revenue'!B$130</f>
        <v>Small consumption customers</v>
      </c>
      <c r="C248" s="213" t="str">
        <f>"Entitlement = "&amp;'2017 Determination - Revenue'!G$130&amp;" kL pa, Usage = "&amp;'2017 Determination - Revenue'!G$135*'2017 Determination - Revenue'!G$130&amp;" kL pa"</f>
        <v>Entitlement = 100 kL pa, Usage = 100 kL pa</v>
      </c>
      <c r="D248" s="210"/>
      <c r="E248" s="210"/>
      <c r="F248" s="210"/>
      <c r="G248" s="210"/>
      <c r="H248" s="210"/>
      <c r="I248" s="210"/>
      <c r="J248" s="232"/>
      <c r="K248" s="210"/>
      <c r="L248" s="257"/>
      <c r="M248" s="210"/>
      <c r="N248" s="210"/>
      <c r="O248" s="38"/>
      <c r="P248" s="38"/>
      <c r="Q248" s="38"/>
      <c r="R248" s="38"/>
    </row>
    <row r="249" spans="2:19" ht="12" customHeight="1">
      <c r="B249" s="229" t="str">
        <f>'2017 Determination - Revenue'!B$33</f>
        <v>Border</v>
      </c>
      <c r="C249" s="210" t="str">
        <f>C$171</f>
        <v>$</v>
      </c>
      <c r="D249" s="210"/>
      <c r="E249" s="210"/>
      <c r="F249" s="239"/>
      <c r="G249" s="209"/>
      <c r="H249" s="209">
        <f>('2017 Determination - Revenue'!H$130*ROUND('2017 Determination - charges'!L79,2))+('2017 Determination - Revenue'!H$130*'2017 Determination - Revenue'!H$135*ROUND('2017 Determination - charges'!L69,2))</f>
        <v>570</v>
      </c>
      <c r="I249" s="209">
        <f>('2017 Determination - Revenue'!H$130*ROUND(Outputs!K130,2))+('2017 Determination - Revenue'!H$130*'2017 Determination - Revenue'!H$135*ROUND(Outputs!K108,2))</f>
        <v>559</v>
      </c>
      <c r="J249" s="241">
        <f t="shared" ref="J249:J251" si="62">IFERROR(I249/H249-1,"N/A")</f>
        <v>-1.9298245614035037E-2</v>
      </c>
      <c r="K249" s="228"/>
      <c r="L249" s="257"/>
      <c r="M249" s="210"/>
      <c r="N249" s="210"/>
      <c r="O249" s="38"/>
      <c r="P249" s="38"/>
      <c r="Q249" s="197"/>
      <c r="R249" s="38"/>
    </row>
    <row r="250" spans="2:19">
      <c r="B250" s="229" t="str">
        <f>'2017 Determination - Revenue'!B$39</f>
        <v>Murray</v>
      </c>
      <c r="C250" s="210" t="str">
        <f>C$171</f>
        <v>$</v>
      </c>
      <c r="D250" s="210"/>
      <c r="E250" s="210"/>
      <c r="F250" s="239"/>
      <c r="G250" s="209"/>
      <c r="H250" s="209">
        <f>('2017 Determination - Revenue'!H$130*ROUND('2017 Determination - charges'!L80,2))+('2017 Determination - Revenue'!H$130*'2017 Determination - Revenue'!H$135*ROUND('2017 Determination - charges'!L70,2))</f>
        <v>924</v>
      </c>
      <c r="I250" s="209">
        <f>('2017 Determination - Revenue'!H$130*ROUND(Outputs!K136,2))+('2017 Determination - Revenue'!H$130*'2017 Determination - Revenue'!H$135*ROUND(Outputs!K114,2))</f>
        <v>947</v>
      </c>
      <c r="J250" s="241">
        <f t="shared" si="62"/>
        <v>2.4891774891774965E-2</v>
      </c>
      <c r="K250" s="228"/>
      <c r="L250" s="257"/>
      <c r="M250" s="210"/>
      <c r="N250" s="210"/>
      <c r="O250" s="38"/>
      <c r="P250" s="38"/>
      <c r="Q250" s="197"/>
      <c r="R250" s="38"/>
    </row>
    <row r="251" spans="2:19">
      <c r="B251" s="229" t="str">
        <f>'2017 Determination - Revenue'!B$40</f>
        <v>Murrumbidgee</v>
      </c>
      <c r="C251" s="210" t="str">
        <f>C$171</f>
        <v>$</v>
      </c>
      <c r="D251" s="210"/>
      <c r="E251" s="210"/>
      <c r="F251" s="239"/>
      <c r="G251" s="209"/>
      <c r="H251" s="209">
        <f>('2017 Determination - Revenue'!H$130*ROUND('2017 Determination - charges'!L81,2))+('2017 Determination - Revenue'!H$130*'2017 Determination - Revenue'!H$135*ROUND('2017 Determination - charges'!L71,2))</f>
        <v>201</v>
      </c>
      <c r="I251" s="209">
        <f>('2017 Determination - Revenue'!H$130*ROUND(Outputs!K137,2))+('2017 Determination - Revenue'!H$130*'2017 Determination - Revenue'!H$135*ROUND(Outputs!K115,2))</f>
        <v>207</v>
      </c>
      <c r="J251" s="241">
        <f t="shared" si="62"/>
        <v>2.9850746268656803E-2</v>
      </c>
      <c r="K251" s="228"/>
      <c r="L251" s="257"/>
      <c r="M251" s="210"/>
      <c r="N251" s="210"/>
      <c r="O251" s="38"/>
      <c r="P251" s="38"/>
      <c r="Q251" s="38"/>
      <c r="R251" s="38"/>
    </row>
    <row r="252" spans="2:19">
      <c r="B252" s="229"/>
      <c r="C252" s="210"/>
      <c r="D252" s="210"/>
      <c r="E252" s="210"/>
      <c r="F252" s="209"/>
      <c r="G252" s="209"/>
      <c r="H252" s="209"/>
      <c r="I252" s="208"/>
      <c r="J252" s="241"/>
      <c r="K252" s="228"/>
      <c r="L252" s="257"/>
      <c r="M252" s="210"/>
      <c r="N252" s="210"/>
      <c r="O252" s="38"/>
      <c r="P252" s="38"/>
      <c r="Q252" s="38"/>
      <c r="R252" s="38"/>
    </row>
    <row r="253" spans="2:19">
      <c r="B253" s="262" t="str">
        <f>'2017 Determination - Revenue'!B$131</f>
        <v>Medium consumption customers</v>
      </c>
      <c r="C253" s="213" t="str">
        <f>"Entitlement = "&amp;'2017 Determination - Revenue'!G$131&amp;" kL pa, Usage = "&amp;'2017 Determination - Revenue'!G$136*'2017 Determination - Revenue'!G$131&amp;" kL pa"</f>
        <v>Entitlement = 500 kL pa, Usage = 500 kL pa</v>
      </c>
      <c r="D253" s="210"/>
      <c r="E253" s="210"/>
      <c r="F253" s="210"/>
      <c r="G253" s="210"/>
      <c r="H253" s="210"/>
      <c r="I253" s="210"/>
      <c r="J253" s="241"/>
      <c r="K253" s="228"/>
      <c r="L253" s="257"/>
      <c r="M253" s="210"/>
      <c r="N253" s="210"/>
      <c r="O253" s="38"/>
      <c r="P253" s="38"/>
      <c r="Q253" s="38"/>
      <c r="R253" s="38"/>
    </row>
    <row r="254" spans="2:19">
      <c r="B254" s="229" t="str">
        <f>'2017 Determination - Revenue'!B$33</f>
        <v>Border</v>
      </c>
      <c r="C254" s="210" t="str">
        <f>C$171</f>
        <v>$</v>
      </c>
      <c r="D254" s="210"/>
      <c r="E254" s="210"/>
      <c r="F254" s="239"/>
      <c r="G254" s="209"/>
      <c r="H254" s="209">
        <f>('2017 Determination - Revenue'!H$131*ROUND('2017 Determination - charges'!L79,2))+('2017 Determination - Revenue'!H$131*'2017 Determination - Revenue'!H$136*ROUND('2017 Determination - charges'!L69,2))</f>
        <v>2850</v>
      </c>
      <c r="I254" s="210">
        <f>('2017 Determination - Revenue'!H$131*ROUND(Outputs!K130,2))+('2017 Determination - Revenue'!H$131*'2017 Determination - Revenue'!H$136*ROUND(Outputs!K108,2))</f>
        <v>2795</v>
      </c>
      <c r="J254" s="241">
        <f t="shared" ref="J254:J256" si="63">IFERROR(I254/H254-1,"N/A")</f>
        <v>-1.9298245614035037E-2</v>
      </c>
      <c r="K254" s="228"/>
      <c r="L254" s="257"/>
      <c r="M254" s="210"/>
      <c r="N254" s="210"/>
      <c r="O254" s="38"/>
      <c r="P254" s="38"/>
      <c r="Q254" s="38"/>
      <c r="R254" s="38"/>
    </row>
    <row r="255" spans="2:19">
      <c r="B255" s="229" t="str">
        <f>'2017 Determination - Revenue'!B$39</f>
        <v>Murray</v>
      </c>
      <c r="C255" s="210" t="str">
        <f>C$171</f>
        <v>$</v>
      </c>
      <c r="D255" s="210"/>
      <c r="E255" s="210"/>
      <c r="F255" s="239"/>
      <c r="G255" s="209"/>
      <c r="H255" s="209">
        <f>('2017 Determination - Revenue'!H$131*ROUND('2017 Determination - charges'!L80,2))+('2017 Determination - Revenue'!H$131*'2017 Determination - Revenue'!H$136*ROUND('2017 Determination - charges'!L70,2))</f>
        <v>4620</v>
      </c>
      <c r="I255" s="210">
        <f>('2017 Determination - Revenue'!H$131*ROUND(Outputs!K136,2))+('2017 Determination - Revenue'!H$131*'2017 Determination - Revenue'!H$136*ROUND(Outputs!K114,2))</f>
        <v>4735</v>
      </c>
      <c r="J255" s="241">
        <f t="shared" si="63"/>
        <v>2.4891774891774965E-2</v>
      </c>
      <c r="K255" s="228"/>
      <c r="L255" s="257"/>
      <c r="M255" s="210"/>
      <c r="N255" s="210"/>
      <c r="O255" s="38"/>
      <c r="P255" s="38"/>
      <c r="Q255" s="38"/>
      <c r="R255" s="38"/>
    </row>
    <row r="256" spans="2:19">
      <c r="B256" s="229" t="str">
        <f>'2017 Determination - Revenue'!B$40</f>
        <v>Murrumbidgee</v>
      </c>
      <c r="C256" s="210" t="str">
        <f>C$171</f>
        <v>$</v>
      </c>
      <c r="D256" s="210"/>
      <c r="E256" s="210"/>
      <c r="F256" s="239"/>
      <c r="G256" s="209"/>
      <c r="H256" s="209">
        <f>('2017 Determination - Revenue'!H$131*ROUND('2017 Determination - charges'!L81,2))+('2017 Determination - Revenue'!H$131*'2017 Determination - Revenue'!H$136*ROUND('2017 Determination - charges'!L71,2))</f>
        <v>1005</v>
      </c>
      <c r="I256" s="210">
        <f>('2017 Determination - Revenue'!H$131*ROUND(Outputs!K137,2))+('2017 Determination - Revenue'!H$131*'2017 Determination - Revenue'!H$136*ROUND(Outputs!K115,2))</f>
        <v>1035</v>
      </c>
      <c r="J256" s="241">
        <f t="shared" si="63"/>
        <v>2.9850746268656803E-2</v>
      </c>
      <c r="K256" s="228"/>
      <c r="L256" s="257"/>
      <c r="M256" s="210"/>
      <c r="N256" s="210"/>
      <c r="O256" s="38"/>
      <c r="P256" s="38"/>
      <c r="Q256" s="38"/>
      <c r="R256" s="38"/>
    </row>
    <row r="257" spans="2:23">
      <c r="B257" s="229"/>
      <c r="C257" s="210"/>
      <c r="D257" s="210"/>
      <c r="E257" s="210"/>
      <c r="F257" s="210"/>
      <c r="G257" s="210"/>
      <c r="H257" s="210"/>
      <c r="I257" s="210"/>
      <c r="J257" s="241"/>
      <c r="K257" s="228"/>
      <c r="L257" s="257"/>
      <c r="M257" s="210"/>
      <c r="N257" s="210"/>
      <c r="O257" s="38"/>
      <c r="P257" s="38"/>
      <c r="Q257" s="38"/>
      <c r="R257" s="50"/>
      <c r="T257" s="54"/>
      <c r="U257" s="54"/>
      <c r="V257" s="54"/>
      <c r="W257" s="54"/>
    </row>
    <row r="258" spans="2:23">
      <c r="B258" s="262" t="str">
        <f>'2017 Determination - Revenue'!B$132</f>
        <v>Large consumption customers</v>
      </c>
      <c r="C258" s="213" t="str">
        <f>"Entitlement = "&amp;'2017 Determination - Revenue'!G$132&amp;" kL pa, Usage = "&amp;'2017 Determination - Revenue'!G$137*'2017 Determination - Revenue'!G$132&amp;" kL pa"</f>
        <v>Entitlement = 1000 kL pa, Usage = 1000 kL pa</v>
      </c>
      <c r="D258" s="210"/>
      <c r="E258" s="210"/>
      <c r="F258" s="210"/>
      <c r="G258" s="210"/>
      <c r="H258" s="210"/>
      <c r="I258" s="210"/>
      <c r="J258" s="241"/>
      <c r="K258" s="228"/>
      <c r="L258" s="257"/>
      <c r="M258" s="210"/>
      <c r="N258" s="210"/>
      <c r="O258" s="38"/>
      <c r="P258" s="38"/>
      <c r="Q258" s="38"/>
      <c r="R258" s="50"/>
      <c r="T258" s="54"/>
      <c r="U258" s="54"/>
      <c r="V258" s="54"/>
      <c r="W258" s="54"/>
    </row>
    <row r="259" spans="2:23">
      <c r="B259" s="229" t="str">
        <f>'2017 Determination - Revenue'!B$33</f>
        <v>Border</v>
      </c>
      <c r="C259" s="210" t="str">
        <f>C$171</f>
        <v>$</v>
      </c>
      <c r="D259" s="210"/>
      <c r="E259" s="210"/>
      <c r="F259" s="239"/>
      <c r="G259" s="209"/>
      <c r="H259" s="209">
        <f>('2017 Determination - Revenue'!H$132*ROUND('2017 Determination - charges'!L79,2))+('2017 Determination - Revenue'!H$132*'2017 Determination - Revenue'!H$137*ROUND('2017 Determination - charges'!L69,2))</f>
        <v>5700</v>
      </c>
      <c r="I259" s="210">
        <f>('2017 Determination - Revenue'!H$132*ROUND(Outputs!K130,2))+('2017 Determination - Revenue'!H$132*'2017 Determination - Revenue'!H$136*ROUND(Outputs!K108,2))</f>
        <v>5590</v>
      </c>
      <c r="J259" s="241">
        <f t="shared" ref="J259:J261" si="64">IFERROR(I259/H259-1,"N/A")</f>
        <v>-1.9298245614035037E-2</v>
      </c>
      <c r="K259" s="228"/>
      <c r="L259" s="257"/>
      <c r="M259" s="210"/>
      <c r="N259" s="210"/>
      <c r="O259" s="38"/>
      <c r="P259" s="38"/>
      <c r="Q259" s="38"/>
      <c r="R259" s="50"/>
      <c r="T259" s="54"/>
      <c r="U259" s="54"/>
      <c r="V259" s="54"/>
      <c r="W259" s="54"/>
    </row>
    <row r="260" spans="2:23">
      <c r="B260" s="229" t="str">
        <f>'2017 Determination - Revenue'!B$39</f>
        <v>Murray</v>
      </c>
      <c r="C260" s="210" t="str">
        <f>C$171</f>
        <v>$</v>
      </c>
      <c r="D260" s="210"/>
      <c r="E260" s="210"/>
      <c r="F260" s="239"/>
      <c r="G260" s="209"/>
      <c r="H260" s="209">
        <f>('2017 Determination - Revenue'!H$132*ROUND('2017 Determination - charges'!L80,2))+('2017 Determination - Revenue'!H$132*'2017 Determination - Revenue'!H$137*ROUND('2017 Determination - charges'!L70,2))</f>
        <v>9240</v>
      </c>
      <c r="I260" s="210">
        <f>('2017 Determination - Revenue'!H$132*ROUND(Outputs!K136,2))+('2017 Determination - Revenue'!H$132*'2017 Determination - Revenue'!H$136*ROUND(Outputs!K114,2))</f>
        <v>9470</v>
      </c>
      <c r="J260" s="241">
        <f t="shared" si="64"/>
        <v>2.4891774891774965E-2</v>
      </c>
      <c r="K260" s="228"/>
      <c r="L260" s="257"/>
      <c r="M260" s="210"/>
      <c r="N260" s="210"/>
      <c r="O260" s="38"/>
      <c r="P260" s="38"/>
      <c r="Q260" s="38"/>
      <c r="R260" s="50"/>
      <c r="T260" s="54"/>
      <c r="U260" s="54"/>
      <c r="V260" s="54"/>
      <c r="W260" s="54"/>
    </row>
    <row r="261" spans="2:23">
      <c r="B261" s="229" t="str">
        <f>'2017 Determination - Revenue'!B$40</f>
        <v>Murrumbidgee</v>
      </c>
      <c r="C261" s="210" t="str">
        <f>C$171</f>
        <v>$</v>
      </c>
      <c r="D261" s="210"/>
      <c r="E261" s="210"/>
      <c r="F261" s="239"/>
      <c r="G261" s="209"/>
      <c r="H261" s="209">
        <f>('2017 Determination - Revenue'!H$132*ROUND('2017 Determination - charges'!L81,2))+('2017 Determination - Revenue'!H$132*'2017 Determination - Revenue'!H$137*ROUND('2017 Determination - charges'!L71,2))</f>
        <v>2010</v>
      </c>
      <c r="I261" s="210">
        <f>('2017 Determination - Revenue'!H$132*ROUND(Outputs!K137,2))+('2017 Determination - Revenue'!H$132*'2017 Determination - Revenue'!H$136*ROUND(Outputs!K115,2))</f>
        <v>2070</v>
      </c>
      <c r="J261" s="241">
        <f t="shared" si="64"/>
        <v>2.9850746268656803E-2</v>
      </c>
      <c r="K261" s="228"/>
      <c r="L261" s="257"/>
      <c r="M261" s="210"/>
      <c r="N261" s="210"/>
      <c r="O261" s="38"/>
      <c r="P261" s="38"/>
      <c r="Q261" s="38"/>
      <c r="R261" s="50"/>
      <c r="T261" s="54"/>
      <c r="U261" s="54"/>
      <c r="V261" s="54"/>
      <c r="W261" s="54"/>
    </row>
    <row r="262" spans="2:23">
      <c r="B262" s="229"/>
      <c r="C262" s="210"/>
      <c r="D262" s="210"/>
      <c r="E262" s="210"/>
      <c r="F262" s="209"/>
      <c r="G262" s="209"/>
      <c r="H262" s="209"/>
      <c r="I262" s="210"/>
      <c r="J262" s="241"/>
      <c r="K262" s="228"/>
      <c r="L262" s="257"/>
      <c r="M262" s="210"/>
      <c r="N262" s="210"/>
      <c r="O262" s="38"/>
      <c r="P262" s="38"/>
      <c r="Q262" s="38"/>
      <c r="R262" s="50"/>
      <c r="T262" s="54"/>
      <c r="U262" s="54"/>
      <c r="V262" s="54"/>
      <c r="W262" s="54"/>
    </row>
    <row r="263" spans="2:23">
      <c r="B263" s="262" t="s">
        <v>79</v>
      </c>
      <c r="C263" s="210"/>
      <c r="D263" s="210"/>
      <c r="E263" s="210"/>
      <c r="F263" s="209"/>
      <c r="G263" s="209"/>
      <c r="H263" s="209"/>
      <c r="I263" s="210"/>
      <c r="J263" s="241"/>
      <c r="K263" s="228"/>
      <c r="L263" s="257"/>
      <c r="M263" s="210"/>
      <c r="N263" s="210"/>
      <c r="O263" s="38"/>
      <c r="P263" s="38"/>
      <c r="Q263" s="197"/>
      <c r="R263" s="50"/>
      <c r="T263" s="54"/>
      <c r="U263" s="54"/>
      <c r="V263" s="54"/>
      <c r="W263" s="54"/>
    </row>
    <row r="264" spans="2:23">
      <c r="B264" s="262" t="str">
        <f>'2017 Determination - Revenue'!B$130</f>
        <v>Small consumption customers</v>
      </c>
      <c r="C264" s="213" t="str">
        <f>"Entitlement = "&amp;'2017 Determination - Revenue'!G$140&amp;" kL pa, Usage = "&amp;'2017 Determination - Revenue'!G$145*'2017 Determination - Revenue'!G$140&amp;" kL pa"</f>
        <v>Entitlement = 100 kL pa, Usage = 60 kL pa</v>
      </c>
      <c r="D264" s="210"/>
      <c r="E264" s="210"/>
      <c r="F264" s="209"/>
      <c r="G264" s="209"/>
      <c r="H264" s="209"/>
      <c r="I264" s="210"/>
      <c r="J264" s="241"/>
      <c r="K264" s="228"/>
      <c r="L264" s="257"/>
      <c r="M264" s="210"/>
      <c r="N264" s="210"/>
      <c r="O264" s="38"/>
      <c r="P264" s="38"/>
      <c r="Q264" s="197"/>
      <c r="R264" s="38"/>
    </row>
    <row r="265" spans="2:23">
      <c r="B265" s="229" t="str">
        <f>'2017 Determination - Revenue'!B$33</f>
        <v>Border</v>
      </c>
      <c r="C265" s="210" t="str">
        <f>C$171</f>
        <v>$</v>
      </c>
      <c r="D265" s="210"/>
      <c r="E265" s="210"/>
      <c r="F265" s="239"/>
      <c r="G265" s="209"/>
      <c r="H265" s="209">
        <f>('2017 Determination - Revenue'!H$140*ROUND('2017 Determination - charges'!L74,2))+('2017 Determination - Revenue'!H$140*'2017 Determination - Revenue'!H$145*ROUND('2017 Determination - charges'!L69,2))</f>
        <v>230.8</v>
      </c>
      <c r="I265" s="209">
        <f>('2017 Determination - Revenue'!H$140*ROUND(Outputs!K119,2))+('2017 Determination - Revenue'!H$140*'2017 Determination - Revenue'!H$145*ROUND(Outputs!K108,2))</f>
        <v>230.8</v>
      </c>
      <c r="J265" s="241">
        <f t="shared" ref="J265:J272" si="65">IFERROR(I265/H265-1,"N/A")</f>
        <v>0</v>
      </c>
      <c r="K265" s="228"/>
      <c r="L265" s="257"/>
      <c r="M265" s="210"/>
      <c r="N265" s="210"/>
      <c r="O265" s="38"/>
      <c r="P265" s="38"/>
      <c r="Q265" s="38"/>
      <c r="R265" s="38"/>
    </row>
    <row r="266" spans="2:23">
      <c r="B266" s="229" t="str">
        <f>'2017 Determination - Revenue'!B$39</f>
        <v>Murray</v>
      </c>
      <c r="C266" s="210" t="str">
        <f>C$171</f>
        <v>$</v>
      </c>
      <c r="D266" s="210"/>
      <c r="E266" s="210"/>
      <c r="F266" s="239"/>
      <c r="G266" s="209"/>
      <c r="H266" s="209">
        <f>('2017 Determination - Revenue'!H$140*ROUND('2017 Determination - charges'!L75,2))+('2017 Determination - Revenue'!H$140*'2017 Determination - Revenue'!H$145*ROUND('2017 Determination - charges'!L70,2))</f>
        <v>469.8</v>
      </c>
      <c r="I266" s="209">
        <f>('2017 Determination - Revenue'!H$140*ROUND(Outputs!K125,2))+('2017 Determination - Revenue'!H$140*'2017 Determination - Revenue'!H$145*ROUND(Outputs!K114,2))</f>
        <v>471.4</v>
      </c>
      <c r="J266" s="241">
        <f t="shared" si="65"/>
        <v>3.4057045551296738E-3</v>
      </c>
      <c r="K266" s="228"/>
      <c r="L266" s="257"/>
      <c r="M266" s="210"/>
      <c r="N266" s="210"/>
      <c r="O266" s="38"/>
      <c r="P266" s="38"/>
      <c r="Q266" s="38"/>
      <c r="R266" s="38"/>
    </row>
    <row r="267" spans="2:23">
      <c r="B267" s="229" t="str">
        <f>'2017 Determination - Revenue'!B$40</f>
        <v>Murrumbidgee</v>
      </c>
      <c r="C267" s="210" t="str">
        <f>C$171</f>
        <v>$</v>
      </c>
      <c r="D267" s="210"/>
      <c r="E267" s="210"/>
      <c r="F267" s="239"/>
      <c r="G267" s="209"/>
      <c r="H267" s="209">
        <f>('2017 Determination - Revenue'!H$140*ROUND('2017 Determination - charges'!L76,2))+('2017 Determination - Revenue'!H$140*'2017 Determination - Revenue'!H$145*ROUND('2017 Determination - charges'!L71,2))</f>
        <v>83.2</v>
      </c>
      <c r="I267" s="209">
        <f>('2017 Determination - Revenue'!H$140*ROUND(Outputs!K126,2))+('2017 Determination - Revenue'!H$140*'2017 Determination - Revenue'!H$145*ROUND(Outputs!K115,2))</f>
        <v>83.4</v>
      </c>
      <c r="J267" s="241">
        <f t="shared" si="65"/>
        <v>2.4038461538462563E-3</v>
      </c>
      <c r="K267" s="228"/>
      <c r="L267" s="257"/>
      <c r="M267" s="210"/>
      <c r="N267" s="210"/>
      <c r="O267" s="38"/>
      <c r="P267" s="38"/>
      <c r="Q267" s="38"/>
      <c r="R267" s="38"/>
    </row>
    <row r="268" spans="2:23">
      <c r="B268" s="229"/>
      <c r="C268" s="210"/>
      <c r="D268" s="210"/>
      <c r="E268" s="210"/>
      <c r="F268" s="209"/>
      <c r="G268" s="209"/>
      <c r="H268" s="209"/>
      <c r="I268" s="209"/>
      <c r="J268" s="241"/>
      <c r="K268" s="228"/>
      <c r="L268" s="257"/>
      <c r="M268" s="210"/>
      <c r="N268" s="210"/>
      <c r="O268" s="38"/>
      <c r="P268" s="38"/>
      <c r="Q268" s="38"/>
      <c r="R268" s="38"/>
    </row>
    <row r="269" spans="2:23">
      <c r="B269" s="262" t="str">
        <f>'2017 Determination - Revenue'!B$131</f>
        <v>Medium consumption customers</v>
      </c>
      <c r="C269" s="213" t="str">
        <f>"Entitlement = "&amp;'2017 Determination - Revenue'!G$141&amp;" kL pa, Usage = "&amp;'2017 Determination - Revenue'!G$146*'2017 Determination - Revenue'!G$141&amp;" kL pa"</f>
        <v>Entitlement = 500 kL pa, Usage = 300 kL pa</v>
      </c>
      <c r="D269" s="210"/>
      <c r="E269" s="210"/>
      <c r="F269" s="209"/>
      <c r="G269" s="209"/>
      <c r="H269" s="209"/>
      <c r="I269" s="209"/>
      <c r="J269" s="241"/>
      <c r="K269" s="228"/>
      <c r="L269" s="257"/>
      <c r="M269" s="210"/>
      <c r="N269" s="210"/>
      <c r="O269" s="38"/>
      <c r="P269" s="38"/>
      <c r="Q269" s="38"/>
      <c r="R269" s="38"/>
    </row>
    <row r="270" spans="2:23">
      <c r="B270" s="229" t="str">
        <f>'2017 Determination - Revenue'!B$33</f>
        <v>Border</v>
      </c>
      <c r="C270" s="210" t="str">
        <f>C$171</f>
        <v>$</v>
      </c>
      <c r="D270" s="210"/>
      <c r="E270" s="210"/>
      <c r="F270" s="239"/>
      <c r="G270" s="209"/>
      <c r="H270" s="209">
        <f>('2017 Determination - Revenue'!H$141*ROUND('2017 Determination - charges'!L74,2))+('2017 Determination - Revenue'!H$141*'2017 Determination - Revenue'!H$146*ROUND('2017 Determination - charges'!L69,2))</f>
        <v>1154</v>
      </c>
      <c r="I270" s="209">
        <f>('2017 Determination - Revenue'!H$141*ROUND(Outputs!K119,2))+('2017 Determination - Revenue'!H$141*'2017 Determination - Revenue'!H$146*ROUND(Outputs!K108,2))</f>
        <v>1154</v>
      </c>
      <c r="J270" s="241">
        <f t="shared" si="65"/>
        <v>0</v>
      </c>
      <c r="K270" s="228"/>
      <c r="L270" s="257"/>
      <c r="M270" s="210"/>
      <c r="N270" s="210"/>
      <c r="O270" s="38"/>
      <c r="P270" s="38"/>
      <c r="Q270" s="38"/>
      <c r="R270" s="38"/>
    </row>
    <row r="271" spans="2:23">
      <c r="B271" s="229" t="str">
        <f>'2017 Determination - Revenue'!B$39</f>
        <v>Murray</v>
      </c>
      <c r="C271" s="210" t="str">
        <f>C$171</f>
        <v>$</v>
      </c>
      <c r="D271" s="210"/>
      <c r="E271" s="210"/>
      <c r="F271" s="239"/>
      <c r="G271" s="209"/>
      <c r="H271" s="209">
        <f>('2017 Determination - Revenue'!H$141*ROUND('2017 Determination - charges'!L75,2))+('2017 Determination - Revenue'!H$141*'2017 Determination - Revenue'!H$146*ROUND('2017 Determination - charges'!L70,2))</f>
        <v>2349</v>
      </c>
      <c r="I271" s="209">
        <f>('2017 Determination - Revenue'!H$141*ROUND(Outputs!K125,2))+('2017 Determination - Revenue'!H$141*'2017 Determination - Revenue'!H$146*ROUND(Outputs!K114,2))</f>
        <v>2357</v>
      </c>
      <c r="J271" s="241">
        <f t="shared" si="65"/>
        <v>3.4057045551298959E-3</v>
      </c>
      <c r="K271" s="228"/>
      <c r="L271" s="257"/>
      <c r="M271" s="210"/>
      <c r="N271" s="210"/>
      <c r="O271" s="38"/>
      <c r="P271" s="38"/>
      <c r="Q271" s="38"/>
      <c r="R271" s="38"/>
    </row>
    <row r="272" spans="2:23">
      <c r="B272" s="229" t="str">
        <f>'2017 Determination - Revenue'!B$40</f>
        <v>Murrumbidgee</v>
      </c>
      <c r="C272" s="210" t="str">
        <f>C$171</f>
        <v>$</v>
      </c>
      <c r="D272" s="210"/>
      <c r="E272" s="210"/>
      <c r="F272" s="239"/>
      <c r="G272" s="209"/>
      <c r="H272" s="209">
        <f>('2017 Determination - Revenue'!H$141*ROUND('2017 Determination - charges'!L76,2))+('2017 Determination - Revenue'!H$141*'2017 Determination - Revenue'!H$146*ROUND('2017 Determination - charges'!L71,2))</f>
        <v>416</v>
      </c>
      <c r="I272" s="209">
        <f>('2017 Determination - Revenue'!H$141*ROUND(Outputs!K126,2))+('2017 Determination - Revenue'!H$141*'2017 Determination - Revenue'!H$146*ROUND(Outputs!K115,2))</f>
        <v>417</v>
      </c>
      <c r="J272" s="241">
        <f t="shared" si="65"/>
        <v>2.4038461538462563E-3</v>
      </c>
      <c r="K272" s="228"/>
      <c r="L272" s="257"/>
      <c r="M272" s="210"/>
      <c r="N272" s="210"/>
      <c r="O272" s="38"/>
      <c r="P272" s="38"/>
      <c r="Q272" s="38"/>
      <c r="R272" s="38"/>
    </row>
    <row r="273" spans="2:19">
      <c r="B273" s="229"/>
      <c r="C273" s="210"/>
      <c r="D273" s="210"/>
      <c r="E273" s="210"/>
      <c r="F273" s="209"/>
      <c r="G273" s="209"/>
      <c r="H273" s="209"/>
      <c r="I273" s="209"/>
      <c r="J273" s="241"/>
      <c r="K273" s="228"/>
      <c r="L273" s="257"/>
      <c r="M273" s="210"/>
      <c r="N273" s="210"/>
      <c r="O273" s="38"/>
      <c r="P273" s="38"/>
      <c r="Q273" s="38"/>
      <c r="R273" s="38"/>
    </row>
    <row r="274" spans="2:19">
      <c r="B274" s="262" t="str">
        <f>'2017 Determination - Revenue'!B$132</f>
        <v>Large consumption customers</v>
      </c>
      <c r="C274" s="213" t="str">
        <f>"Entitlement = "&amp;'2017 Determination - Revenue'!G$142&amp;" kL pa, Usage = "&amp;'2017 Determination - Revenue'!G$147*'2017 Determination - Revenue'!G$142&amp;" kL pa"</f>
        <v>Entitlement = 1000 kL pa, Usage = 600 kL pa</v>
      </c>
      <c r="D274" s="210"/>
      <c r="E274" s="210"/>
      <c r="F274" s="209"/>
      <c r="G274" s="209"/>
      <c r="H274" s="209"/>
      <c r="I274" s="209"/>
      <c r="J274" s="241"/>
      <c r="K274" s="228"/>
      <c r="L274" s="257"/>
      <c r="M274" s="210"/>
      <c r="N274" s="210"/>
      <c r="O274" s="38"/>
      <c r="P274" s="38"/>
      <c r="Q274" s="38"/>
      <c r="R274" s="38"/>
    </row>
    <row r="275" spans="2:19">
      <c r="B275" s="229" t="str">
        <f>'2017 Determination - Revenue'!B$33</f>
        <v>Border</v>
      </c>
      <c r="C275" s="210" t="str">
        <f>C$171</f>
        <v>$</v>
      </c>
      <c r="D275" s="210"/>
      <c r="E275" s="210"/>
      <c r="F275" s="239"/>
      <c r="G275" s="209"/>
      <c r="H275" s="209">
        <f>('2017 Determination - Revenue'!H$142*ROUND('2017 Determination - charges'!L74,2))+('2017 Determination - Revenue'!H$142*'2017 Determination - Revenue'!H$147*ROUND('2017 Determination - charges'!L69,2))</f>
        <v>2308</v>
      </c>
      <c r="I275" s="209">
        <f>('2017 Determination - Revenue'!H$142*ROUND(Outputs!K119,2))+('2017 Determination - Revenue'!H$142*'2017 Determination - Revenue'!H$147*ROUND(Outputs!K108,2))</f>
        <v>2308</v>
      </c>
      <c r="J275" s="241">
        <f t="shared" ref="J275:J277" si="66">IFERROR(I275/H275-1,"N/A")</f>
        <v>0</v>
      </c>
      <c r="K275" s="228"/>
      <c r="L275" s="257"/>
      <c r="M275" s="210"/>
      <c r="N275" s="210"/>
      <c r="O275" s="38"/>
      <c r="P275" s="38"/>
      <c r="Q275" s="38"/>
      <c r="R275" s="38"/>
    </row>
    <row r="276" spans="2:19">
      <c r="B276" s="229" t="str">
        <f>'2017 Determination - Revenue'!B$39</f>
        <v>Murray</v>
      </c>
      <c r="C276" s="210" t="str">
        <f>C$171</f>
        <v>$</v>
      </c>
      <c r="D276" s="210"/>
      <c r="E276" s="210"/>
      <c r="F276" s="239"/>
      <c r="G276" s="209"/>
      <c r="H276" s="209">
        <f>('2017 Determination - Revenue'!H$142*ROUND('2017 Determination - charges'!L75,2))+('2017 Determination - Revenue'!H$142*'2017 Determination - Revenue'!H$147*ROUND('2017 Determination - charges'!L70,2))</f>
        <v>4698</v>
      </c>
      <c r="I276" s="209">
        <f>('2017 Determination - Revenue'!H$142*ROUND(Outputs!K125,2))+('2017 Determination - Revenue'!H$142*'2017 Determination - Revenue'!H$147*ROUND(Outputs!K114,2))</f>
        <v>4714</v>
      </c>
      <c r="J276" s="241">
        <f t="shared" si="66"/>
        <v>3.4057045551298959E-3</v>
      </c>
      <c r="K276" s="228"/>
      <c r="L276" s="257"/>
      <c r="M276" s="210"/>
      <c r="N276" s="210"/>
      <c r="O276" s="38"/>
      <c r="P276" s="38"/>
      <c r="Q276" s="38"/>
      <c r="R276" s="38"/>
    </row>
    <row r="277" spans="2:19">
      <c r="B277" s="229" t="str">
        <f>'2017 Determination - Revenue'!B$40</f>
        <v>Murrumbidgee</v>
      </c>
      <c r="C277" s="210" t="str">
        <f>C$171</f>
        <v>$</v>
      </c>
      <c r="D277" s="210"/>
      <c r="E277" s="210"/>
      <c r="F277" s="239"/>
      <c r="G277" s="209"/>
      <c r="H277" s="209">
        <f>('2017 Determination - Revenue'!H$142*ROUND('2017 Determination - charges'!L76,2))+('2017 Determination - Revenue'!H$142*'2017 Determination - Revenue'!H$147*ROUND('2017 Determination - charges'!L71,2))</f>
        <v>832</v>
      </c>
      <c r="I277" s="209">
        <f>('2017 Determination - Revenue'!H$142*ROUND(Outputs!K126,2))+('2017 Determination - Revenue'!H$142*'2017 Determination - Revenue'!H$147*ROUND(Outputs!K115,2))</f>
        <v>834</v>
      </c>
      <c r="J277" s="241">
        <f t="shared" si="66"/>
        <v>2.4038461538462563E-3</v>
      </c>
      <c r="K277" s="228"/>
      <c r="L277" s="257"/>
      <c r="M277" s="210"/>
      <c r="N277" s="210"/>
      <c r="O277" s="38"/>
      <c r="P277" s="38"/>
      <c r="Q277" s="38"/>
      <c r="R277" s="38"/>
    </row>
    <row r="278" spans="2:19">
      <c r="B278" s="267"/>
      <c r="C278" s="56"/>
      <c r="D278" s="56"/>
      <c r="E278" s="56"/>
      <c r="F278" s="56"/>
      <c r="G278" s="56"/>
      <c r="H278" s="56"/>
      <c r="I278" s="56"/>
      <c r="J278" s="178"/>
      <c r="K278" s="56"/>
      <c r="L278" s="258"/>
      <c r="M278" s="210"/>
      <c r="N278" s="210"/>
      <c r="O278" s="38"/>
      <c r="P278" s="38"/>
      <c r="Q278" s="38"/>
      <c r="R278" s="38"/>
    </row>
    <row r="279" spans="2:19">
      <c r="B279" s="213"/>
      <c r="C279" s="213"/>
      <c r="D279" s="213"/>
      <c r="E279" s="213"/>
      <c r="F279" s="213"/>
      <c r="G279" s="213"/>
      <c r="H279" s="213"/>
      <c r="I279" s="213"/>
      <c r="J279" s="248"/>
      <c r="K279" s="213"/>
      <c r="L279" s="213"/>
      <c r="M279" s="213"/>
      <c r="N279" s="213"/>
    </row>
    <row r="280" spans="2:19" s="110" customFormat="1">
      <c r="B280" s="213"/>
      <c r="C280" s="213"/>
      <c r="D280" s="213"/>
      <c r="E280" s="213"/>
      <c r="F280" s="213"/>
      <c r="G280" s="213"/>
      <c r="H280" s="213"/>
      <c r="I280" s="213"/>
      <c r="J280" s="248"/>
      <c r="K280" s="213"/>
      <c r="L280" s="213"/>
      <c r="M280" s="213"/>
      <c r="N280" s="213"/>
      <c r="S280" s="213"/>
    </row>
    <row r="281" spans="2:19" s="110" customFormat="1">
      <c r="B281" s="268" t="s">
        <v>134</v>
      </c>
      <c r="C281" s="213"/>
      <c r="D281" s="213"/>
      <c r="E281" s="213"/>
      <c r="F281" s="213"/>
      <c r="G281" s="213"/>
      <c r="H281" s="213"/>
      <c r="I281" s="213"/>
      <c r="J281" s="213"/>
      <c r="K281" s="213"/>
      <c r="L281" s="213"/>
      <c r="M281" s="213"/>
      <c r="N281" s="213"/>
      <c r="S281" s="213"/>
    </row>
    <row r="282" spans="2:19" s="110" customFormat="1">
      <c r="B282" s="260" t="str">
        <f>'2017 Determination - Revenue'!B$16</f>
        <v>Financial year</v>
      </c>
      <c r="C282" s="261" t="str">
        <f>'2017 Determination - Revenue'!C$28</f>
        <v>Units</v>
      </c>
      <c r="D282" s="261"/>
      <c r="E282" s="261"/>
      <c r="F282" s="230"/>
      <c r="G282" s="230"/>
      <c r="H282" s="230" t="s">
        <v>215</v>
      </c>
      <c r="I282" s="230" t="s">
        <v>215</v>
      </c>
      <c r="J282" s="230"/>
      <c r="K282" s="214"/>
      <c r="L282" s="259"/>
      <c r="M282" s="210"/>
      <c r="N282" s="210"/>
      <c r="O282" s="38"/>
      <c r="P282" s="38"/>
      <c r="Q282" s="38"/>
      <c r="R282" s="38"/>
      <c r="S282" s="213"/>
    </row>
    <row r="283" spans="2:19" s="110" customFormat="1">
      <c r="B283" s="229"/>
      <c r="C283" s="210"/>
      <c r="D283" s="210"/>
      <c r="E283" s="210"/>
      <c r="F283" s="234"/>
      <c r="G283" s="234"/>
      <c r="H283" s="234" t="str">
        <f>H$168</f>
        <v>Bill using the 2017 determination charges for 2019-20</v>
      </c>
      <c r="I283" s="234" t="str">
        <f>I$168</f>
        <v>Bill using the re-calculated charges for 2019-20</v>
      </c>
      <c r="J283" s="234" t="str">
        <f>J$168</f>
        <v xml:space="preserve">Difference between </v>
      </c>
      <c r="K283" s="278"/>
      <c r="L283" s="257"/>
      <c r="M283" s="210"/>
      <c r="N283" s="210"/>
      <c r="O283" s="38"/>
      <c r="P283" s="38"/>
      <c r="Q283" s="38"/>
      <c r="R283" s="38"/>
      <c r="S283" s="213"/>
    </row>
    <row r="284" spans="2:19" s="110" customFormat="1" ht="12">
      <c r="B284" s="279"/>
      <c r="C284" s="210"/>
      <c r="D284" s="210"/>
      <c r="E284" s="210"/>
      <c r="F284" s="235"/>
      <c r="G284" s="235"/>
      <c r="H284" s="235" t="s">
        <v>214</v>
      </c>
      <c r="I284" s="235" t="s">
        <v>214</v>
      </c>
      <c r="J284" s="132" t="str">
        <f>$L$25</f>
        <v>%</v>
      </c>
      <c r="K284" s="280"/>
      <c r="L284" s="257"/>
      <c r="M284" s="210"/>
      <c r="N284" s="210"/>
      <c r="O284" s="38"/>
      <c r="P284" s="38"/>
      <c r="Q284" s="38"/>
      <c r="R284" s="38"/>
      <c r="S284" s="213"/>
    </row>
    <row r="285" spans="2:19" s="110" customFormat="1" ht="12">
      <c r="B285" s="279" t="s">
        <v>156</v>
      </c>
      <c r="C285" s="210"/>
      <c r="D285" s="210"/>
      <c r="E285" s="210"/>
      <c r="F285" s="210"/>
      <c r="G285" s="210"/>
      <c r="H285" s="210"/>
      <c r="I285" s="210"/>
      <c r="J285" s="232"/>
      <c r="K285" s="210"/>
      <c r="L285" s="257"/>
      <c r="M285" s="210"/>
      <c r="N285" s="210"/>
      <c r="O285" s="38"/>
      <c r="P285" s="38"/>
      <c r="Q285" s="38"/>
      <c r="R285" s="38"/>
      <c r="S285" s="213"/>
    </row>
    <row r="286" spans="2:19" s="110" customFormat="1">
      <c r="B286" s="229" t="s">
        <v>92</v>
      </c>
      <c r="C286" s="210" t="str">
        <f>C$171</f>
        <v>$</v>
      </c>
      <c r="D286" s="210"/>
      <c r="E286" s="210"/>
      <c r="F286" s="239"/>
      <c r="G286" s="209"/>
      <c r="H286" s="209">
        <f>(ROUND('2017 Determination - charges'!L91,2)*'Updated Volumes'!AC124)+(ROUND('2017 Determination - charges'!L96,2)*'FRWS calcs'!H25)+(ROUND('2017 Determination - charges'!L101,2)*'FRWS calcs'!H30)*1000</f>
        <v>3813.3466844444438</v>
      </c>
      <c r="I286" s="209">
        <f>(ROUND(Outputs!K148,2)*'Updated Volumes'!AC124)+(ROUND(Outputs!K153,2)*'FRWS calcs'!H25)+(ROUND(Outputs!K158,2)*'FRWS calcs'!H30)*1000</f>
        <v>3742.8995022222216</v>
      </c>
      <c r="J286" s="241">
        <f t="shared" ref="J286:J288" si="67">IFERROR(I286/H286-1,"N/A")</f>
        <v>-1.8473846741916544E-2</v>
      </c>
      <c r="K286" s="228"/>
      <c r="L286" s="257"/>
      <c r="M286" s="210"/>
      <c r="N286" s="210"/>
      <c r="O286" s="38"/>
      <c r="P286" s="38"/>
      <c r="Q286" s="38"/>
      <c r="R286" s="38"/>
      <c r="S286" s="213"/>
    </row>
    <row r="287" spans="2:19" s="110" customFormat="1">
      <c r="B287" s="229" t="s">
        <v>93</v>
      </c>
      <c r="C287" s="210" t="str">
        <f>C$171</f>
        <v>$</v>
      </c>
      <c r="D287" s="210"/>
      <c r="E287" s="210"/>
      <c r="F287" s="239"/>
      <c r="G287" s="209"/>
      <c r="H287" s="209">
        <f>((ROUND('2017 Determination - charges'!L92,2)*'Updated Volumes'!AC125)+(ROUND('2017 Determination - charges'!L97,2)*'FRWS calcs'!H26)+(ROUND('2017 Determination - charges'!L102,2)*'FRWS calcs'!H31))/'Updated Volumes'!AC$121*1000</f>
        <v>406.19637951807226</v>
      </c>
      <c r="I287" s="209">
        <f>((ROUND(Outputs!K149,2)*'Updated Volumes'!AC125)+(ROUND(Outputs!K154,2)*'FRWS calcs'!H26)+(ROUND(Outputs!K159,2)*'FRWS calcs'!H31))/'Updated Volumes'!AC$121*1000</f>
        <v>402.13374698795172</v>
      </c>
      <c r="J287" s="241">
        <f t="shared" si="67"/>
        <v>-1.0001646334072745E-2</v>
      </c>
      <c r="K287" s="228"/>
      <c r="L287" s="257"/>
      <c r="M287" s="210"/>
      <c r="N287" s="210"/>
      <c r="O287" s="38"/>
      <c r="P287" s="38"/>
      <c r="Q287" s="38"/>
      <c r="R287" s="38"/>
      <c r="S287" s="213"/>
    </row>
    <row r="288" spans="2:19" s="110" customFormat="1">
      <c r="B288" s="229" t="s">
        <v>94</v>
      </c>
      <c r="C288" s="210" t="str">
        <f>C$171</f>
        <v>$</v>
      </c>
      <c r="D288" s="210"/>
      <c r="E288" s="210"/>
      <c r="F288" s="239"/>
      <c r="G288" s="209"/>
      <c r="H288" s="209">
        <f>((ROUND('2017 Determination - charges'!L93,2)*'Updated Volumes'!AC126)+(ROUND('2017 Determination - charges'!L98,2)*'FRWS calcs'!H27)+(ROUND('2017 Determination - charges'!L103,2)*'FRWS calcs'!H32))/'Updated Volumes'!AC$120*1000</f>
        <v>608.41767543859646</v>
      </c>
      <c r="I288" s="209">
        <f>((ROUND(Outputs!K150,2)*'Updated Volumes'!AC126)+(ROUND(Outputs!K155,2)*'FRWS calcs'!H27)+(ROUND(Outputs!K160,2)*'FRWS calcs'!H32))/'Updated Volumes'!AC$120*1000</f>
        <v>657.21903508771936</v>
      </c>
      <c r="J288" s="241">
        <f t="shared" si="67"/>
        <v>8.0210292401421412E-2</v>
      </c>
      <c r="K288" s="228"/>
      <c r="L288" s="257"/>
      <c r="M288" s="210"/>
      <c r="N288" s="210"/>
      <c r="O288" s="38"/>
      <c r="P288" s="38"/>
      <c r="Q288" s="38"/>
      <c r="R288" s="38"/>
      <c r="S288" s="213"/>
    </row>
    <row r="289" spans="2:19" s="110" customFormat="1">
      <c r="B289" s="267"/>
      <c r="C289" s="56"/>
      <c r="D289" s="56"/>
      <c r="E289" s="56"/>
      <c r="F289" s="56"/>
      <c r="G289" s="56"/>
      <c r="H289" s="56"/>
      <c r="I289" s="56"/>
      <c r="J289" s="178"/>
      <c r="K289" s="56"/>
      <c r="L289" s="258"/>
      <c r="M289" s="210"/>
      <c r="N289" s="38"/>
      <c r="O289" s="38"/>
      <c r="P289" s="38"/>
      <c r="Q289" s="38"/>
      <c r="R289" s="38"/>
      <c r="S289" s="213"/>
    </row>
    <row r="290" spans="2:19" s="110" customFormat="1">
      <c r="B290" s="213"/>
      <c r="C290" s="213"/>
      <c r="D290" s="213"/>
      <c r="E290" s="213"/>
      <c r="F290" s="213"/>
      <c r="G290" s="213"/>
      <c r="H290" s="213"/>
      <c r="I290" s="213"/>
      <c r="J290" s="213"/>
      <c r="K290" s="213"/>
      <c r="L290" s="213"/>
      <c r="M290" s="213"/>
      <c r="S290" s="213"/>
    </row>
    <row r="291" spans="2:19" s="110" customFormat="1">
      <c r="B291" s="213"/>
      <c r="C291" s="213"/>
      <c r="D291" s="213"/>
      <c r="E291" s="213"/>
      <c r="F291" s="213"/>
      <c r="G291" s="213"/>
      <c r="H291" s="213"/>
      <c r="I291" s="213"/>
      <c r="J291" s="213"/>
      <c r="K291" s="213"/>
      <c r="L291" s="213"/>
      <c r="M291" s="213"/>
      <c r="S291" s="213"/>
    </row>
    <row r="292" spans="2:19" s="110" customFormat="1" ht="15.5">
      <c r="B292" s="120" t="s">
        <v>115</v>
      </c>
      <c r="C292" s="119"/>
      <c r="D292" s="119"/>
      <c r="E292" s="119"/>
      <c r="F292" s="119"/>
      <c r="G292" s="119"/>
      <c r="H292" s="119"/>
      <c r="I292" s="119"/>
      <c r="J292" s="119"/>
      <c r="K292" s="119"/>
      <c r="L292" s="119"/>
      <c r="M292" s="119"/>
      <c r="N292" s="119"/>
      <c r="O292" s="119"/>
      <c r="P292" s="119"/>
      <c r="Q292" s="119"/>
      <c r="S292" s="213"/>
    </row>
    <row r="293" spans="2:19">
      <c r="R293" s="32"/>
    </row>
    <row r="294" spans="2:19">
      <c r="B294" s="33" t="s">
        <v>240</v>
      </c>
      <c r="C294" s="110"/>
      <c r="D294" s="110"/>
      <c r="E294" s="110"/>
      <c r="G294" s="110"/>
      <c r="I294" s="110"/>
      <c r="J294" s="110"/>
      <c r="L294" s="110"/>
      <c r="R294" s="32"/>
    </row>
    <row r="295" spans="2:19" ht="12" customHeight="1">
      <c r="B295" s="260" t="str">
        <f>'2017 Determination - Revenue'!B$16</f>
        <v>Financial year</v>
      </c>
      <c r="C295" s="261" t="str">
        <f>'2017 Determination - Revenue'!C$28</f>
        <v>Units</v>
      </c>
      <c r="D295" s="261"/>
      <c r="E295" s="261"/>
      <c r="F295" s="214"/>
      <c r="G295" s="230" t="s">
        <v>215</v>
      </c>
      <c r="H295" s="230" t="s">
        <v>215</v>
      </c>
      <c r="I295" s="230" t="s">
        <v>215</v>
      </c>
      <c r="J295" s="230" t="s">
        <v>215</v>
      </c>
      <c r="K295" s="283"/>
      <c r="L295" s="213"/>
      <c r="M295" s="213"/>
      <c r="N295" s="213"/>
      <c r="O295" s="213"/>
      <c r="P295" s="213"/>
      <c r="Q295" s="281"/>
      <c r="R295" s="213"/>
    </row>
    <row r="296" spans="2:19" ht="112.5" customHeight="1">
      <c r="B296" s="299"/>
      <c r="C296" s="210"/>
      <c r="D296" s="210"/>
      <c r="E296" s="210"/>
      <c r="F296" s="300"/>
      <c r="G296" s="301" t="s">
        <v>221</v>
      </c>
      <c r="H296" s="301" t="s">
        <v>222</v>
      </c>
      <c r="I296" s="301" t="s">
        <v>220</v>
      </c>
      <c r="J296" s="301" t="s">
        <v>131</v>
      </c>
      <c r="K296" s="302" t="s">
        <v>132</v>
      </c>
      <c r="L296" s="213"/>
      <c r="M296" s="213"/>
      <c r="N296" s="213"/>
      <c r="O296" s="213"/>
      <c r="P296" s="213"/>
      <c r="Q296" s="281"/>
      <c r="R296" s="213"/>
    </row>
    <row r="297" spans="2:19">
      <c r="B297" s="229"/>
      <c r="C297" s="210"/>
      <c r="D297" s="210"/>
      <c r="E297" s="210"/>
      <c r="F297" s="300"/>
      <c r="G297" s="300" t="s">
        <v>189</v>
      </c>
      <c r="H297" s="300" t="s">
        <v>190</v>
      </c>
      <c r="I297" s="300" t="s">
        <v>191</v>
      </c>
      <c r="J297" s="300" t="s">
        <v>193</v>
      </c>
      <c r="K297" s="303" t="s">
        <v>192</v>
      </c>
      <c r="L297" s="213"/>
      <c r="M297" s="213"/>
      <c r="N297" s="213"/>
      <c r="O297" s="213"/>
      <c r="P297" s="213"/>
      <c r="Q297" s="281"/>
      <c r="R297" s="213"/>
    </row>
    <row r="298" spans="2:19" s="110" customFormat="1">
      <c r="B298" s="229"/>
      <c r="C298" s="210"/>
      <c r="D298" s="210"/>
      <c r="E298" s="210"/>
      <c r="F298" s="234"/>
      <c r="G298" s="304" t="s">
        <v>60</v>
      </c>
      <c r="H298" s="304" t="s">
        <v>60</v>
      </c>
      <c r="I298" s="304" t="s">
        <v>60</v>
      </c>
      <c r="J298" s="304" t="s">
        <v>1</v>
      </c>
      <c r="K298" s="305" t="s">
        <v>1</v>
      </c>
      <c r="L298" s="213"/>
      <c r="M298" s="213"/>
      <c r="N298" s="213"/>
      <c r="O298" s="213"/>
      <c r="P298" s="213"/>
      <c r="Q298" s="281"/>
      <c r="R298" s="213"/>
      <c r="S298" s="213"/>
    </row>
    <row r="299" spans="2:19" s="110" customFormat="1">
      <c r="B299" s="229"/>
      <c r="C299" s="210"/>
      <c r="D299" s="210"/>
      <c r="E299" s="210"/>
      <c r="F299" s="234"/>
      <c r="G299" s="234"/>
      <c r="H299" s="234"/>
      <c r="I299" s="234"/>
      <c r="J299" s="234"/>
      <c r="K299" s="257"/>
      <c r="L299" s="213"/>
      <c r="M299" s="213"/>
      <c r="N299" s="213"/>
      <c r="O299" s="213"/>
      <c r="P299" s="213"/>
      <c r="Q299" s="281"/>
      <c r="R299" s="213"/>
      <c r="S299" s="213"/>
    </row>
    <row r="300" spans="2:19" s="110" customFormat="1">
      <c r="B300" s="306" t="s">
        <v>197</v>
      </c>
      <c r="C300" s="210"/>
      <c r="D300" s="210"/>
      <c r="E300" s="210"/>
      <c r="F300" s="234"/>
      <c r="G300" s="234"/>
      <c r="H300" s="234"/>
      <c r="I300" s="234"/>
      <c r="J300" s="234"/>
      <c r="K300" s="257"/>
      <c r="L300" s="213"/>
      <c r="M300" s="213"/>
      <c r="N300" s="213"/>
      <c r="O300" s="213"/>
      <c r="P300" s="213"/>
      <c r="Q300" s="281"/>
      <c r="R300" s="213"/>
      <c r="S300" s="213"/>
    </row>
    <row r="301" spans="2:19" hidden="1" outlineLevel="1">
      <c r="B301" s="262" t="s">
        <v>80</v>
      </c>
      <c r="C301" s="210"/>
      <c r="D301" s="210"/>
      <c r="E301" s="210"/>
      <c r="F301" s="232"/>
      <c r="G301" s="232"/>
      <c r="H301" s="232"/>
      <c r="I301" s="232"/>
      <c r="J301" s="232"/>
      <c r="K301" s="257"/>
      <c r="L301" s="213"/>
      <c r="M301" s="213"/>
      <c r="N301" s="213"/>
      <c r="O301" s="213"/>
      <c r="P301" s="213"/>
      <c r="Q301" s="281"/>
      <c r="R301" s="213"/>
    </row>
    <row r="302" spans="2:19" hidden="1" outlineLevel="1">
      <c r="B302" s="229" t="str">
        <f>'2017 Determination - Revenue'!B$33</f>
        <v>Border</v>
      </c>
      <c r="C302" s="210" t="str">
        <f>'2017 Determination - Revenue'!C$33</f>
        <v>$'000</v>
      </c>
      <c r="D302" s="210"/>
      <c r="E302" s="210"/>
      <c r="F302" s="232"/>
      <c r="G302" s="213"/>
      <c r="H302" s="164">
        <f>('MDB calcs'!H21*'2017 Determination - charges'!H18)/1000</f>
        <v>810.67388522595763</v>
      </c>
      <c r="I302" s="164">
        <f>('MDB calcs'!H21*ROUND(H68,2))/1000</f>
        <v>806.95742085999984</v>
      </c>
      <c r="J302" s="248" t="s">
        <v>133</v>
      </c>
      <c r="K302" s="307" t="s">
        <v>133</v>
      </c>
      <c r="L302" s="213"/>
      <c r="M302" s="213"/>
      <c r="N302" s="213"/>
      <c r="O302" s="213"/>
      <c r="P302" s="213"/>
      <c r="Q302" s="281"/>
      <c r="R302" s="213"/>
    </row>
    <row r="303" spans="2:19" hidden="1" outlineLevel="1">
      <c r="B303" s="229" t="str">
        <f>'2017 Determination - Revenue'!B$34</f>
        <v>Gwydir</v>
      </c>
      <c r="C303" s="210" t="str">
        <f>'2017 Determination - Revenue'!C$33</f>
        <v>$'000</v>
      </c>
      <c r="D303" s="210"/>
      <c r="E303" s="210"/>
      <c r="F303" s="232"/>
      <c r="G303" s="232"/>
      <c r="H303" s="164">
        <f>('MDB calcs'!H22*'2017 Determination - charges'!H19)/1000</f>
        <v>2992.5854576473871</v>
      </c>
      <c r="I303" s="164">
        <f>('MDB calcs'!H22*ROUND(H69,2))/1000</f>
        <v>3112.7765597500002</v>
      </c>
      <c r="J303" s="248" t="s">
        <v>133</v>
      </c>
      <c r="K303" s="307" t="s">
        <v>133</v>
      </c>
      <c r="L303" s="213"/>
      <c r="M303" s="213"/>
      <c r="N303" s="213"/>
      <c r="O303" s="213"/>
      <c r="P303" s="213"/>
      <c r="Q303" s="281"/>
      <c r="R303" s="213"/>
    </row>
    <row r="304" spans="2:19" hidden="1" outlineLevel="1">
      <c r="B304" s="229" t="str">
        <f>'2017 Determination - Revenue'!B$35</f>
        <v>Namoi</v>
      </c>
      <c r="C304" s="210" t="str">
        <f>'2017 Determination - Revenue'!C$33</f>
        <v>$'000</v>
      </c>
      <c r="D304" s="210"/>
      <c r="E304" s="210"/>
      <c r="F304" s="232"/>
      <c r="G304" s="232"/>
      <c r="H304" s="164">
        <f>('MDB calcs'!H23*'2017 Determination - charges'!H20)/1000</f>
        <v>3164.8855669305567</v>
      </c>
      <c r="I304" s="164">
        <f>('MDB calcs'!H23*ROUND(H70,2))/1000</f>
        <v>3292.6087448100006</v>
      </c>
      <c r="J304" s="248" t="s">
        <v>133</v>
      </c>
      <c r="K304" s="307" t="s">
        <v>133</v>
      </c>
      <c r="L304" s="213"/>
      <c r="M304" s="213"/>
      <c r="N304" s="213"/>
      <c r="O304" s="213"/>
      <c r="P304" s="213"/>
      <c r="Q304" s="281"/>
      <c r="R304" s="213"/>
    </row>
    <row r="305" spans="2:18" hidden="1" outlineLevel="1">
      <c r="B305" s="229" t="str">
        <f>'2017 Determination - Revenue'!B$36</f>
        <v>Peel</v>
      </c>
      <c r="C305" s="210" t="str">
        <f>'2017 Determination - Revenue'!C$33</f>
        <v>$'000</v>
      </c>
      <c r="D305" s="210"/>
      <c r="E305" s="210"/>
      <c r="F305" s="232"/>
      <c r="G305" s="232"/>
      <c r="H305" s="164">
        <f>('MDB calcs'!H24*'2017 Determination - charges'!H21)/1000</f>
        <v>221.01264795097606</v>
      </c>
      <c r="I305" s="164">
        <f>('MDB calcs'!H24*ROUND(H71,2))/1000</f>
        <v>211.09897783</v>
      </c>
      <c r="J305" s="248" t="s">
        <v>133</v>
      </c>
      <c r="K305" s="307" t="s">
        <v>133</v>
      </c>
      <c r="L305" s="213"/>
      <c r="M305" s="213"/>
      <c r="N305" s="213"/>
      <c r="O305" s="213"/>
      <c r="P305" s="213"/>
      <c r="Q305" s="281"/>
      <c r="R305" s="213"/>
    </row>
    <row r="306" spans="2:18" hidden="1" outlineLevel="1">
      <c r="B306" s="229" t="str">
        <f>'2017 Determination - Revenue'!B$37</f>
        <v>Lachlan</v>
      </c>
      <c r="C306" s="210" t="str">
        <f>'2017 Determination - Revenue'!C$33</f>
        <v>$'000</v>
      </c>
      <c r="D306" s="210"/>
      <c r="E306" s="210"/>
      <c r="F306" s="232"/>
      <c r="G306" s="232"/>
      <c r="H306" s="164">
        <f>('MDB calcs'!H25*'2017 Determination - charges'!H22)/1000</f>
        <v>3640.2988014895886</v>
      </c>
      <c r="I306" s="164">
        <f>('MDB calcs'!H25*ROUND(H72,2))/1000</f>
        <v>3921.6940877799998</v>
      </c>
      <c r="J306" s="248" t="s">
        <v>133</v>
      </c>
      <c r="K306" s="307" t="s">
        <v>133</v>
      </c>
      <c r="L306" s="213"/>
      <c r="M306" s="213"/>
      <c r="N306" s="213"/>
      <c r="O306" s="213"/>
      <c r="P306" s="213"/>
      <c r="Q306" s="281"/>
      <c r="R306" s="213"/>
    </row>
    <row r="307" spans="2:18" hidden="1" outlineLevel="1">
      <c r="B307" s="229" t="str">
        <f>'2017 Determination - Revenue'!B$38</f>
        <v>Macquarie</v>
      </c>
      <c r="C307" s="210" t="str">
        <f>'2017 Determination - Revenue'!C$33</f>
        <v>$'000</v>
      </c>
      <c r="D307" s="210"/>
      <c r="E307" s="210"/>
      <c r="F307" s="232"/>
      <c r="G307" s="232"/>
      <c r="H307" s="164">
        <f>('MDB calcs'!H26*'2017 Determination - charges'!H23)/1000</f>
        <v>3488.1714579774775</v>
      </c>
      <c r="I307" s="164">
        <f>('MDB calcs'!H26*ROUND(H73,2))/1000</f>
        <v>3570.5806661099996</v>
      </c>
      <c r="J307" s="248" t="s">
        <v>133</v>
      </c>
      <c r="K307" s="307" t="s">
        <v>133</v>
      </c>
      <c r="L307" s="213"/>
      <c r="M307" s="213"/>
      <c r="N307" s="213"/>
      <c r="O307" s="213"/>
      <c r="P307" s="213"/>
      <c r="Q307" s="281"/>
      <c r="R307" s="213"/>
    </row>
    <row r="308" spans="2:18" hidden="1" outlineLevel="1">
      <c r="B308" s="229" t="str">
        <f>'2017 Determination - Revenue'!B$39</f>
        <v>Murray</v>
      </c>
      <c r="C308" s="210" t="str">
        <f>'2017 Determination - Revenue'!C$33</f>
        <v>$'000</v>
      </c>
      <c r="D308" s="210"/>
      <c r="E308" s="210"/>
      <c r="F308" s="232"/>
      <c r="G308" s="232"/>
      <c r="H308" s="164">
        <f>('MDB calcs'!H27*'2017 Determination - charges'!H24)/1000</f>
        <v>2855.7488843828851</v>
      </c>
      <c r="I308" s="164">
        <f>('MDB calcs'!H27*ROUND(H74,2))/1000</f>
        <v>2966.7666356307695</v>
      </c>
      <c r="J308" s="248" t="s">
        <v>133</v>
      </c>
      <c r="K308" s="307" t="s">
        <v>133</v>
      </c>
      <c r="L308" s="213"/>
      <c r="M308" s="213"/>
      <c r="N308" s="213"/>
      <c r="O308" s="213"/>
      <c r="P308" s="213"/>
      <c r="Q308" s="281"/>
      <c r="R308" s="213"/>
    </row>
    <row r="309" spans="2:18" hidden="1" outlineLevel="1">
      <c r="B309" s="229" t="str">
        <f>'2017 Determination - Revenue'!B$40</f>
        <v>Murrumbidgee</v>
      </c>
      <c r="C309" s="210" t="str">
        <f>'2017 Determination - Revenue'!C$33</f>
        <v>$'000</v>
      </c>
      <c r="D309" s="210"/>
      <c r="E309" s="210"/>
      <c r="F309" s="232"/>
      <c r="G309" s="232"/>
      <c r="H309" s="164">
        <f>('MDB calcs'!H28*'2017 Determination - charges'!H25)/1000</f>
        <v>5470.5780471507778</v>
      </c>
      <c r="I309" s="164">
        <f>('MDB calcs'!H28*ROUND(H75,2))/1000</f>
        <v>5740.7958027076929</v>
      </c>
      <c r="J309" s="248" t="s">
        <v>133</v>
      </c>
      <c r="K309" s="307" t="s">
        <v>133</v>
      </c>
      <c r="L309" s="213"/>
      <c r="M309" s="213"/>
      <c r="N309" s="213"/>
      <c r="O309" s="213"/>
      <c r="P309" s="213"/>
      <c r="Q309" s="281"/>
      <c r="R309" s="213"/>
    </row>
    <row r="310" spans="2:18" hidden="1" outlineLevel="1">
      <c r="B310" s="229" t="str">
        <f>'2017 Determination - Revenue'!B$41</f>
        <v>Lowbidgee</v>
      </c>
      <c r="C310" s="210" t="str">
        <f>'2017 Determination - Revenue'!C$33</f>
        <v>$'000</v>
      </c>
      <c r="D310" s="210"/>
      <c r="E310" s="210"/>
      <c r="F310" s="232"/>
      <c r="G310" s="232"/>
      <c r="H310" s="164">
        <f>('MDB calcs'!H29*'2017 Determination - charges'!H26)/1000</f>
        <v>0</v>
      </c>
      <c r="I310" s="164">
        <f>('MDB calcs'!H29*ROUND(H76,2))/1000</f>
        <v>0</v>
      </c>
      <c r="J310" s="248" t="s">
        <v>133</v>
      </c>
      <c r="K310" s="307" t="s">
        <v>133</v>
      </c>
      <c r="L310" s="213"/>
      <c r="M310" s="213"/>
      <c r="N310" s="213"/>
      <c r="O310" s="213"/>
      <c r="P310" s="213"/>
      <c r="Q310" s="281"/>
      <c r="R310" s="213"/>
    </row>
    <row r="311" spans="2:18" hidden="1" outlineLevel="1">
      <c r="B311" s="229"/>
      <c r="C311" s="210"/>
      <c r="D311" s="210"/>
      <c r="E311" s="210"/>
      <c r="F311" s="232"/>
      <c r="G311" s="232"/>
      <c r="H311" s="232"/>
      <c r="I311" s="232"/>
      <c r="J311" s="232"/>
      <c r="K311" s="257"/>
      <c r="L311" s="213"/>
      <c r="M311" s="213"/>
      <c r="N311" s="213"/>
      <c r="O311" s="213"/>
      <c r="P311" s="213"/>
      <c r="Q311" s="281"/>
      <c r="R311" s="213"/>
    </row>
    <row r="312" spans="2:18" hidden="1" outlineLevel="1">
      <c r="B312" s="262" t="s">
        <v>81</v>
      </c>
      <c r="C312" s="210"/>
      <c r="D312" s="210"/>
      <c r="E312" s="210"/>
      <c r="F312" s="232"/>
      <c r="G312" s="232"/>
      <c r="H312" s="232"/>
      <c r="I312" s="232"/>
      <c r="J312" s="232"/>
      <c r="K312" s="257"/>
      <c r="L312" s="213"/>
      <c r="M312" s="213"/>
      <c r="N312" s="213"/>
      <c r="O312" s="213"/>
      <c r="P312" s="213"/>
      <c r="Q312" s="281"/>
      <c r="R312" s="213"/>
    </row>
    <row r="313" spans="2:18" hidden="1" outlineLevel="1">
      <c r="B313" s="229" t="str">
        <f>'2017 Determination - Revenue'!B$33</f>
        <v>Border</v>
      </c>
      <c r="C313" s="210" t="str">
        <f>'2017 Determination - Revenue'!C$33</f>
        <v>$'000</v>
      </c>
      <c r="D313" s="210"/>
      <c r="E313" s="210"/>
      <c r="F313" s="232"/>
      <c r="G313" s="232"/>
      <c r="H313" s="164">
        <f>('MDB calcs'!H33*'2017 Determination - charges'!H35)/1000</f>
        <v>520.99853521680927</v>
      </c>
      <c r="I313" s="164">
        <f>('MDB calcs'!H33*ROUND(H79,2))/1000</f>
        <v>521.29638</v>
      </c>
      <c r="J313" s="248" t="s">
        <v>133</v>
      </c>
      <c r="K313" s="307" t="s">
        <v>133</v>
      </c>
      <c r="L313" s="213"/>
      <c r="M313" s="213"/>
      <c r="N313" s="213"/>
      <c r="O313" s="213"/>
      <c r="P313" s="213"/>
      <c r="Q313" s="281"/>
      <c r="R313" s="213"/>
    </row>
    <row r="314" spans="2:18" hidden="1" outlineLevel="1">
      <c r="B314" s="229" t="str">
        <f>'2017 Determination - Revenue'!B$34</f>
        <v>Gwydir</v>
      </c>
      <c r="C314" s="210" t="str">
        <f>'2017 Determination - Revenue'!C$33</f>
        <v>$'000</v>
      </c>
      <c r="D314" s="210"/>
      <c r="E314" s="210"/>
      <c r="F314" s="232"/>
      <c r="G314" s="232"/>
      <c r="H314" s="164">
        <f>('MDB calcs'!H34*'2017 Determination - charges'!H36)/1000</f>
        <v>1773.5564673140316</v>
      </c>
      <c r="I314" s="164">
        <f>('MDB calcs'!H34*ROUND(H80,2))/1000</f>
        <v>1753.2475999999999</v>
      </c>
      <c r="J314" s="248" t="s">
        <v>133</v>
      </c>
      <c r="K314" s="307" t="s">
        <v>133</v>
      </c>
      <c r="L314" s="213"/>
      <c r="M314" s="213"/>
      <c r="N314" s="213"/>
      <c r="O314" s="213"/>
      <c r="P314" s="213"/>
      <c r="Q314" s="281"/>
      <c r="R314" s="213"/>
    </row>
    <row r="315" spans="2:18" hidden="1" outlineLevel="1">
      <c r="B315" s="229" t="str">
        <f>'2017 Determination - Revenue'!B$35</f>
        <v>Namoi</v>
      </c>
      <c r="C315" s="210" t="str">
        <f>'2017 Determination - Revenue'!C$33</f>
        <v>$'000</v>
      </c>
      <c r="D315" s="210"/>
      <c r="E315" s="210"/>
      <c r="F315" s="232"/>
      <c r="G315" s="232"/>
      <c r="H315" s="164">
        <f>('MDB calcs'!H35*'2017 Determination - charges'!H37)/1000</f>
        <v>2041.2909186267086</v>
      </c>
      <c r="I315" s="164">
        <f>('MDB calcs'!H35*ROUND(H81,2))/1000</f>
        <v>2031.7096799999999</v>
      </c>
      <c r="J315" s="248" t="s">
        <v>133</v>
      </c>
      <c r="K315" s="307" t="s">
        <v>133</v>
      </c>
      <c r="L315" s="213"/>
      <c r="M315" s="213"/>
      <c r="N315" s="213"/>
      <c r="O315" s="213"/>
      <c r="P315" s="213"/>
      <c r="Q315" s="281"/>
      <c r="R315" s="213"/>
    </row>
    <row r="316" spans="2:18" hidden="1" outlineLevel="1">
      <c r="B316" s="229" t="str">
        <f>'2017 Determination - Revenue'!B$36</f>
        <v>Peel</v>
      </c>
      <c r="C316" s="210" t="str">
        <f>'2017 Determination - Revenue'!C$33</f>
        <v>$'000</v>
      </c>
      <c r="D316" s="210"/>
      <c r="E316" s="210"/>
      <c r="F316" s="232"/>
      <c r="G316" s="232"/>
      <c r="H316" s="164">
        <f>('MDB calcs'!H36*'2017 Determination - charges'!H38)/1000</f>
        <v>119.06385407500869</v>
      </c>
      <c r="I316" s="164">
        <f>('MDB calcs'!H36*ROUND(H82,2))/1000</f>
        <v>122.68889999999999</v>
      </c>
      <c r="J316" s="248" t="s">
        <v>133</v>
      </c>
      <c r="K316" s="307" t="s">
        <v>133</v>
      </c>
      <c r="L316" s="213"/>
      <c r="M316" s="213"/>
      <c r="N316" s="213"/>
      <c r="O316" s="213"/>
      <c r="P316" s="213"/>
      <c r="Q316" s="281"/>
      <c r="R316" s="213"/>
    </row>
    <row r="317" spans="2:18" hidden="1" outlineLevel="1">
      <c r="B317" s="229" t="str">
        <f>'2017 Determination - Revenue'!B$37</f>
        <v>Lachlan</v>
      </c>
      <c r="C317" s="210" t="str">
        <f>'2017 Determination - Revenue'!C$33</f>
        <v>$'000</v>
      </c>
      <c r="D317" s="210"/>
      <c r="E317" s="210"/>
      <c r="F317" s="232"/>
      <c r="G317" s="232"/>
      <c r="H317" s="164">
        <f>('MDB calcs'!H37*'2017 Determination - charges'!H39)/1000</f>
        <v>1728.2110742741156</v>
      </c>
      <c r="I317" s="164">
        <f>('MDB calcs'!H37*ROUND(H83,2))/1000</f>
        <v>1709.5482000000002</v>
      </c>
      <c r="J317" s="248" t="s">
        <v>133</v>
      </c>
      <c r="K317" s="307" t="s">
        <v>133</v>
      </c>
      <c r="L317" s="213"/>
      <c r="M317" s="213"/>
      <c r="N317" s="213"/>
      <c r="O317" s="213"/>
      <c r="P317" s="213"/>
      <c r="Q317" s="281"/>
      <c r="R317" s="213"/>
    </row>
    <row r="318" spans="2:18" hidden="1" outlineLevel="1">
      <c r="B318" s="229" t="str">
        <f>'2017 Determination - Revenue'!B$38</f>
        <v>Macquarie</v>
      </c>
      <c r="C318" s="210" t="str">
        <f>'2017 Determination - Revenue'!C$33</f>
        <v>$'000</v>
      </c>
      <c r="D318" s="210"/>
      <c r="E318" s="210"/>
      <c r="F318" s="232"/>
      <c r="G318" s="232"/>
      <c r="H318" s="164">
        <f>('MDB calcs'!H38*'2017 Determination - charges'!H40)/1000</f>
        <v>1800.4922890674561</v>
      </c>
      <c r="I318" s="164">
        <f>('MDB calcs'!H38*ROUND(H84,2))/1000</f>
        <v>1821.5020799999998</v>
      </c>
      <c r="J318" s="248" t="s">
        <v>133</v>
      </c>
      <c r="K318" s="307" t="s">
        <v>133</v>
      </c>
      <c r="L318" s="213"/>
      <c r="M318" s="213"/>
      <c r="N318" s="213"/>
      <c r="O318" s="213"/>
      <c r="P318" s="213"/>
      <c r="Q318" s="281"/>
      <c r="R318" s="213"/>
    </row>
    <row r="319" spans="2:18" hidden="1" outlineLevel="1">
      <c r="B319" s="229" t="str">
        <f>'2017 Determination - Revenue'!B$39</f>
        <v>Murray</v>
      </c>
      <c r="C319" s="210" t="str">
        <f>'2017 Determination - Revenue'!C$33</f>
        <v>$'000</v>
      </c>
      <c r="D319" s="210"/>
      <c r="E319" s="210"/>
      <c r="F319" s="232"/>
      <c r="G319" s="232"/>
      <c r="H319" s="164">
        <f>('MDB calcs'!H39*'2017 Determination - charges'!H41)/1000</f>
        <v>1570.3501611063584</v>
      </c>
      <c r="I319" s="164">
        <f>('MDB calcs'!H39*ROUND(H85,2))/1000</f>
        <v>1562.45325</v>
      </c>
      <c r="J319" s="248" t="s">
        <v>133</v>
      </c>
      <c r="K319" s="307" t="s">
        <v>133</v>
      </c>
      <c r="L319" s="213"/>
      <c r="M319" s="213"/>
      <c r="N319" s="213"/>
      <c r="O319" s="213"/>
      <c r="P319" s="213"/>
      <c r="Q319" s="281"/>
      <c r="R319" s="213"/>
    </row>
    <row r="320" spans="2:18" hidden="1" outlineLevel="1">
      <c r="B320" s="229" t="str">
        <f>'2017 Determination - Revenue'!B$40</f>
        <v>Murrumbidgee</v>
      </c>
      <c r="C320" s="210" t="str">
        <f>'2017 Determination - Revenue'!C$33</f>
        <v>$'000</v>
      </c>
      <c r="D320" s="210"/>
      <c r="E320" s="210"/>
      <c r="F320" s="232"/>
      <c r="G320" s="232"/>
      <c r="H320" s="164">
        <f>('MDB calcs'!H40*'2017 Determination - charges'!H42)/1000</f>
        <v>2527.6329210145964</v>
      </c>
      <c r="I320" s="164">
        <f>('MDB calcs'!H40*ROUND(H86,2))/1000</f>
        <v>2494.7593000000002</v>
      </c>
      <c r="J320" s="248" t="s">
        <v>133</v>
      </c>
      <c r="K320" s="307" t="s">
        <v>133</v>
      </c>
      <c r="L320" s="213"/>
      <c r="M320" s="213"/>
      <c r="N320" s="213"/>
      <c r="O320" s="213"/>
      <c r="P320" s="213"/>
      <c r="Q320" s="281"/>
      <c r="R320" s="213"/>
    </row>
    <row r="321" spans="2:18" hidden="1" outlineLevel="1">
      <c r="B321" s="229" t="str">
        <f>'2017 Determination - Revenue'!B$41</f>
        <v>Lowbidgee</v>
      </c>
      <c r="C321" s="210" t="str">
        <f>'2017 Determination - Revenue'!C$33</f>
        <v>$'000</v>
      </c>
      <c r="D321" s="210"/>
      <c r="E321" s="210"/>
      <c r="F321" s="232"/>
      <c r="G321" s="232"/>
      <c r="H321" s="164">
        <f>('MDB calcs'!H41*'2017 Determination - charges'!H43)/1000</f>
        <v>585.01639329709701</v>
      </c>
      <c r="I321" s="164">
        <f>('MDB calcs'!H41*ROUND(H87,2))/1000</f>
        <v>582.66</v>
      </c>
      <c r="J321" s="248" t="s">
        <v>133</v>
      </c>
      <c r="K321" s="307" t="s">
        <v>133</v>
      </c>
      <c r="L321" s="213"/>
      <c r="M321" s="213"/>
      <c r="N321" s="213"/>
      <c r="O321" s="213"/>
      <c r="P321" s="213"/>
      <c r="Q321" s="281"/>
      <c r="R321" s="213"/>
    </row>
    <row r="322" spans="2:18" hidden="1" outlineLevel="1">
      <c r="B322" s="229"/>
      <c r="C322" s="210"/>
      <c r="D322" s="210"/>
      <c r="E322" s="210"/>
      <c r="F322" s="232"/>
      <c r="G322" s="232"/>
      <c r="H322" s="164"/>
      <c r="I322" s="164"/>
      <c r="J322" s="232"/>
      <c r="K322" s="257"/>
      <c r="L322" s="213"/>
      <c r="M322" s="213"/>
      <c r="N322" s="213"/>
      <c r="O322" s="213"/>
      <c r="P322" s="213"/>
      <c r="Q322" s="281"/>
      <c r="R322" s="213"/>
    </row>
    <row r="323" spans="2:18" hidden="1" outlineLevel="1">
      <c r="B323" s="262" t="s">
        <v>82</v>
      </c>
      <c r="C323" s="210"/>
      <c r="D323" s="210"/>
      <c r="E323" s="210"/>
      <c r="F323" s="232"/>
      <c r="G323" s="232"/>
      <c r="H323" s="164"/>
      <c r="I323" s="164"/>
      <c r="J323" s="232"/>
      <c r="K323" s="257"/>
      <c r="L323" s="213"/>
      <c r="M323" s="213"/>
      <c r="N323" s="213"/>
      <c r="O323" s="213"/>
      <c r="P323" s="213"/>
      <c r="Q323" s="281"/>
      <c r="R323" s="213"/>
    </row>
    <row r="324" spans="2:18" hidden="1" outlineLevel="1">
      <c r="B324" s="229" t="str">
        <f>'2017 Determination - Revenue'!B$33</f>
        <v>Border</v>
      </c>
      <c r="C324" s="210" t="str">
        <f>'2017 Determination - Revenue'!C$33</f>
        <v>$'000</v>
      </c>
      <c r="D324" s="210"/>
      <c r="E324" s="210"/>
      <c r="F324" s="232"/>
      <c r="G324" s="232"/>
      <c r="H324" s="164">
        <f>('MDB calcs'!H45*'2017 Determination - charges'!H52)/1000</f>
        <v>16.741529999999997</v>
      </c>
      <c r="I324" s="164">
        <f>('MDB calcs'!H45*ROUND(H90,2))/1000</f>
        <v>16.39602</v>
      </c>
      <c r="J324" s="248" t="s">
        <v>133</v>
      </c>
      <c r="K324" s="307" t="s">
        <v>133</v>
      </c>
      <c r="L324" s="213"/>
      <c r="M324" s="213"/>
      <c r="N324" s="213"/>
      <c r="O324" s="213"/>
      <c r="P324" s="213"/>
      <c r="Q324" s="281"/>
      <c r="R324" s="213"/>
    </row>
    <row r="325" spans="2:18" hidden="1" outlineLevel="1">
      <c r="B325" s="229" t="str">
        <f>'2017 Determination - Revenue'!B$34</f>
        <v>Gwydir</v>
      </c>
      <c r="C325" s="210" t="str">
        <f>'2017 Determination - Revenue'!C$33</f>
        <v>$'000</v>
      </c>
      <c r="D325" s="210"/>
      <c r="E325" s="210"/>
      <c r="F325" s="232"/>
      <c r="G325" s="232"/>
      <c r="H325" s="164">
        <f>('MDB calcs'!H46*'2017 Determination - charges'!H53)/1000</f>
        <v>298.30712730204215</v>
      </c>
      <c r="I325" s="164">
        <f>('MDB calcs'!H46*ROUND(H91,2))/1000</f>
        <v>317.11759999999998</v>
      </c>
      <c r="J325" s="248" t="s">
        <v>133</v>
      </c>
      <c r="K325" s="307" t="s">
        <v>133</v>
      </c>
      <c r="L325" s="213"/>
      <c r="M325" s="213"/>
      <c r="N325" s="213"/>
      <c r="O325" s="213"/>
      <c r="P325" s="213"/>
      <c r="Q325" s="281"/>
      <c r="R325" s="213"/>
    </row>
    <row r="326" spans="2:18" hidden="1" outlineLevel="1">
      <c r="B326" s="229" t="str">
        <f>'2017 Determination - Revenue'!B$35</f>
        <v>Namoi</v>
      </c>
      <c r="C326" s="210" t="str">
        <f>'2017 Determination - Revenue'!C$33</f>
        <v>$'000</v>
      </c>
      <c r="D326" s="210"/>
      <c r="E326" s="210"/>
      <c r="F326" s="232"/>
      <c r="G326" s="232"/>
      <c r="H326" s="164">
        <f>('MDB calcs'!H47*'2017 Determination - charges'!H54)/1000</f>
        <v>151.42069589130071</v>
      </c>
      <c r="I326" s="164">
        <f>('MDB calcs'!H47*ROUND(H92,2))/1000</f>
        <v>159.58799999999999</v>
      </c>
      <c r="J326" s="248" t="s">
        <v>133</v>
      </c>
      <c r="K326" s="307" t="s">
        <v>133</v>
      </c>
      <c r="L326" s="213"/>
      <c r="M326" s="213"/>
      <c r="N326" s="213"/>
      <c r="O326" s="213"/>
      <c r="P326" s="213"/>
      <c r="Q326" s="281"/>
      <c r="R326" s="213"/>
    </row>
    <row r="327" spans="2:18" hidden="1" outlineLevel="1">
      <c r="B327" s="229" t="str">
        <f>'2017 Determination - Revenue'!B$36</f>
        <v>Peel</v>
      </c>
      <c r="C327" s="210" t="str">
        <f>'2017 Determination - Revenue'!C$33</f>
        <v>$'000</v>
      </c>
      <c r="D327" s="210"/>
      <c r="E327" s="210"/>
      <c r="F327" s="232"/>
      <c r="G327" s="232"/>
      <c r="H327" s="164">
        <f>('MDB calcs'!H48*'2017 Determination - charges'!H55)/1000</f>
        <v>721.90976564766515</v>
      </c>
      <c r="I327" s="164">
        <f>('MDB calcs'!H48*ROUND(H93,2))/1000</f>
        <v>721.59884999999997</v>
      </c>
      <c r="J327" s="248" t="s">
        <v>133</v>
      </c>
      <c r="K327" s="307" t="s">
        <v>133</v>
      </c>
      <c r="L327" s="213"/>
      <c r="M327" s="213"/>
      <c r="N327" s="213"/>
      <c r="O327" s="213"/>
      <c r="P327" s="213"/>
      <c r="Q327" s="281"/>
      <c r="R327" s="213"/>
    </row>
    <row r="328" spans="2:18" hidden="1" outlineLevel="1">
      <c r="B328" s="229" t="str">
        <f>'2017 Determination - Revenue'!B$37</f>
        <v>Lachlan</v>
      </c>
      <c r="C328" s="210" t="str">
        <f>'2017 Determination - Revenue'!C$33</f>
        <v>$'000</v>
      </c>
      <c r="D328" s="210"/>
      <c r="E328" s="210"/>
      <c r="F328" s="232"/>
      <c r="G328" s="232"/>
      <c r="H328" s="164">
        <f>('MDB calcs'!H49*'2017 Determination - charges'!H56)/1000</f>
        <v>881.25375060248314</v>
      </c>
      <c r="I328" s="164">
        <f>('MDB calcs'!H49*ROUND(H94,2))/1000</f>
        <v>899.06838000000005</v>
      </c>
      <c r="J328" s="248" t="s">
        <v>133</v>
      </c>
      <c r="K328" s="307" t="s">
        <v>133</v>
      </c>
      <c r="L328" s="213"/>
      <c r="M328" s="213"/>
      <c r="N328" s="213"/>
      <c r="O328" s="213"/>
      <c r="P328" s="213"/>
      <c r="Q328" s="281"/>
      <c r="R328" s="213"/>
    </row>
    <row r="329" spans="2:18" hidden="1" outlineLevel="1">
      <c r="B329" s="229" t="str">
        <f>'2017 Determination - Revenue'!B$38</f>
        <v>Macquarie</v>
      </c>
      <c r="C329" s="210" t="str">
        <f>'2017 Determination - Revenue'!C$33</f>
        <v>$'000</v>
      </c>
      <c r="D329" s="210"/>
      <c r="E329" s="210"/>
      <c r="F329" s="232"/>
      <c r="G329" s="232"/>
      <c r="H329" s="164">
        <f>('MDB calcs'!H50*'2017 Determination - charges'!H57)/1000</f>
        <v>576.89254797902549</v>
      </c>
      <c r="I329" s="164">
        <f>('MDB calcs'!H50*ROUND(H95,2))/1000</f>
        <v>554.09023999999999</v>
      </c>
      <c r="J329" s="248" t="s">
        <v>133</v>
      </c>
      <c r="K329" s="307" t="s">
        <v>133</v>
      </c>
      <c r="L329" s="213"/>
      <c r="M329" s="213"/>
      <c r="N329" s="213"/>
      <c r="O329" s="213"/>
      <c r="P329" s="213"/>
      <c r="Q329" s="281"/>
      <c r="R329" s="213"/>
    </row>
    <row r="330" spans="2:18" hidden="1" outlineLevel="1">
      <c r="B330" s="229" t="str">
        <f>'2017 Determination - Revenue'!B$39</f>
        <v>Murray</v>
      </c>
      <c r="C330" s="210" t="str">
        <f>'2017 Determination - Revenue'!C$33</f>
        <v>$'000</v>
      </c>
      <c r="D330" s="210"/>
      <c r="E330" s="210"/>
      <c r="F330" s="232"/>
      <c r="G330" s="232"/>
      <c r="H330" s="164">
        <f>('MDB calcs'!H51*'2017 Determination - charges'!H58)/1000</f>
        <v>405.27812719051269</v>
      </c>
      <c r="I330" s="164">
        <f>('MDB calcs'!H51*ROUND(H96,2))/1000</f>
        <v>413.78135000000003</v>
      </c>
      <c r="J330" s="248" t="s">
        <v>133</v>
      </c>
      <c r="K330" s="307" t="s">
        <v>133</v>
      </c>
      <c r="L330" s="213"/>
      <c r="M330" s="213"/>
      <c r="N330" s="213"/>
      <c r="O330" s="213"/>
      <c r="P330" s="213"/>
      <c r="Q330" s="281"/>
      <c r="R330" s="213"/>
    </row>
    <row r="331" spans="2:18" hidden="1" outlineLevel="1">
      <c r="B331" s="229" t="str">
        <f>'2017 Determination - Revenue'!B$40</f>
        <v>Murrumbidgee</v>
      </c>
      <c r="C331" s="210" t="str">
        <f>'2017 Determination - Revenue'!C$33</f>
        <v>$'000</v>
      </c>
      <c r="D331" s="210"/>
      <c r="E331" s="210"/>
      <c r="F331" s="232"/>
      <c r="G331" s="232"/>
      <c r="H331" s="164">
        <f>('MDB calcs'!H52*'2017 Determination - charges'!H59)/1000</f>
        <v>1294.5029119376584</v>
      </c>
      <c r="I331" s="164">
        <f>('MDB calcs'!H52*ROUND(H97,2))/1000</f>
        <v>1319.3672799999997</v>
      </c>
      <c r="J331" s="248" t="s">
        <v>133</v>
      </c>
      <c r="K331" s="307" t="s">
        <v>133</v>
      </c>
      <c r="L331" s="213"/>
      <c r="M331" s="213"/>
      <c r="N331" s="213"/>
      <c r="O331" s="213"/>
      <c r="P331" s="213"/>
      <c r="Q331" s="281"/>
      <c r="R331" s="213"/>
    </row>
    <row r="332" spans="2:18" hidden="1" outlineLevel="1">
      <c r="B332" s="229" t="str">
        <f>'2017 Determination - Revenue'!B$41</f>
        <v>Lowbidgee</v>
      </c>
      <c r="C332" s="210" t="str">
        <f>'2017 Determination - Revenue'!C$33</f>
        <v>$'000</v>
      </c>
      <c r="D332" s="210"/>
      <c r="E332" s="210"/>
      <c r="F332" s="232"/>
      <c r="G332" s="232"/>
      <c r="H332" s="164">
        <f>('MDB calcs'!H53*'2017 Determination - charges'!H60)/1000</f>
        <v>0</v>
      </c>
      <c r="I332" s="164">
        <f>('MDB calcs'!H53*ROUND(H98,2))/1000</f>
        <v>0</v>
      </c>
      <c r="J332" s="248" t="s">
        <v>133</v>
      </c>
      <c r="K332" s="307" t="s">
        <v>133</v>
      </c>
      <c r="L332" s="213"/>
      <c r="M332" s="213"/>
      <c r="N332" s="213"/>
      <c r="O332" s="213"/>
      <c r="P332" s="213"/>
      <c r="Q332" s="281"/>
      <c r="R332" s="213"/>
    </row>
    <row r="333" spans="2:18" hidden="1" outlineLevel="1">
      <c r="B333" s="229"/>
      <c r="C333" s="210"/>
      <c r="D333" s="210"/>
      <c r="E333" s="210"/>
      <c r="F333" s="232"/>
      <c r="G333" s="232"/>
      <c r="H333" s="164"/>
      <c r="I333" s="164"/>
      <c r="J333" s="232"/>
      <c r="K333" s="257"/>
      <c r="L333" s="213"/>
      <c r="M333" s="213"/>
      <c r="N333" s="213"/>
      <c r="O333" s="213"/>
      <c r="P333" s="213"/>
      <c r="Q333" s="281"/>
      <c r="R333" s="213"/>
    </row>
    <row r="334" spans="2:18" hidden="1" outlineLevel="1">
      <c r="B334" s="229"/>
      <c r="C334" s="210"/>
      <c r="D334" s="210"/>
      <c r="E334" s="210"/>
      <c r="F334" s="232"/>
      <c r="G334" s="232"/>
      <c r="H334" s="164"/>
      <c r="I334" s="164"/>
      <c r="J334" s="232"/>
      <c r="K334" s="257"/>
      <c r="L334" s="213"/>
      <c r="M334" s="213"/>
      <c r="N334" s="213"/>
      <c r="O334" s="213"/>
      <c r="P334" s="213"/>
      <c r="Q334" s="281"/>
      <c r="R334" s="213"/>
    </row>
    <row r="335" spans="2:18" collapsed="1">
      <c r="B335" s="262" t="s">
        <v>195</v>
      </c>
      <c r="C335" s="210"/>
      <c r="D335" s="210"/>
      <c r="E335" s="210"/>
      <c r="F335" s="232"/>
      <c r="G335" s="232"/>
      <c r="H335" s="164"/>
      <c r="I335" s="164"/>
      <c r="J335" s="232"/>
      <c r="K335" s="308"/>
      <c r="L335" s="213"/>
      <c r="M335" s="213"/>
      <c r="N335" s="213"/>
      <c r="O335" s="213"/>
      <c r="P335" s="213"/>
      <c r="Q335" s="281"/>
      <c r="R335" s="213"/>
    </row>
    <row r="336" spans="2:18">
      <c r="B336" s="229" t="str">
        <f>'2017 Determination - Revenue'!B$33</f>
        <v>Border</v>
      </c>
      <c r="C336" s="210" t="str">
        <f>'2017 Determination - Revenue'!C$33</f>
        <v>$'000</v>
      </c>
      <c r="D336" s="210"/>
      <c r="E336" s="210"/>
      <c r="F336" s="244"/>
      <c r="G336" s="246">
        <f>'2017 Determination - Revenue'!H33</f>
        <v>1344.7697650285472</v>
      </c>
      <c r="H336" s="246">
        <f>H302+H313+H324</f>
        <v>1348.4139504427669</v>
      </c>
      <c r="I336" s="246">
        <f t="shared" ref="I336:I344" si="68">I302+I313+I324</f>
        <v>1344.6498208599999</v>
      </c>
      <c r="J336" s="244">
        <f>H336/G336-1</f>
        <v>2.7098954103434991E-3</v>
      </c>
      <c r="K336" s="308">
        <f>I336/G336-1</f>
        <v>-8.9193088413042076E-5</v>
      </c>
      <c r="L336" s="213"/>
      <c r="M336" s="213"/>
      <c r="N336" s="213"/>
      <c r="O336" s="213"/>
      <c r="P336" s="213"/>
      <c r="Q336" s="281"/>
      <c r="R336" s="213"/>
    </row>
    <row r="337" spans="2:19">
      <c r="B337" s="229" t="str">
        <f>'2017 Determination - Revenue'!B$34</f>
        <v>Gwydir</v>
      </c>
      <c r="C337" s="210" t="str">
        <f>'2017 Determination - Revenue'!C$33</f>
        <v>$'000</v>
      </c>
      <c r="D337" s="210"/>
      <c r="E337" s="210"/>
      <c r="F337" s="244"/>
      <c r="G337" s="246">
        <f>'2017 Determination - Revenue'!H34</f>
        <v>5187.1886948974634</v>
      </c>
      <c r="H337" s="246">
        <f t="shared" ref="H337:H344" si="69">H303+H314+H325</f>
        <v>5064.4490522634615</v>
      </c>
      <c r="I337" s="246">
        <f t="shared" si="68"/>
        <v>5183.1417597499994</v>
      </c>
      <c r="J337" s="244">
        <f t="shared" ref="J337:J344" si="70">H337/G337-1</f>
        <v>-2.3662073977516629E-2</v>
      </c>
      <c r="K337" s="308">
        <f t="shared" ref="K337:K369" si="71">I337/G337-1</f>
        <v>-7.8017889564052645E-4</v>
      </c>
      <c r="L337" s="213"/>
      <c r="M337" s="213"/>
      <c r="N337" s="213"/>
      <c r="O337" s="213"/>
      <c r="P337" s="213"/>
      <c r="Q337" s="281"/>
      <c r="R337" s="213"/>
    </row>
    <row r="338" spans="2:19">
      <c r="B338" s="229" t="str">
        <f>'2017 Determination - Revenue'!B$35</f>
        <v>Namoi</v>
      </c>
      <c r="C338" s="210" t="str">
        <f>'2017 Determination - Revenue'!C$33</f>
        <v>$'000</v>
      </c>
      <c r="D338" s="210"/>
      <c r="E338" s="210"/>
      <c r="F338" s="244"/>
      <c r="G338" s="246">
        <f>'2017 Determination - Revenue'!H35</f>
        <v>5486.6491176172922</v>
      </c>
      <c r="H338" s="246">
        <f t="shared" si="69"/>
        <v>5357.5971814485665</v>
      </c>
      <c r="I338" s="246">
        <f t="shared" si="68"/>
        <v>5483.9064248100003</v>
      </c>
      <c r="J338" s="244">
        <f t="shared" si="70"/>
        <v>-2.3521084254203184E-2</v>
      </c>
      <c r="K338" s="308">
        <f t="shared" si="71"/>
        <v>-4.998848565849201E-4</v>
      </c>
      <c r="L338" s="213"/>
      <c r="M338" s="213"/>
      <c r="N338" s="213"/>
      <c r="O338" s="213"/>
      <c r="P338" s="213"/>
      <c r="Q338" s="281"/>
      <c r="R338" s="213"/>
    </row>
    <row r="339" spans="2:19">
      <c r="B339" s="229" t="str">
        <f>'2017 Determination - Revenue'!B$36</f>
        <v>Peel</v>
      </c>
      <c r="C339" s="210" t="str">
        <f>'2017 Determination - Revenue'!C$33</f>
        <v>$'000</v>
      </c>
      <c r="D339" s="210"/>
      <c r="E339" s="210"/>
      <c r="F339" s="244"/>
      <c r="G339" s="246">
        <f>'2017 Determination - Revenue'!H36</f>
        <v>1055.9400280129389</v>
      </c>
      <c r="H339" s="246">
        <f t="shared" si="69"/>
        <v>1061.9862676736498</v>
      </c>
      <c r="I339" s="246">
        <f t="shared" si="68"/>
        <v>1055.3867278299999</v>
      </c>
      <c r="J339" s="244">
        <f t="shared" si="70"/>
        <v>5.7259309243997691E-3</v>
      </c>
      <c r="K339" s="308">
        <f t="shared" si="71"/>
        <v>-5.2398826473143423E-4</v>
      </c>
      <c r="L339" s="213"/>
      <c r="M339" s="213"/>
      <c r="N339" s="213"/>
      <c r="O339" s="213"/>
      <c r="P339" s="213"/>
      <c r="Q339" s="281"/>
      <c r="R339" s="213"/>
    </row>
    <row r="340" spans="2:19">
      <c r="B340" s="229" t="str">
        <f>'2017 Determination - Revenue'!B$37</f>
        <v>Lachlan</v>
      </c>
      <c r="C340" s="210" t="str">
        <f>'2017 Determination - Revenue'!C$33</f>
        <v>$'000</v>
      </c>
      <c r="D340" s="210"/>
      <c r="E340" s="210"/>
      <c r="F340" s="244"/>
      <c r="G340" s="246">
        <f>'2017 Determination - Revenue'!H37</f>
        <v>6536.1319155625815</v>
      </c>
      <c r="H340" s="246">
        <f t="shared" si="69"/>
        <v>6249.7636263661871</v>
      </c>
      <c r="I340" s="246">
        <f t="shared" si="68"/>
        <v>6530.3106677799997</v>
      </c>
      <c r="J340" s="244">
        <f t="shared" si="70"/>
        <v>-4.381311345851957E-2</v>
      </c>
      <c r="K340" s="308">
        <f t="shared" si="71"/>
        <v>-8.9062581015564302E-4</v>
      </c>
      <c r="L340" s="213"/>
      <c r="M340" s="213"/>
      <c r="N340" s="213"/>
      <c r="O340" s="213"/>
      <c r="P340" s="213"/>
      <c r="Q340" s="281"/>
      <c r="R340" s="213"/>
    </row>
    <row r="341" spans="2:19">
      <c r="B341" s="229" t="str">
        <f>'2017 Determination - Revenue'!B$38</f>
        <v>Macquarie</v>
      </c>
      <c r="C341" s="210" t="str">
        <f>'2017 Determination - Revenue'!C$33</f>
        <v>$'000</v>
      </c>
      <c r="D341" s="210"/>
      <c r="E341" s="210"/>
      <c r="F341" s="244"/>
      <c r="G341" s="246">
        <f>'2017 Determination - Revenue'!H38</f>
        <v>5952.9292820896098</v>
      </c>
      <c r="H341" s="246">
        <f t="shared" si="69"/>
        <v>5865.5562950239582</v>
      </c>
      <c r="I341" s="246">
        <f t="shared" si="68"/>
        <v>5946.1729861099993</v>
      </c>
      <c r="J341" s="244">
        <f t="shared" si="70"/>
        <v>-1.4677309762191837E-2</v>
      </c>
      <c r="K341" s="308">
        <f t="shared" si="71"/>
        <v>-1.134953173379305E-3</v>
      </c>
      <c r="L341" s="213"/>
      <c r="M341" s="213"/>
      <c r="N341" s="213"/>
      <c r="O341" s="213"/>
      <c r="P341" s="213"/>
      <c r="Q341" s="281"/>
      <c r="R341" s="213"/>
    </row>
    <row r="342" spans="2:19">
      <c r="B342" s="229" t="str">
        <f>'2017 Determination - Revenue'!B$39</f>
        <v>Murray</v>
      </c>
      <c r="C342" s="210" t="str">
        <f>'2017 Determination - Revenue'!C$33</f>
        <v>$'000</v>
      </c>
      <c r="D342" s="210"/>
      <c r="E342" s="210"/>
      <c r="F342" s="244"/>
      <c r="G342" s="246">
        <f>'2017 Determination - Revenue'!H39</f>
        <v>4947.1990109016042</v>
      </c>
      <c r="H342" s="246">
        <f t="shared" si="69"/>
        <v>4831.3771726797559</v>
      </c>
      <c r="I342" s="246">
        <f t="shared" si="68"/>
        <v>4943.0012356307698</v>
      </c>
      <c r="J342" s="244">
        <f t="shared" si="70"/>
        <v>-2.3411598758534713E-2</v>
      </c>
      <c r="K342" s="308">
        <f t="shared" si="71"/>
        <v>-8.4851554618770031E-4</v>
      </c>
      <c r="L342" s="213"/>
      <c r="M342" s="213"/>
      <c r="N342" s="213"/>
      <c r="O342" s="213"/>
      <c r="P342" s="213"/>
      <c r="Q342" s="281"/>
      <c r="R342" s="213"/>
    </row>
    <row r="343" spans="2:19">
      <c r="B343" s="229" t="str">
        <f>'2017 Determination - Revenue'!B$40</f>
        <v>Murrumbidgee</v>
      </c>
      <c r="C343" s="210" t="str">
        <f>'2017 Determination - Revenue'!C$33</f>
        <v>$'000</v>
      </c>
      <c r="D343" s="210"/>
      <c r="E343" s="210"/>
      <c r="F343" s="244"/>
      <c r="G343" s="246">
        <f>'2017 Determination - Revenue'!H40</f>
        <v>9568.6577255460525</v>
      </c>
      <c r="H343" s="246">
        <f t="shared" si="69"/>
        <v>9292.7138801030324</v>
      </c>
      <c r="I343" s="246">
        <f t="shared" si="68"/>
        <v>9554.922382707693</v>
      </c>
      <c r="J343" s="244">
        <f t="shared" si="70"/>
        <v>-2.883830244092811E-2</v>
      </c>
      <c r="K343" s="308">
        <f t="shared" si="71"/>
        <v>-1.4354513697035776E-3</v>
      </c>
      <c r="L343" s="213"/>
      <c r="M343" s="213"/>
      <c r="N343" s="213"/>
      <c r="O343" s="213"/>
      <c r="P343" s="213"/>
      <c r="Q343" s="281"/>
      <c r="R343" s="213"/>
    </row>
    <row r="344" spans="2:19">
      <c r="B344" s="229" t="str">
        <f>'2017 Determination - Revenue'!B$41</f>
        <v>Lowbidgee</v>
      </c>
      <c r="C344" s="210" t="str">
        <f>'2017 Determination - Revenue'!C$33</f>
        <v>$'000</v>
      </c>
      <c r="D344" s="210"/>
      <c r="E344" s="210"/>
      <c r="F344" s="244"/>
      <c r="G344" s="246">
        <f>'2017 Determination - Revenue'!H41</f>
        <v>585.59474030538888</v>
      </c>
      <c r="H344" s="246">
        <f t="shared" si="69"/>
        <v>585.01639329709701</v>
      </c>
      <c r="I344" s="246">
        <f t="shared" si="68"/>
        <v>582.66</v>
      </c>
      <c r="J344" s="244">
        <f t="shared" si="70"/>
        <v>-9.87623297282747E-4</v>
      </c>
      <c r="K344" s="308">
        <f t="shared" si="71"/>
        <v>-5.0115550967183564E-3</v>
      </c>
      <c r="L344" s="213"/>
      <c r="M344" s="213"/>
      <c r="N344" s="213"/>
      <c r="O344" s="213"/>
      <c r="P344" s="213"/>
      <c r="Q344" s="281"/>
      <c r="R344" s="213"/>
    </row>
    <row r="345" spans="2:19">
      <c r="B345" s="229"/>
      <c r="C345" s="210"/>
      <c r="D345" s="210"/>
      <c r="E345" s="210"/>
      <c r="F345" s="244"/>
      <c r="G345" s="244"/>
      <c r="H345" s="164"/>
      <c r="I345" s="164"/>
      <c r="J345" s="244"/>
      <c r="K345" s="308"/>
      <c r="L345" s="213"/>
      <c r="M345" s="213"/>
      <c r="N345" s="213"/>
      <c r="O345" s="213"/>
      <c r="P345" s="213"/>
      <c r="Q345" s="281"/>
      <c r="R345" s="213"/>
    </row>
    <row r="346" spans="2:19" s="110" customFormat="1">
      <c r="B346" s="229"/>
      <c r="C346" s="210"/>
      <c r="D346" s="210"/>
      <c r="E346" s="210"/>
      <c r="F346" s="244"/>
      <c r="G346" s="244"/>
      <c r="H346" s="164"/>
      <c r="I346" s="164"/>
      <c r="J346" s="244"/>
      <c r="K346" s="308"/>
      <c r="L346" s="213"/>
      <c r="M346" s="213"/>
      <c r="N346" s="213"/>
      <c r="O346" s="213"/>
      <c r="P346" s="213"/>
      <c r="Q346" s="281"/>
      <c r="R346" s="213"/>
      <c r="S346" s="213"/>
    </row>
    <row r="347" spans="2:19" s="110" customFormat="1">
      <c r="B347" s="306" t="s">
        <v>198</v>
      </c>
      <c r="C347" s="210"/>
      <c r="D347" s="210"/>
      <c r="E347" s="210"/>
      <c r="F347" s="244"/>
      <c r="G347" s="244"/>
      <c r="H347" s="164"/>
      <c r="I347" s="164"/>
      <c r="J347" s="244"/>
      <c r="K347" s="308"/>
      <c r="L347" s="213"/>
      <c r="M347" s="213"/>
      <c r="N347" s="213"/>
      <c r="O347" s="213"/>
      <c r="P347" s="213"/>
      <c r="Q347" s="281"/>
      <c r="R347" s="213"/>
      <c r="S347" s="213"/>
    </row>
    <row r="348" spans="2:19" s="110" customFormat="1" hidden="1" outlineLevel="1">
      <c r="B348" s="262" t="s">
        <v>83</v>
      </c>
      <c r="C348" s="210"/>
      <c r="D348" s="210"/>
      <c r="E348" s="210"/>
      <c r="F348" s="244"/>
      <c r="G348" s="244"/>
      <c r="H348" s="164"/>
      <c r="I348" s="164"/>
      <c r="J348" s="244"/>
      <c r="K348" s="308"/>
      <c r="L348" s="213"/>
      <c r="M348" s="213"/>
      <c r="N348" s="213"/>
      <c r="O348" s="213"/>
      <c r="P348" s="213"/>
      <c r="Q348" s="281"/>
      <c r="R348" s="213"/>
      <c r="S348" s="213"/>
    </row>
    <row r="349" spans="2:19" s="110" customFormat="1" hidden="1" outlineLevel="1">
      <c r="B349" s="229" t="str">
        <f>'Updated Volumes'!B$31</f>
        <v xml:space="preserve">Energy Australia </v>
      </c>
      <c r="C349" s="210" t="str">
        <f>'2017 Determination - Revenue'!C$33</f>
        <v>$'000</v>
      </c>
      <c r="D349" s="210"/>
      <c r="E349" s="210"/>
      <c r="F349" s="232"/>
      <c r="G349" s="232"/>
      <c r="H349" s="164">
        <f>'FRWS calcs'!H14*ROUND('2017 Determination - charges'!H91,2)</f>
        <v>3191.76</v>
      </c>
      <c r="I349" s="164">
        <f>'FRWS calcs'!H14*ROUND(Outputs!H148,2)</f>
        <v>3191.76</v>
      </c>
      <c r="J349" s="248" t="s">
        <v>133</v>
      </c>
      <c r="K349" s="308"/>
      <c r="L349" s="213"/>
      <c r="M349" s="213"/>
      <c r="N349" s="213"/>
      <c r="O349" s="213"/>
      <c r="P349" s="213"/>
      <c r="Q349" s="281"/>
      <c r="R349" s="213"/>
      <c r="S349" s="213"/>
    </row>
    <row r="350" spans="2:19" s="110" customFormat="1" hidden="1" outlineLevel="1">
      <c r="B350" s="229" t="str">
        <f>'Updated Volumes'!B$32</f>
        <v xml:space="preserve">Minor customers (raw) </v>
      </c>
      <c r="C350" s="210" t="str">
        <f>'2017 Determination - Revenue'!C$33</f>
        <v>$'000</v>
      </c>
      <c r="D350" s="210"/>
      <c r="E350" s="210"/>
      <c r="F350" s="232"/>
      <c r="G350" s="232"/>
      <c r="H350" s="164">
        <f>'FRWS calcs'!H15*ROUND('2017 Determination - charges'!H92,2)</f>
        <v>6.4740000000000011</v>
      </c>
      <c r="I350" s="164">
        <f>'FRWS calcs'!H15*ROUND(Outputs!H149,2)</f>
        <v>6.4740000000000011</v>
      </c>
      <c r="J350" s="248" t="s">
        <v>133</v>
      </c>
      <c r="K350" s="308"/>
      <c r="L350" s="213"/>
      <c r="M350" s="213"/>
      <c r="N350" s="213"/>
      <c r="O350" s="213"/>
      <c r="P350" s="213"/>
      <c r="Q350" s="281"/>
      <c r="R350" s="213"/>
      <c r="S350" s="213"/>
    </row>
    <row r="351" spans="2:19" s="110" customFormat="1" hidden="1" outlineLevel="1">
      <c r="B351" s="229" t="str">
        <f>'Updated Volumes'!B$33</f>
        <v xml:space="preserve">Minor customers (filtered) </v>
      </c>
      <c r="C351" s="210" t="str">
        <f>'2017 Determination - Revenue'!C$33</f>
        <v>$'000</v>
      </c>
      <c r="D351" s="210"/>
      <c r="E351" s="210"/>
      <c r="F351" s="232"/>
      <c r="G351" s="232"/>
      <c r="H351" s="164">
        <f>'FRWS calcs'!H16*ROUND('2017 Determination - charges'!H93,2)</f>
        <v>34.655999999999999</v>
      </c>
      <c r="I351" s="164">
        <f>'FRWS calcs'!H16*ROUND(Outputs!H150,2)</f>
        <v>34.655999999999999</v>
      </c>
      <c r="J351" s="248" t="s">
        <v>133</v>
      </c>
      <c r="K351" s="308"/>
      <c r="L351" s="213"/>
      <c r="M351" s="213"/>
      <c r="N351" s="213"/>
      <c r="O351" s="213"/>
      <c r="P351" s="213"/>
      <c r="Q351" s="281"/>
      <c r="R351" s="213"/>
      <c r="S351" s="213"/>
    </row>
    <row r="352" spans="2:19" s="110" customFormat="1" hidden="1" outlineLevel="1">
      <c r="B352" s="229"/>
      <c r="C352" s="210"/>
      <c r="D352" s="210"/>
      <c r="E352" s="210"/>
      <c r="F352" s="232"/>
      <c r="G352" s="232"/>
      <c r="H352" s="164"/>
      <c r="I352" s="164"/>
      <c r="J352" s="232"/>
      <c r="K352" s="308"/>
      <c r="L352" s="213"/>
      <c r="M352" s="213"/>
      <c r="N352" s="213"/>
      <c r="O352" s="213"/>
      <c r="P352" s="213"/>
      <c r="Q352" s="281"/>
      <c r="R352" s="213"/>
      <c r="S352" s="213"/>
    </row>
    <row r="353" spans="2:19" s="110" customFormat="1" hidden="1" outlineLevel="1">
      <c r="B353" s="262" t="s">
        <v>84</v>
      </c>
      <c r="C353" s="210"/>
      <c r="D353" s="210"/>
      <c r="E353" s="210"/>
      <c r="F353" s="232"/>
      <c r="G353" s="232"/>
      <c r="H353" s="164"/>
      <c r="I353" s="164"/>
      <c r="J353" s="232"/>
      <c r="K353" s="308"/>
      <c r="L353" s="213"/>
      <c r="M353" s="213"/>
      <c r="N353" s="213"/>
      <c r="O353" s="213"/>
      <c r="P353" s="213"/>
      <c r="Q353" s="281"/>
      <c r="R353" s="213"/>
      <c r="S353" s="213"/>
    </row>
    <row r="354" spans="2:19" s="110" customFormat="1" hidden="1" outlineLevel="1">
      <c r="B354" s="229" t="str">
        <f>'Updated Volumes'!B$31</f>
        <v xml:space="preserve">Energy Australia </v>
      </c>
      <c r="C354" s="210" t="str">
        <f>'2017 Determination - Revenue'!C$33</f>
        <v>$'000</v>
      </c>
      <c r="D354" s="210"/>
      <c r="E354" s="210"/>
      <c r="F354" s="232"/>
      <c r="G354" s="232"/>
      <c r="H354" s="164">
        <f>'FRWS calcs'!H25*ROUND('2017 Determination - charges'!H96,2)</f>
        <v>422.68309333333332</v>
      </c>
      <c r="I354" s="164">
        <f>'FRWS calcs'!H25*ROUND(Outputs!H153,2)</f>
        <v>369.84770666666662</v>
      </c>
      <c r="J354" s="248" t="s">
        <v>133</v>
      </c>
      <c r="K354" s="308"/>
      <c r="L354" s="213"/>
      <c r="M354" s="213"/>
      <c r="N354" s="213"/>
      <c r="O354" s="213"/>
      <c r="P354" s="213"/>
      <c r="Q354" s="281"/>
      <c r="R354" s="213"/>
      <c r="S354" s="213"/>
    </row>
    <row r="355" spans="2:19" s="110" customFormat="1" hidden="1" outlineLevel="1">
      <c r="B355" s="229" t="str">
        <f>'Updated Volumes'!B$32</f>
        <v xml:space="preserve">Minor customers (raw) </v>
      </c>
      <c r="C355" s="210" t="str">
        <f>'2017 Determination - Revenue'!C$33</f>
        <v>$'000</v>
      </c>
      <c r="D355" s="210"/>
      <c r="E355" s="210"/>
      <c r="F355" s="232"/>
      <c r="G355" s="232"/>
      <c r="H355" s="164">
        <f>'FRWS calcs'!H26*ROUND('2017 Determination - charges'!H97,2)</f>
        <v>3.984</v>
      </c>
      <c r="I355" s="164">
        <f>'FRWS calcs'!H26*ROUND(Outputs!H154,2)</f>
        <v>3.984</v>
      </c>
      <c r="J355" s="248" t="s">
        <v>133</v>
      </c>
      <c r="K355" s="308"/>
      <c r="L355" s="213"/>
      <c r="M355" s="213"/>
      <c r="N355" s="213"/>
      <c r="O355" s="213"/>
      <c r="P355" s="213"/>
      <c r="Q355" s="281"/>
      <c r="R355" s="213"/>
      <c r="S355" s="213"/>
    </row>
    <row r="356" spans="2:19" s="110" customFormat="1" hidden="1" outlineLevel="1">
      <c r="B356" s="229" t="str">
        <f>'Updated Volumes'!B$33</f>
        <v xml:space="preserve">Minor customers (filtered) </v>
      </c>
      <c r="C356" s="210" t="str">
        <f>'2017 Determination - Revenue'!C$33</f>
        <v>$'000</v>
      </c>
      <c r="D356" s="210"/>
      <c r="E356" s="210"/>
      <c r="F356" s="232"/>
      <c r="G356" s="232"/>
      <c r="H356" s="164">
        <f>'FRWS calcs'!H27*ROUND('2017 Determination - charges'!H98,2)</f>
        <v>20.976000000000003</v>
      </c>
      <c r="I356" s="164">
        <f>'FRWS calcs'!H27*ROUND(Outputs!H155,2)</f>
        <v>25.991999999999997</v>
      </c>
      <c r="J356" s="248" t="s">
        <v>133</v>
      </c>
      <c r="K356" s="308"/>
      <c r="L356" s="213"/>
      <c r="M356" s="213"/>
      <c r="N356" s="213"/>
      <c r="O356" s="213"/>
      <c r="P356" s="213"/>
      <c r="Q356" s="281"/>
      <c r="R356" s="213"/>
      <c r="S356" s="213"/>
    </row>
    <row r="357" spans="2:19" s="110" customFormat="1" hidden="1" outlineLevel="1">
      <c r="B357" s="229"/>
      <c r="C357" s="210"/>
      <c r="D357" s="210"/>
      <c r="E357" s="210"/>
      <c r="F357" s="232"/>
      <c r="G357" s="232"/>
      <c r="H357" s="164"/>
      <c r="I357" s="164"/>
      <c r="J357" s="232"/>
      <c r="K357" s="308"/>
      <c r="L357" s="213"/>
      <c r="M357" s="213"/>
      <c r="N357" s="213"/>
      <c r="O357" s="213"/>
      <c r="P357" s="213"/>
      <c r="Q357" s="281"/>
      <c r="R357" s="213"/>
      <c r="S357" s="213"/>
    </row>
    <row r="358" spans="2:19" s="110" customFormat="1" hidden="1" outlineLevel="1">
      <c r="B358" s="262" t="s">
        <v>85</v>
      </c>
      <c r="C358" s="210"/>
      <c r="D358" s="210"/>
      <c r="E358" s="210"/>
      <c r="F358" s="232"/>
      <c r="G358" s="232"/>
      <c r="H358" s="164"/>
      <c r="I358" s="164"/>
      <c r="J358" s="232"/>
      <c r="K358" s="308"/>
      <c r="L358" s="213"/>
      <c r="M358" s="213"/>
      <c r="N358" s="213"/>
      <c r="O358" s="213"/>
      <c r="P358" s="213"/>
      <c r="Q358" s="281"/>
      <c r="R358" s="213"/>
      <c r="S358" s="213"/>
    </row>
    <row r="359" spans="2:19" s="110" customFormat="1" hidden="1" outlineLevel="1">
      <c r="B359" s="229" t="str">
        <f>'Updated Volumes'!B$31</f>
        <v xml:space="preserve">Energy Australia </v>
      </c>
      <c r="C359" s="210" t="str">
        <f>'2017 Determination - Revenue'!C$33</f>
        <v>$'000</v>
      </c>
      <c r="D359" s="210"/>
      <c r="E359" s="210"/>
      <c r="F359" s="232"/>
      <c r="G359" s="232"/>
      <c r="H359" s="164">
        <f>'FRWS calcs'!H30*ROUND('2017 Determination - charges'!H101,2)</f>
        <v>0</v>
      </c>
      <c r="I359" s="164">
        <f>'FRWS calcs'!H30*ROUND(Outputs!H158,2)</f>
        <v>0</v>
      </c>
      <c r="J359" s="248" t="s">
        <v>133</v>
      </c>
      <c r="K359" s="308"/>
      <c r="L359" s="213"/>
      <c r="M359" s="213"/>
      <c r="N359" s="213"/>
      <c r="O359" s="213"/>
      <c r="P359" s="213"/>
      <c r="Q359" s="281"/>
      <c r="R359" s="213"/>
      <c r="S359" s="213"/>
    </row>
    <row r="360" spans="2:19" s="110" customFormat="1" hidden="1" outlineLevel="1">
      <c r="B360" s="229" t="str">
        <f>'Updated Volumes'!B$32</f>
        <v xml:space="preserve">Minor customers (raw) </v>
      </c>
      <c r="C360" s="210" t="str">
        <f>'2017 Determination - Revenue'!C$33</f>
        <v>$'000</v>
      </c>
      <c r="D360" s="210"/>
      <c r="E360" s="210"/>
      <c r="F360" s="232"/>
      <c r="G360" s="232"/>
      <c r="H360" s="164">
        <f>'FRWS calcs'!H31*ROUND('2017 Determination - charges'!H102,2)</f>
        <v>21.580703999999997</v>
      </c>
      <c r="I360" s="164">
        <f>'FRWS calcs'!H31*ROUND(Outputs!H159,2)</f>
        <v>21.243505499999998</v>
      </c>
      <c r="J360" s="248" t="s">
        <v>133</v>
      </c>
      <c r="K360" s="308"/>
      <c r="L360" s="213"/>
      <c r="M360" s="213"/>
      <c r="N360" s="213"/>
      <c r="O360" s="213"/>
      <c r="P360" s="213"/>
      <c r="Q360" s="281"/>
      <c r="R360" s="213"/>
      <c r="S360" s="213"/>
    </row>
    <row r="361" spans="2:19" s="110" customFormat="1" hidden="1" outlineLevel="1">
      <c r="B361" s="229" t="str">
        <f>'Updated Volumes'!B$33</f>
        <v xml:space="preserve">Minor customers (filtered) </v>
      </c>
      <c r="C361" s="210" t="str">
        <f>'2017 Determination - Revenue'!C$33</f>
        <v>$'000</v>
      </c>
      <c r="D361" s="210"/>
      <c r="E361" s="210"/>
      <c r="F361" s="232"/>
      <c r="G361" s="232"/>
      <c r="H361" s="164">
        <f>'FRWS calcs'!H32*ROUND('2017 Determination - charges'!H103,2)</f>
        <v>73.939591000000007</v>
      </c>
      <c r="I361" s="164">
        <f>'FRWS calcs'!H32*ROUND(Outputs!H160,2)</f>
        <v>81.272443000000024</v>
      </c>
      <c r="J361" s="248" t="s">
        <v>133</v>
      </c>
      <c r="K361" s="308"/>
      <c r="L361" s="213"/>
      <c r="M361" s="213"/>
      <c r="N361" s="213"/>
      <c r="O361" s="213"/>
      <c r="P361" s="213"/>
      <c r="Q361" s="281"/>
      <c r="R361" s="213"/>
      <c r="S361" s="213"/>
    </row>
    <row r="362" spans="2:19" s="110" customFormat="1" hidden="1" outlineLevel="1">
      <c r="B362" s="229"/>
      <c r="C362" s="210"/>
      <c r="D362" s="210"/>
      <c r="E362" s="210"/>
      <c r="F362" s="244"/>
      <c r="G362" s="244"/>
      <c r="H362" s="164"/>
      <c r="I362" s="164"/>
      <c r="J362" s="244"/>
      <c r="K362" s="308"/>
      <c r="L362" s="213"/>
      <c r="M362" s="213"/>
      <c r="N362" s="213"/>
      <c r="O362" s="213"/>
      <c r="P362" s="213"/>
      <c r="Q362" s="281"/>
      <c r="R362" s="213"/>
      <c r="S362" s="213"/>
    </row>
    <row r="363" spans="2:19" s="110" customFormat="1" collapsed="1">
      <c r="B363" s="262" t="s">
        <v>195</v>
      </c>
      <c r="C363" s="210"/>
      <c r="D363" s="210"/>
      <c r="E363" s="210"/>
      <c r="F363" s="244"/>
      <c r="G363" s="244"/>
      <c r="H363" s="164"/>
      <c r="I363" s="164"/>
      <c r="J363" s="244"/>
      <c r="K363" s="308"/>
      <c r="L363" s="213"/>
      <c r="M363" s="213"/>
      <c r="N363" s="213"/>
      <c r="O363" s="213"/>
      <c r="P363" s="213"/>
      <c r="Q363" s="281"/>
      <c r="R363" s="213"/>
      <c r="S363" s="213"/>
    </row>
    <row r="364" spans="2:19" s="110" customFormat="1">
      <c r="B364" s="229" t="str">
        <f>'Updated Volumes'!B$31</f>
        <v xml:space="preserve">Energy Australia </v>
      </c>
      <c r="C364" s="210" t="str">
        <f>'2017 Determination - Revenue'!C$33</f>
        <v>$'000</v>
      </c>
      <c r="D364" s="210"/>
      <c r="E364" s="210"/>
      <c r="F364" s="244"/>
      <c r="G364" s="246">
        <f>'2017 Determination - Revenue'!H69</f>
        <v>3582.3064354548201</v>
      </c>
      <c r="H364" s="246">
        <f t="shared" ref="H364:I364" si="72">H349+H354+H359</f>
        <v>3614.4430933333333</v>
      </c>
      <c r="I364" s="246">
        <f t="shared" si="72"/>
        <v>3561.6077066666667</v>
      </c>
      <c r="J364" s="244">
        <f>H364/G364-1</f>
        <v>8.9709404981244134E-3</v>
      </c>
      <c r="K364" s="308">
        <f t="shared" si="71"/>
        <v>-5.7780452792351999E-3</v>
      </c>
      <c r="L364" s="213"/>
      <c r="M364" s="213"/>
      <c r="N364" s="213"/>
      <c r="O364" s="213"/>
      <c r="P364" s="213"/>
      <c r="Q364" s="281"/>
      <c r="R364" s="213"/>
      <c r="S364" s="213"/>
    </row>
    <row r="365" spans="2:19" s="110" customFormat="1">
      <c r="B365" s="229" t="str">
        <f>'Updated Volumes'!B$32</f>
        <v xml:space="preserve">Minor customers (raw) </v>
      </c>
      <c r="C365" s="210" t="str">
        <f>'2017 Determination - Revenue'!C$33</f>
        <v>$'000</v>
      </c>
      <c r="D365" s="210"/>
      <c r="E365" s="210"/>
      <c r="F365" s="244"/>
      <c r="G365" s="246">
        <f>'2017 Determination - Revenue'!H70</f>
        <v>31.820077004246794</v>
      </c>
      <c r="H365" s="246">
        <f t="shared" ref="H365:I365" si="73">H350+H355+H360</f>
        <v>32.038703999999996</v>
      </c>
      <c r="I365" s="246">
        <f t="shared" si="73"/>
        <v>31.7015055</v>
      </c>
      <c r="J365" s="244">
        <f t="shared" ref="J365:J366" si="74">H365/G365-1</f>
        <v>6.8707249113200142E-3</v>
      </c>
      <c r="K365" s="308">
        <f t="shared" si="71"/>
        <v>-3.7263110403840116E-3</v>
      </c>
      <c r="L365" s="213"/>
      <c r="M365" s="213"/>
      <c r="N365" s="213"/>
      <c r="O365" s="213"/>
      <c r="P365" s="213"/>
      <c r="Q365" s="281"/>
      <c r="R365" s="213"/>
      <c r="S365" s="213"/>
    </row>
    <row r="366" spans="2:19" s="110" customFormat="1">
      <c r="B366" s="229" t="str">
        <f>'Updated Volumes'!B$33</f>
        <v xml:space="preserve">Minor customers (filtered) </v>
      </c>
      <c r="C366" s="210" t="str">
        <f>'2017 Determination - Revenue'!C$33</f>
        <v>$'000</v>
      </c>
      <c r="D366" s="210"/>
      <c r="E366" s="210"/>
      <c r="F366" s="244"/>
      <c r="G366" s="246">
        <f>'2017 Determination - Revenue'!H71</f>
        <v>140.89264543944256</v>
      </c>
      <c r="H366" s="246">
        <f t="shared" ref="H366:I366" si="75">H351+H356+H361</f>
        <v>129.57159100000001</v>
      </c>
      <c r="I366" s="246">
        <f t="shared" si="75"/>
        <v>141.92044300000003</v>
      </c>
      <c r="J366" s="244">
        <f t="shared" si="74"/>
        <v>-8.0352344894457084E-2</v>
      </c>
      <c r="K366" s="308">
        <f t="shared" si="71"/>
        <v>7.2948985899994323E-3</v>
      </c>
      <c r="L366" s="213"/>
      <c r="M366" s="213"/>
      <c r="N366" s="213"/>
      <c r="O366" s="213"/>
      <c r="P366" s="213"/>
      <c r="Q366" s="281"/>
      <c r="R366" s="213"/>
      <c r="S366" s="213"/>
    </row>
    <row r="367" spans="2:19" s="110" customFormat="1">
      <c r="B367" s="229"/>
      <c r="C367" s="210"/>
      <c r="D367" s="210"/>
      <c r="E367" s="210"/>
      <c r="F367" s="244"/>
      <c r="G367" s="244"/>
      <c r="H367" s="164"/>
      <c r="I367" s="164"/>
      <c r="J367" s="244"/>
      <c r="K367" s="308"/>
      <c r="L367" s="213"/>
      <c r="M367" s="213"/>
      <c r="N367" s="213"/>
      <c r="O367" s="213"/>
      <c r="P367" s="213"/>
      <c r="Q367" s="281"/>
      <c r="R367" s="213"/>
      <c r="S367" s="213"/>
    </row>
    <row r="368" spans="2:19" s="110" customFormat="1">
      <c r="B368" s="229"/>
      <c r="C368" s="210"/>
      <c r="D368" s="210"/>
      <c r="E368" s="210"/>
      <c r="F368" s="244"/>
      <c r="G368" s="244"/>
      <c r="H368" s="164"/>
      <c r="I368" s="164"/>
      <c r="J368" s="244"/>
      <c r="K368" s="308"/>
      <c r="L368" s="213"/>
      <c r="M368" s="213"/>
      <c r="N368" s="213"/>
      <c r="O368" s="213"/>
      <c r="P368" s="213"/>
      <c r="Q368" s="281"/>
      <c r="R368" s="213"/>
      <c r="S368" s="213"/>
    </row>
    <row r="369" spans="2:19" s="110" customFormat="1">
      <c r="B369" s="306" t="s">
        <v>196</v>
      </c>
      <c r="C369" s="210"/>
      <c r="D369" s="210"/>
      <c r="E369" s="210"/>
      <c r="F369" s="244"/>
      <c r="G369" s="246">
        <f>SUM(G336:G344)+SUM(G364:G366)</f>
        <v>44420.079437859982</v>
      </c>
      <c r="H369" s="246">
        <f>SUM(H336:H344)+SUM(H364:H366)</f>
        <v>43432.927207631808</v>
      </c>
      <c r="I369" s="246">
        <f>SUM(I336:I344)+SUM(I364:I366)</f>
        <v>44359.381660645129</v>
      </c>
      <c r="J369" s="244">
        <f>H369/G369-1</f>
        <v>-2.2223108169113437E-2</v>
      </c>
      <c r="K369" s="308">
        <f t="shared" si="71"/>
        <v>-1.3664490920094474E-3</v>
      </c>
      <c r="L369" s="213"/>
      <c r="M369" s="213"/>
      <c r="N369" s="213"/>
      <c r="O369" s="213"/>
      <c r="P369" s="213"/>
      <c r="Q369" s="281"/>
      <c r="R369" s="213"/>
      <c r="S369" s="213"/>
    </row>
    <row r="370" spans="2:19">
      <c r="B370" s="45"/>
      <c r="C370" s="36"/>
      <c r="D370" s="36"/>
      <c r="E370" s="36"/>
      <c r="F370" s="36"/>
      <c r="G370" s="36"/>
      <c r="H370" s="36"/>
      <c r="I370" s="36"/>
      <c r="J370" s="36"/>
      <c r="K370" s="46"/>
      <c r="L370" s="213"/>
      <c r="M370" s="213"/>
      <c r="Q370" s="81"/>
      <c r="R370" s="32"/>
    </row>
    <row r="377" spans="2:19">
      <c r="F377" s="86"/>
      <c r="G377" s="86"/>
      <c r="H377" s="86"/>
    </row>
    <row r="378" spans="2:19">
      <c r="F378" s="86"/>
      <c r="G378" s="86"/>
      <c r="H378" s="86"/>
    </row>
    <row r="379" spans="2:19">
      <c r="F379" s="86"/>
      <c r="G379" s="86"/>
      <c r="H379" s="86"/>
    </row>
  </sheetData>
  <mergeCells count="8">
    <mergeCell ref="J23:K23"/>
    <mergeCell ref="J64:K64"/>
    <mergeCell ref="J104:K104"/>
    <mergeCell ref="J144:K144"/>
    <mergeCell ref="N23:O23"/>
    <mergeCell ref="N64:O64"/>
    <mergeCell ref="N104:O104"/>
    <mergeCell ref="N144:O14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 tint="-0.499984740745262"/>
  </sheetPr>
  <dimension ref="D5"/>
  <sheetViews>
    <sheetView showGridLines="0" workbookViewId="0"/>
  </sheetViews>
  <sheetFormatPr defaultRowHeight="11.5"/>
  <sheetData>
    <row r="5" spans="4:4" ht="15.5">
      <c r="D5" s="2" t="s">
        <v>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Q213"/>
  <sheetViews>
    <sheetView showGridLines="0" zoomScaleNormal="100" workbookViewId="0">
      <selection activeCell="B224" sqref="B224"/>
    </sheetView>
  </sheetViews>
  <sheetFormatPr defaultColWidth="9.09765625" defaultRowHeight="11.5"/>
  <cols>
    <col min="1" max="1" width="3.8984375" style="32" customWidth="1"/>
    <col min="2" max="2" width="50.69921875" style="32" customWidth="1"/>
    <col min="3" max="3" width="9" style="32" customWidth="1"/>
    <col min="4" max="4" width="5.69921875" style="32" customWidth="1"/>
    <col min="5" max="5" width="12.09765625" style="32" customWidth="1"/>
    <col min="6" max="6" width="16.19921875" style="54" bestFit="1" customWidth="1"/>
    <col min="7" max="7" width="12.8984375" style="32" customWidth="1"/>
    <col min="8" max="8" width="12.8984375" style="136" customWidth="1"/>
    <col min="9" max="9" width="5.69921875" style="32" customWidth="1"/>
    <col min="10" max="10" width="2.8984375" style="32" customWidth="1"/>
    <col min="11" max="11" width="9.09765625" style="32" customWidth="1"/>
    <col min="12" max="12" width="9.09765625" style="213" customWidth="1"/>
    <col min="13" max="16" width="9.09765625" style="32" customWidth="1"/>
    <col min="17" max="16384" width="9.09765625" style="32"/>
  </cols>
  <sheetData>
    <row r="2" spans="2:10" ht="18">
      <c r="B2" s="35" t="s">
        <v>153</v>
      </c>
    </row>
    <row r="3" spans="2:10">
      <c r="B3" s="32" t="s">
        <v>157</v>
      </c>
    </row>
    <row r="5" spans="2:10">
      <c r="B5" s="118" t="s">
        <v>28</v>
      </c>
      <c r="C5" s="118"/>
      <c r="D5" s="118"/>
      <c r="G5" s="153" t="s">
        <v>29</v>
      </c>
      <c r="H5" s="153"/>
    </row>
    <row r="6" spans="2:10">
      <c r="B6" s="236" t="str">
        <f>B16</f>
        <v>TABLE 5.1 - USAGE AND ENTITLEMENT VOLUMES FOR CALCULATIONS</v>
      </c>
      <c r="C6" s="236"/>
      <c r="D6" s="236"/>
      <c r="E6" s="261"/>
      <c r="F6" s="236"/>
      <c r="G6" s="236">
        <f>ROW(B16)</f>
        <v>16</v>
      </c>
      <c r="H6" s="232"/>
      <c r="I6" s="281"/>
      <c r="J6" s="213"/>
    </row>
    <row r="7" spans="2:10">
      <c r="B7" s="237" t="str">
        <f>B57</f>
        <v xml:space="preserve">TABLE 5.2 - TWENTY YEAR AVERAGE ACTUAL ALLOCATIONS </v>
      </c>
      <c r="C7" s="237"/>
      <c r="D7" s="237"/>
      <c r="E7" s="210"/>
      <c r="F7" s="237"/>
      <c r="G7" s="237">
        <f>ROW(B57)</f>
        <v>57</v>
      </c>
      <c r="H7" s="232"/>
      <c r="I7" s="281"/>
      <c r="J7" s="213"/>
    </row>
    <row r="8" spans="2:10">
      <c r="B8" s="237" t="str">
        <f>B97</f>
        <v>TABLE 5.3 - RELIABILITY RATIO AND HIGH SECURITY ENTITLEMENT PREMIUM</v>
      </c>
      <c r="C8" s="237"/>
      <c r="D8" s="237"/>
      <c r="E8" s="210"/>
      <c r="F8" s="237"/>
      <c r="G8" s="237">
        <f>ROW(B97)</f>
        <v>97</v>
      </c>
      <c r="H8" s="232"/>
      <c r="I8" s="281"/>
      <c r="J8" s="213"/>
    </row>
    <row r="9" spans="2:10">
      <c r="B9" s="237" t="str">
        <f>B127</f>
        <v>TABLE 5.4 - TOTAL NUMBER OF 'GS ENTITLEMENT EQUIVALENTS'</v>
      </c>
      <c r="C9" s="237"/>
      <c r="D9" s="237"/>
      <c r="E9" s="210"/>
      <c r="F9" s="237"/>
      <c r="G9" s="237">
        <f>ROW(B127)</f>
        <v>127</v>
      </c>
      <c r="H9" s="232"/>
      <c r="I9" s="281"/>
      <c r="J9" s="213"/>
    </row>
    <row r="10" spans="2:10">
      <c r="B10" s="237" t="str">
        <f>B144</f>
        <v>TABLE 5.5 - REVENUE TO BE RECOVERED FROM CHARGES (EXCLUDING MDBA/BRC REVENUE)</v>
      </c>
      <c r="C10" s="237"/>
      <c r="D10" s="237"/>
      <c r="E10" s="210"/>
      <c r="F10" s="237"/>
      <c r="G10" s="237">
        <f>ROW(B144)</f>
        <v>144</v>
      </c>
      <c r="H10" s="232"/>
      <c r="I10" s="281"/>
      <c r="J10" s="213"/>
    </row>
    <row r="11" spans="2:10">
      <c r="B11" s="159" t="str">
        <f>B186</f>
        <v>TABLE 5.6 - REVENUE TO BE RECOVERED FROM CHARGES (ONLY MDBA/BRC REVENUE)</v>
      </c>
      <c r="C11" s="159"/>
      <c r="D11" s="159"/>
      <c r="E11" s="56"/>
      <c r="F11" s="159"/>
      <c r="G11" s="159">
        <f>ROW(B186)</f>
        <v>186</v>
      </c>
      <c r="H11" s="232"/>
      <c r="I11" s="281"/>
      <c r="J11" s="213"/>
    </row>
    <row r="12" spans="2:10">
      <c r="B12" s="213"/>
      <c r="C12" s="210"/>
      <c r="D12" s="210"/>
      <c r="E12" s="210"/>
      <c r="F12" s="213"/>
      <c r="G12" s="213"/>
      <c r="H12" s="248"/>
      <c r="I12" s="213"/>
      <c r="J12" s="213"/>
    </row>
    <row r="13" spans="2:10">
      <c r="B13" s="213"/>
      <c r="C13" s="210"/>
      <c r="D13" s="210"/>
      <c r="E13" s="210"/>
      <c r="F13" s="213"/>
      <c r="G13" s="213"/>
      <c r="H13" s="248"/>
      <c r="I13" s="213"/>
      <c r="J13" s="213"/>
    </row>
    <row r="14" spans="2:10">
      <c r="B14" s="282"/>
      <c r="C14" s="210"/>
      <c r="D14" s="210"/>
      <c r="E14" s="210"/>
      <c r="F14" s="213"/>
      <c r="G14" s="213"/>
      <c r="H14" s="248"/>
      <c r="I14" s="213"/>
      <c r="J14" s="213"/>
    </row>
    <row r="15" spans="2:10">
      <c r="B15" s="213"/>
      <c r="C15" s="213"/>
      <c r="D15" s="213"/>
      <c r="E15" s="213"/>
      <c r="F15" s="213"/>
      <c r="G15" s="213"/>
      <c r="H15" s="248"/>
      <c r="I15" s="213"/>
      <c r="J15" s="213"/>
    </row>
    <row r="16" spans="2:10">
      <c r="B16" s="268" t="s">
        <v>172</v>
      </c>
      <c r="C16" s="213"/>
      <c r="D16" s="213"/>
      <c r="E16" s="213"/>
      <c r="F16" s="220"/>
      <c r="G16" s="213"/>
      <c r="H16" s="213"/>
      <c r="I16" s="213"/>
      <c r="J16" s="213"/>
    </row>
    <row r="17" spans="2:12">
      <c r="B17" s="260" t="str">
        <f>'2017 Determination - Revenue'!B$16</f>
        <v>Financial year</v>
      </c>
      <c r="C17" s="261" t="str">
        <f>'2017 Determination - Revenue'!C$28</f>
        <v>Units</v>
      </c>
      <c r="D17" s="261"/>
      <c r="E17" s="230"/>
      <c r="F17" s="230" t="str">
        <f>'2017 Determination - Revenue'!F$16</f>
        <v>2017-18</v>
      </c>
      <c r="G17" s="230" t="str">
        <f>'2017 Determination - Revenue'!G$16</f>
        <v>2018-19</v>
      </c>
      <c r="H17" s="230" t="str">
        <f>'2017 Determination - Revenue'!H$16</f>
        <v>2019-20</v>
      </c>
      <c r="I17" s="283"/>
      <c r="J17" s="213"/>
    </row>
    <row r="18" spans="2:12">
      <c r="B18" s="229"/>
      <c r="C18" s="210"/>
      <c r="D18" s="210"/>
      <c r="E18" s="210"/>
      <c r="F18" s="215"/>
      <c r="G18" s="215"/>
      <c r="H18" s="235"/>
      <c r="I18" s="284"/>
      <c r="J18" s="213"/>
    </row>
    <row r="19" spans="2:12" ht="12">
      <c r="B19" s="279" t="s">
        <v>144</v>
      </c>
      <c r="C19" s="210"/>
      <c r="D19" s="210"/>
      <c r="E19" s="210"/>
      <c r="F19" s="210"/>
      <c r="G19" s="210"/>
      <c r="H19" s="232"/>
      <c r="I19" s="257"/>
      <c r="J19" s="213"/>
    </row>
    <row r="20" spans="2:12">
      <c r="B20" s="262" t="s">
        <v>55</v>
      </c>
      <c r="C20" s="210"/>
      <c r="D20" s="210"/>
      <c r="E20" s="210"/>
      <c r="F20" s="210"/>
      <c r="G20" s="210"/>
      <c r="H20" s="232"/>
      <c r="I20" s="257"/>
      <c r="J20" s="213"/>
    </row>
    <row r="21" spans="2:12">
      <c r="B21" s="229" t="str">
        <f>'2017 Determination - Revenue'!B$33</f>
        <v>Border</v>
      </c>
      <c r="C21" s="210" t="str">
        <f>'Updated Volumes'!$C$20</f>
        <v>ML</v>
      </c>
      <c r="D21" s="210"/>
      <c r="E21" s="210"/>
      <c r="F21" s="91">
        <f>AVERAGE('Updated Volumes'!F20:Y20)</f>
        <v>148174.473</v>
      </c>
      <c r="G21" s="91">
        <f>AVERAGE('Updated Volumes'!G20:Z20)</f>
        <v>151299.038</v>
      </c>
      <c r="H21" s="177">
        <f>AVERAGE('Updated Volumes'!H20:AA20)</f>
        <v>148885.13299999997</v>
      </c>
      <c r="I21" s="257"/>
      <c r="J21" s="213"/>
    </row>
    <row r="22" spans="2:12">
      <c r="B22" s="229" t="str">
        <f>'2017 Determination - Revenue'!B$34</f>
        <v>Gwydir</v>
      </c>
      <c r="C22" s="210" t="str">
        <f>'Updated Volumes'!$C$20</f>
        <v>ML</v>
      </c>
      <c r="D22" s="210"/>
      <c r="E22" s="210"/>
      <c r="F22" s="91">
        <f>AVERAGE('Updated Volumes'!F21:Y21)</f>
        <v>262135.2</v>
      </c>
      <c r="G22" s="91">
        <f>AVERAGE('Updated Volumes'!G21:Z21)</f>
        <v>259040.05</v>
      </c>
      <c r="H22" s="177">
        <f>AVERAGE('Updated Volumes'!H21:AA21)</f>
        <v>252046.685</v>
      </c>
      <c r="I22" s="257"/>
      <c r="J22" s="213"/>
    </row>
    <row r="23" spans="2:12">
      <c r="B23" s="229" t="str">
        <f>'2017 Determination - Revenue'!B$35</f>
        <v>Namoi</v>
      </c>
      <c r="C23" s="210" t="str">
        <f>'Updated Volumes'!$C$20</f>
        <v>ML</v>
      </c>
      <c r="D23" s="210"/>
      <c r="E23" s="210"/>
      <c r="F23" s="91">
        <f>AVERAGE('Updated Volumes'!F22:Y22)</f>
        <v>164798.92549999998</v>
      </c>
      <c r="G23" s="91">
        <f>AVERAGE('Updated Volumes'!G22:Z22)</f>
        <v>165530.56050000002</v>
      </c>
      <c r="H23" s="177">
        <f>AVERAGE('Updated Volumes'!H22:AA22)</f>
        <v>158374.63900000002</v>
      </c>
      <c r="I23" s="257"/>
      <c r="J23" s="213"/>
    </row>
    <row r="24" spans="2:12">
      <c r="B24" s="229" t="str">
        <f>'2017 Determination - Revenue'!B$36</f>
        <v>Peel</v>
      </c>
      <c r="C24" s="210" t="str">
        <f>'Updated Volumes'!$C$20</f>
        <v>ML</v>
      </c>
      <c r="D24" s="210"/>
      <c r="E24" s="210"/>
      <c r="F24" s="91">
        <f>AVERAGE('Updated Volumes'!F23:Y23)</f>
        <v>11495.845000000001</v>
      </c>
      <c r="G24" s="91">
        <f>AVERAGE('Updated Volumes'!G23:Z23)</f>
        <v>11732.09</v>
      </c>
      <c r="H24" s="177">
        <f>AVERAGE('Updated Volumes'!H23:AA23)</f>
        <v>12035.289500000001</v>
      </c>
      <c r="I24" s="257"/>
      <c r="J24" s="213"/>
    </row>
    <row r="25" spans="2:12">
      <c r="B25" s="229" t="str">
        <f>'2017 Determination - Revenue'!B$37</f>
        <v>Lachlan</v>
      </c>
      <c r="C25" s="210" t="str">
        <f>'Updated Volumes'!$C$20</f>
        <v>ML</v>
      </c>
      <c r="D25" s="210"/>
      <c r="E25" s="210"/>
      <c r="F25" s="91">
        <f>AVERAGE('Updated Volumes'!F24:Y24)</f>
        <v>206000.69800000003</v>
      </c>
      <c r="G25" s="91">
        <f>AVERAGE('Updated Volumes'!G24:Z24)</f>
        <v>194538.59300000005</v>
      </c>
      <c r="H25" s="177">
        <f>AVERAGE('Updated Volumes'!H24:AA24)</f>
        <v>191208.87799999997</v>
      </c>
      <c r="I25" s="257"/>
      <c r="J25" s="213"/>
    </row>
    <row r="26" spans="2:12">
      <c r="B26" s="229" t="str">
        <f>'2017 Determination - Revenue'!B$38</f>
        <v>Macquarie</v>
      </c>
      <c r="C26" s="210" t="str">
        <f>'Updated Volumes'!$C$20</f>
        <v>ML</v>
      </c>
      <c r="D26" s="210"/>
      <c r="E26" s="210"/>
      <c r="F26" s="91">
        <f>AVERAGE('Updated Volumes'!F25:Y25)</f>
        <v>259098.571</v>
      </c>
      <c r="G26" s="91">
        <f>AVERAGE('Updated Volumes'!G25:Z25)</f>
        <v>253261.421</v>
      </c>
      <c r="H26" s="177">
        <f>AVERAGE('Updated Volumes'!H25:AA25)</f>
        <v>253053.20099999997</v>
      </c>
      <c r="I26" s="257"/>
      <c r="J26" s="213"/>
    </row>
    <row r="27" spans="2:12">
      <c r="B27" s="229" t="str">
        <f>'2017 Determination - Revenue'!B$39</f>
        <v>Murray</v>
      </c>
      <c r="C27" s="210" t="str">
        <f>'Updated Volumes'!$C$20</f>
        <v>ML</v>
      </c>
      <c r="D27" s="210"/>
      <c r="E27" s="210"/>
      <c r="F27" s="91">
        <f>AVERAGE('Updated Volumes'!F26:Y26)</f>
        <v>1556610.1219230772</v>
      </c>
      <c r="G27" s="91">
        <f>AVERAGE('Updated Volumes'!G26:Z26)</f>
        <v>1521876.7223076925</v>
      </c>
      <c r="H27" s="177">
        <f>AVERAGE('Updated Volumes'!H26:AA26)</f>
        <v>1498366.9876923079</v>
      </c>
      <c r="I27" s="257"/>
      <c r="J27" s="213"/>
    </row>
    <row r="28" spans="2:12">
      <c r="B28" s="229" t="str">
        <f>'2017 Determination - Revenue'!B$40</f>
        <v>Murrumbidgee</v>
      </c>
      <c r="C28" s="210" t="str">
        <f>'Updated Volumes'!$C$20</f>
        <v>ML</v>
      </c>
      <c r="D28" s="210"/>
      <c r="E28" s="210"/>
      <c r="F28" s="91">
        <f>AVERAGE('Updated Volumes'!F27:Y27)</f>
        <v>1733642.2380769234</v>
      </c>
      <c r="G28" s="91">
        <f>AVERAGE('Updated Volumes'!G27:Z27)</f>
        <v>1694482.087692308</v>
      </c>
      <c r="H28" s="177">
        <f>AVERAGE('Updated Volumes'!H27:AA27)</f>
        <v>1654408.0123076923</v>
      </c>
      <c r="I28" s="257"/>
      <c r="J28" s="213"/>
    </row>
    <row r="29" spans="2:12">
      <c r="B29" s="229" t="str">
        <f>'2017 Determination - Revenue'!B$41</f>
        <v>Lowbidgee</v>
      </c>
      <c r="C29" s="210" t="str">
        <f>'Updated Volumes'!$C$20</f>
        <v>ML</v>
      </c>
      <c r="D29" s="210"/>
      <c r="E29" s="210"/>
      <c r="F29" s="91">
        <f>AVERAGE('Updated Volumes'!F28:Y28)</f>
        <v>49090.75</v>
      </c>
      <c r="G29" s="91">
        <f>AVERAGE('Updated Volumes'!G28:Z28)</f>
        <v>51142.6</v>
      </c>
      <c r="H29" s="177">
        <f>AVERAGE('Updated Volumes'!H28:AA28)</f>
        <v>42618.833333333336</v>
      </c>
      <c r="I29" s="257"/>
      <c r="J29" s="213"/>
    </row>
    <row r="30" spans="2:12">
      <c r="B30" s="264"/>
      <c r="C30" s="210"/>
      <c r="D30" s="210"/>
      <c r="E30" s="210"/>
      <c r="F30" s="219"/>
      <c r="G30" s="219"/>
      <c r="H30" s="245"/>
      <c r="I30" s="257"/>
      <c r="J30" s="213"/>
    </row>
    <row r="31" spans="2:12">
      <c r="B31" s="262" t="s">
        <v>65</v>
      </c>
      <c r="C31" s="210"/>
      <c r="D31" s="210"/>
      <c r="E31" s="210"/>
      <c r="F31" s="210"/>
      <c r="G31" s="210"/>
      <c r="H31" s="232"/>
      <c r="I31" s="257"/>
      <c r="J31" s="213"/>
    </row>
    <row r="32" spans="2:12" s="110" customFormat="1" ht="12">
      <c r="B32" s="279" t="s">
        <v>95</v>
      </c>
      <c r="C32" s="210"/>
      <c r="D32" s="210"/>
      <c r="E32" s="210"/>
      <c r="F32" s="210"/>
      <c r="G32" s="210"/>
      <c r="H32" s="232"/>
      <c r="I32" s="257"/>
      <c r="J32" s="213"/>
      <c r="L32" s="213"/>
    </row>
    <row r="33" spans="2:17">
      <c r="B33" s="229" t="str">
        <f>'2017 Determination - Revenue'!B$33</f>
        <v>Border</v>
      </c>
      <c r="C33" s="210" t="str">
        <f>'Updated Volumes'!$C$20</f>
        <v>ML</v>
      </c>
      <c r="D33" s="210"/>
      <c r="E33" s="210"/>
      <c r="F33" s="227">
        <f>ROUND(('Updated Volumes'!Y41+'Updated Volumes'!Y63),0)</f>
        <v>263238</v>
      </c>
      <c r="G33" s="227">
        <f>ROUND(('Updated Volumes'!Z41+'Updated Volumes'!Z63),0)</f>
        <v>263218</v>
      </c>
      <c r="H33" s="246">
        <f>ROUND(('Updated Volumes'!AA41+'Updated Volumes'!AA63),0)</f>
        <v>263281</v>
      </c>
      <c r="I33" s="257"/>
      <c r="J33" s="285"/>
    </row>
    <row r="34" spans="2:17">
      <c r="B34" s="229" t="str">
        <f>'2017 Determination - Revenue'!B$34</f>
        <v>Gwydir</v>
      </c>
      <c r="C34" s="210" t="str">
        <f>'Updated Volumes'!$C$20</f>
        <v>ML</v>
      </c>
      <c r="D34" s="210"/>
      <c r="E34" s="210"/>
      <c r="F34" s="227">
        <f>ROUND(('Updated Volumes'!Y42+'Updated Volumes'!Y64),0)</f>
        <v>509665</v>
      </c>
      <c r="G34" s="227">
        <f>ROUND(('Updated Volumes'!Z42+'Updated Volumes'!Z64),0)</f>
        <v>509665</v>
      </c>
      <c r="H34" s="246">
        <f>ROUND(('Updated Volumes'!AA42+'Updated Volumes'!AA64),0)</f>
        <v>509665</v>
      </c>
      <c r="I34" s="257"/>
      <c r="J34" s="285"/>
    </row>
    <row r="35" spans="2:17">
      <c r="B35" s="229" t="str">
        <f>'2017 Determination - Revenue'!B$35</f>
        <v>Namoi</v>
      </c>
      <c r="C35" s="210" t="str">
        <f>'Updated Volumes'!$C$20</f>
        <v>ML</v>
      </c>
      <c r="D35" s="210"/>
      <c r="E35" s="210"/>
      <c r="F35" s="227">
        <f>ROUND(('Updated Volumes'!Y43+'Updated Volumes'!Y65),0)</f>
        <v>256212</v>
      </c>
      <c r="G35" s="227">
        <f>ROUND(('Updated Volumes'!Z43+'Updated Volumes'!Z65),0)</f>
        <v>256212</v>
      </c>
      <c r="H35" s="246">
        <f>ROUND(('Updated Volumes'!AA43+'Updated Volumes'!AA65),0)</f>
        <v>256529</v>
      </c>
      <c r="I35" s="257"/>
      <c r="J35" s="285"/>
    </row>
    <row r="36" spans="2:17">
      <c r="B36" s="229" t="str">
        <f>'2017 Determination - Revenue'!B$36</f>
        <v>Peel</v>
      </c>
      <c r="C36" s="210" t="str">
        <f>'Updated Volumes'!$C$20</f>
        <v>ML</v>
      </c>
      <c r="D36" s="210"/>
      <c r="E36" s="210"/>
      <c r="F36" s="227">
        <f>ROUND(('Updated Volumes'!Y44+'Updated Volumes'!Y66),0)</f>
        <v>30428</v>
      </c>
      <c r="G36" s="227">
        <f>ROUND(('Updated Volumes'!Z44+'Updated Volumes'!Z66),0)</f>
        <v>30428</v>
      </c>
      <c r="H36" s="246">
        <f>ROUND(('Updated Volumes'!AA44+'Updated Volumes'!AA66),0)</f>
        <v>29635</v>
      </c>
      <c r="I36" s="257"/>
      <c r="J36" s="285"/>
    </row>
    <row r="37" spans="2:17">
      <c r="B37" s="229" t="str">
        <f>'2017 Determination - Revenue'!B$37</f>
        <v>Lachlan</v>
      </c>
      <c r="C37" s="210" t="str">
        <f>'Updated Volumes'!$C$20</f>
        <v>ML</v>
      </c>
      <c r="D37" s="210"/>
      <c r="E37" s="210"/>
      <c r="F37" s="227">
        <f>ROUND(('Updated Volumes'!Y45+'Updated Volumes'!Y67),0)</f>
        <v>633166</v>
      </c>
      <c r="G37" s="227">
        <f>ROUND(('Updated Volumes'!Z45+'Updated Volumes'!Z67),0)</f>
        <v>633166</v>
      </c>
      <c r="H37" s="246">
        <f>ROUND(('Updated Volumes'!AA45+'Updated Volumes'!AA67),0)</f>
        <v>633166</v>
      </c>
      <c r="I37" s="257"/>
      <c r="J37" s="285"/>
    </row>
    <row r="38" spans="2:17">
      <c r="B38" s="229" t="str">
        <f>'2017 Determination - Revenue'!B$38</f>
        <v>Macquarie</v>
      </c>
      <c r="C38" s="210" t="str">
        <f>'Updated Volumes'!$C$20</f>
        <v>ML</v>
      </c>
      <c r="D38" s="210"/>
      <c r="E38" s="210"/>
      <c r="F38" s="227">
        <f>ROUND(('Updated Volumes'!Y46+'Updated Volumes'!Y68),0)</f>
        <v>632466</v>
      </c>
      <c r="G38" s="227">
        <f>ROUND(('Updated Volumes'!Z46+'Updated Volumes'!Z68),0)</f>
        <v>632466</v>
      </c>
      <c r="H38" s="246">
        <f>ROUND(('Updated Volumes'!AA46+'Updated Volumes'!AA68),0)</f>
        <v>632466</v>
      </c>
      <c r="I38" s="257"/>
      <c r="J38" s="285"/>
    </row>
    <row r="39" spans="2:17">
      <c r="B39" s="229" t="str">
        <f>'2017 Determination - Revenue'!B$39</f>
        <v>Murray</v>
      </c>
      <c r="C39" s="210" t="str">
        <f>'Updated Volumes'!$C$20</f>
        <v>ML</v>
      </c>
      <c r="D39" s="210"/>
      <c r="E39" s="210"/>
      <c r="F39" s="227">
        <f>ROUND(('Updated Volumes'!Y47+'Updated Volumes'!Y69),0)</f>
        <v>2083271</v>
      </c>
      <c r="G39" s="227">
        <f>ROUND(('Updated Volumes'!Z47+'Updated Volumes'!Z69),0)</f>
        <v>2083271</v>
      </c>
      <c r="H39" s="246">
        <f>ROUND(('Updated Volumes'!AA47+'Updated Volumes'!AA69),0)</f>
        <v>2083271</v>
      </c>
      <c r="I39" s="257"/>
      <c r="J39" s="285"/>
    </row>
    <row r="40" spans="2:17">
      <c r="B40" s="229" t="str">
        <f>'2017 Determination - Revenue'!B$40</f>
        <v>Murrumbidgee</v>
      </c>
      <c r="C40" s="210" t="str">
        <f>'Updated Volumes'!$C$20</f>
        <v>ML</v>
      </c>
      <c r="D40" s="210"/>
      <c r="E40" s="210"/>
      <c r="F40" s="227">
        <f>ROUND(('Updated Volumes'!Y48+'Updated Volumes'!Y70),0)</f>
        <v>2267963</v>
      </c>
      <c r="G40" s="227">
        <f>ROUND(('Updated Volumes'!Z48+'Updated Volumes'!Z70),0)</f>
        <v>2267963</v>
      </c>
      <c r="H40" s="246">
        <f>ROUND(('Updated Volumes'!AA48+'Updated Volumes'!AA70),0)</f>
        <v>2267963</v>
      </c>
      <c r="I40" s="257"/>
      <c r="J40" s="285"/>
    </row>
    <row r="41" spans="2:17">
      <c r="B41" s="229" t="str">
        <f>'2017 Determination - Revenue'!B$41</f>
        <v>Lowbidgee</v>
      </c>
      <c r="C41" s="210" t="str">
        <f>'Updated Volumes'!$C$20</f>
        <v>ML</v>
      </c>
      <c r="D41" s="210"/>
      <c r="E41" s="210"/>
      <c r="F41" s="227">
        <f>ROUND(('Updated Volumes'!Y49+'Updated Volumes'!Y71),0)</f>
        <v>747000</v>
      </c>
      <c r="G41" s="227">
        <f>ROUND(('Updated Volumes'!Z49+'Updated Volumes'!Z71),0)</f>
        <v>747000</v>
      </c>
      <c r="H41" s="246">
        <f>ROUND(('Updated Volumes'!AA49+'Updated Volumes'!AA71),0)</f>
        <v>747000</v>
      </c>
      <c r="I41" s="257"/>
      <c r="J41" s="213"/>
    </row>
    <row r="42" spans="2:17">
      <c r="B42" s="264"/>
      <c r="C42" s="210"/>
      <c r="D42" s="210"/>
      <c r="E42" s="210"/>
      <c r="F42" s="219"/>
      <c r="G42" s="219"/>
      <c r="H42" s="245"/>
      <c r="I42" s="257"/>
      <c r="J42" s="213"/>
    </row>
    <row r="43" spans="2:17">
      <c r="B43" s="262" t="str">
        <f>'Updated Volumes'!B51</f>
        <v>High security entitlements</v>
      </c>
      <c r="C43" s="210"/>
      <c r="D43" s="210"/>
      <c r="E43" s="210"/>
      <c r="F43" s="210"/>
      <c r="G43" s="210"/>
      <c r="H43" s="232"/>
      <c r="I43" s="257"/>
      <c r="J43" s="213"/>
    </row>
    <row r="44" spans="2:17" s="110" customFormat="1" ht="12">
      <c r="B44" s="279" t="s">
        <v>95</v>
      </c>
      <c r="C44" s="210"/>
      <c r="D44" s="210"/>
      <c r="E44" s="210"/>
      <c r="F44" s="210"/>
      <c r="G44" s="210"/>
      <c r="H44" s="232"/>
      <c r="I44" s="257"/>
      <c r="J44" s="213"/>
      <c r="L44" s="213"/>
    </row>
    <row r="45" spans="2:17">
      <c r="B45" s="229" t="str">
        <f>'2017 Determination - Revenue'!B$33</f>
        <v>Border</v>
      </c>
      <c r="C45" s="210" t="str">
        <f>'Updated Volumes'!$C$20</f>
        <v>ML</v>
      </c>
      <c r="D45" s="210"/>
      <c r="E45" s="210"/>
      <c r="F45" s="227">
        <f>ROUND('Updated Volumes'!Y52,0)</f>
        <v>3121</v>
      </c>
      <c r="G45" s="227">
        <f>ROUND('Updated Volumes'!Z52,0)</f>
        <v>3141</v>
      </c>
      <c r="H45" s="246">
        <f>ROUND('Updated Volumes'!AA52,0)</f>
        <v>3141</v>
      </c>
      <c r="I45" s="257"/>
      <c r="J45" s="286"/>
      <c r="Q45" s="110"/>
    </row>
    <row r="46" spans="2:17">
      <c r="B46" s="229" t="str">
        <f>'2017 Determination - Revenue'!B$34</f>
        <v>Gwydir</v>
      </c>
      <c r="C46" s="210" t="str">
        <f>'Updated Volumes'!$C$20</f>
        <v>ML</v>
      </c>
      <c r="D46" s="210"/>
      <c r="E46" s="210"/>
      <c r="F46" s="227">
        <f>ROUND('Updated Volumes'!Y53,0)</f>
        <v>26920</v>
      </c>
      <c r="G46" s="227">
        <f>ROUND('Updated Volumes'!Z53,0)</f>
        <v>26920</v>
      </c>
      <c r="H46" s="246">
        <f>ROUND('Updated Volumes'!AA53,0)</f>
        <v>26920</v>
      </c>
      <c r="I46" s="257"/>
      <c r="J46" s="286"/>
    </row>
    <row r="47" spans="2:17">
      <c r="B47" s="229" t="str">
        <f>'2017 Determination - Revenue'!B$35</f>
        <v>Namoi</v>
      </c>
      <c r="C47" s="210" t="str">
        <f>'Updated Volumes'!$C$20</f>
        <v>ML</v>
      </c>
      <c r="D47" s="210"/>
      <c r="E47" s="210"/>
      <c r="F47" s="227">
        <f>ROUND('Updated Volumes'!Y54,0)</f>
        <v>8866</v>
      </c>
      <c r="G47" s="227">
        <f>ROUND('Updated Volumes'!Z54,0)</f>
        <v>8866</v>
      </c>
      <c r="H47" s="246">
        <f>ROUND('Updated Volumes'!AA54,0)</f>
        <v>8866</v>
      </c>
      <c r="I47" s="257"/>
      <c r="J47" s="286"/>
    </row>
    <row r="48" spans="2:17">
      <c r="B48" s="229" t="str">
        <f>'2017 Determination - Revenue'!B$36</f>
        <v>Peel</v>
      </c>
      <c r="C48" s="210" t="str">
        <f>'Updated Volumes'!$C$20</f>
        <v>ML</v>
      </c>
      <c r="D48" s="210"/>
      <c r="E48" s="210"/>
      <c r="F48" s="227">
        <f>ROUND('Updated Volumes'!Y55,0)</f>
        <v>17367</v>
      </c>
      <c r="G48" s="227">
        <f>ROUND('Updated Volumes'!Z55,0)</f>
        <v>17367</v>
      </c>
      <c r="H48" s="246">
        <f>ROUND('Updated Volumes'!AA55,0)</f>
        <v>17367</v>
      </c>
      <c r="I48" s="257"/>
      <c r="J48" s="286"/>
    </row>
    <row r="49" spans="2:10">
      <c r="B49" s="229" t="str">
        <f>'2017 Determination - Revenue'!B$37</f>
        <v>Lachlan</v>
      </c>
      <c r="C49" s="210" t="str">
        <f>'Updated Volumes'!$C$20</f>
        <v>ML</v>
      </c>
      <c r="D49" s="210"/>
      <c r="E49" s="210"/>
      <c r="F49" s="227">
        <f>ROUND('Updated Volumes'!Y56,0)</f>
        <v>57304</v>
      </c>
      <c r="G49" s="227">
        <f>ROUND('Updated Volumes'!Z56,0)</f>
        <v>57301</v>
      </c>
      <c r="H49" s="246">
        <f>ROUND('Updated Volumes'!AA56,0)</f>
        <v>57302</v>
      </c>
      <c r="I49" s="257"/>
      <c r="J49" s="286"/>
    </row>
    <row r="50" spans="2:10">
      <c r="B50" s="229" t="str">
        <f>'2017 Determination - Revenue'!B$38</f>
        <v>Macquarie</v>
      </c>
      <c r="C50" s="210" t="str">
        <f>'Updated Volumes'!$C$20</f>
        <v>ML</v>
      </c>
      <c r="D50" s="210"/>
      <c r="E50" s="210"/>
      <c r="F50" s="227">
        <f>ROUND('Updated Volumes'!Y57,0)</f>
        <v>42712</v>
      </c>
      <c r="G50" s="227">
        <f>ROUND('Updated Volumes'!Z57,0)</f>
        <v>42688</v>
      </c>
      <c r="H50" s="246">
        <f>ROUND('Updated Volumes'!AA57,0)</f>
        <v>42688</v>
      </c>
      <c r="I50" s="257"/>
      <c r="J50" s="286"/>
    </row>
    <row r="51" spans="2:10">
      <c r="B51" s="229" t="str">
        <f>'2017 Determination - Revenue'!B$39</f>
        <v>Murray</v>
      </c>
      <c r="C51" s="210" t="str">
        <f>'Updated Volumes'!$C$20</f>
        <v>ML</v>
      </c>
      <c r="D51" s="210"/>
      <c r="E51" s="210"/>
      <c r="F51" s="227">
        <f>ROUND('Updated Volumes'!Y58,0)</f>
        <v>263603</v>
      </c>
      <c r="G51" s="227">
        <f>ROUND('Updated Volumes'!Z58,0)</f>
        <v>263590</v>
      </c>
      <c r="H51" s="246">
        <f>ROUND('Updated Volumes'!AA58,0)</f>
        <v>263555</v>
      </c>
      <c r="I51" s="257"/>
      <c r="J51" s="286"/>
    </row>
    <row r="52" spans="2:10">
      <c r="B52" s="229" t="str">
        <f>'2017 Determination - Revenue'!B$40</f>
        <v>Murrumbidgee</v>
      </c>
      <c r="C52" s="210" t="str">
        <f>'Updated Volumes'!$C$20</f>
        <v>ML</v>
      </c>
      <c r="D52" s="210"/>
      <c r="E52" s="210"/>
      <c r="F52" s="227">
        <f>ROUND('Updated Volumes'!Y59,0)</f>
        <v>438328</v>
      </c>
      <c r="G52" s="227">
        <f>ROUND('Updated Volumes'!Z59,0)</f>
        <v>438328</v>
      </c>
      <c r="H52" s="246">
        <f>ROUND('Updated Volumes'!AA59,0)</f>
        <v>438328</v>
      </c>
      <c r="I52" s="257"/>
      <c r="J52" s="286"/>
    </row>
    <row r="53" spans="2:10">
      <c r="B53" s="229" t="str">
        <f>'2017 Determination - Revenue'!B$41</f>
        <v>Lowbidgee</v>
      </c>
      <c r="C53" s="210" t="str">
        <f>'Updated Volumes'!$C$20</f>
        <v>ML</v>
      </c>
      <c r="D53" s="210"/>
      <c r="E53" s="210"/>
      <c r="F53" s="227">
        <f>ROUND('Updated Volumes'!Y60,0)</f>
        <v>0</v>
      </c>
      <c r="G53" s="227">
        <f>ROUND('Updated Volumes'!Z60,0)</f>
        <v>0</v>
      </c>
      <c r="H53" s="246">
        <f>ROUND('Updated Volumes'!AA60,0)</f>
        <v>0</v>
      </c>
      <c r="I53" s="257"/>
      <c r="J53" s="213"/>
    </row>
    <row r="54" spans="2:10">
      <c r="B54" s="267"/>
      <c r="C54" s="56"/>
      <c r="D54" s="56"/>
      <c r="E54" s="56"/>
      <c r="F54" s="56"/>
      <c r="G54" s="56"/>
      <c r="H54" s="178"/>
      <c r="I54" s="258"/>
      <c r="J54" s="213"/>
    </row>
    <row r="55" spans="2:10">
      <c r="B55" s="213"/>
      <c r="C55" s="213"/>
      <c r="D55" s="213"/>
      <c r="E55" s="213"/>
      <c r="F55" s="213"/>
      <c r="G55" s="213"/>
      <c r="H55" s="248"/>
      <c r="I55" s="213"/>
      <c r="J55" s="213"/>
    </row>
    <row r="56" spans="2:10">
      <c r="B56" s="213"/>
      <c r="C56" s="213"/>
      <c r="D56" s="213"/>
      <c r="E56" s="213"/>
      <c r="F56" s="213"/>
      <c r="G56" s="213"/>
      <c r="H56" s="248"/>
      <c r="I56" s="213"/>
      <c r="J56" s="213"/>
    </row>
    <row r="57" spans="2:10">
      <c r="B57" s="268" t="s">
        <v>129</v>
      </c>
      <c r="C57" s="213"/>
      <c r="D57" s="213"/>
      <c r="E57" s="213"/>
      <c r="F57" s="213"/>
      <c r="G57" s="213"/>
      <c r="H57" s="213"/>
      <c r="I57" s="213"/>
      <c r="J57" s="213"/>
    </row>
    <row r="58" spans="2:10">
      <c r="B58" s="260" t="str">
        <f>'2017 Determination - Revenue'!B$16</f>
        <v>Financial year</v>
      </c>
      <c r="C58" s="261" t="str">
        <f>'2017 Determination - Revenue'!C$28</f>
        <v>Units</v>
      </c>
      <c r="D58" s="261"/>
      <c r="E58" s="261"/>
      <c r="F58" s="214" t="str">
        <f>'2017 Determination - Revenue'!F$16</f>
        <v>2017-18</v>
      </c>
      <c r="G58" s="214" t="str">
        <f>'2017 Determination - Revenue'!G$16</f>
        <v>2018-19</v>
      </c>
      <c r="H58" s="230" t="str">
        <f>'2017 Determination - Revenue'!H$16</f>
        <v>2019-20</v>
      </c>
      <c r="I58" s="259"/>
      <c r="J58" s="213"/>
    </row>
    <row r="59" spans="2:10">
      <c r="B59" s="229"/>
      <c r="C59" s="210"/>
      <c r="D59" s="210"/>
      <c r="E59" s="210"/>
      <c r="F59" s="215"/>
      <c r="G59" s="215"/>
      <c r="H59" s="235"/>
      <c r="I59" s="257"/>
      <c r="J59" s="213"/>
    </row>
    <row r="60" spans="2:10" ht="12">
      <c r="B60" s="279" t="s">
        <v>145</v>
      </c>
      <c r="C60" s="210"/>
      <c r="D60" s="210"/>
      <c r="E60" s="210"/>
      <c r="F60" s="210"/>
      <c r="G60" s="210"/>
      <c r="H60" s="232"/>
      <c r="I60" s="257"/>
      <c r="J60" s="213"/>
    </row>
    <row r="61" spans="2:10">
      <c r="B61" s="262" t="str">
        <f>'Updated Volumes'!B79</f>
        <v>General security entitlements</v>
      </c>
      <c r="C61" s="210"/>
      <c r="D61" s="210"/>
      <c r="E61" s="210"/>
      <c r="F61" s="210"/>
      <c r="G61" s="210"/>
      <c r="H61" s="232"/>
      <c r="I61" s="257"/>
      <c r="J61" s="213"/>
    </row>
    <row r="62" spans="2:10">
      <c r="B62" s="229" t="str">
        <f>'2017 Determination - Revenue'!B$33</f>
        <v>Border</v>
      </c>
      <c r="C62" s="210" t="str">
        <f>'Updated Volumes'!$C$80</f>
        <v>%</v>
      </c>
      <c r="D62" s="210"/>
      <c r="E62" s="210"/>
      <c r="F62" s="222">
        <f>AVERAGE('Updated Volumes'!F80:Y80)</f>
        <v>0.4642611013938393</v>
      </c>
      <c r="G62" s="222">
        <f>AVERAGE('Updated Volumes'!G80:Z80)</f>
        <v>0.4879513315452727</v>
      </c>
      <c r="H62" s="249">
        <f>AVERAGE('Updated Volumes'!H80:AA80)</f>
        <v>0.47360133154527267</v>
      </c>
      <c r="I62" s="257"/>
      <c r="J62" s="213"/>
    </row>
    <row r="63" spans="2:10">
      <c r="B63" s="229" t="str">
        <f>'2017 Determination - Revenue'!B$34</f>
        <v>Gwydir</v>
      </c>
      <c r="C63" s="210" t="str">
        <f>'Updated Volumes'!$C$80</f>
        <v>%</v>
      </c>
      <c r="D63" s="210"/>
      <c r="E63" s="210"/>
      <c r="F63" s="222">
        <f>AVERAGE('Updated Volumes'!F81:Y81)</f>
        <v>0.43874779714841683</v>
      </c>
      <c r="G63" s="222">
        <f>AVERAGE('Updated Volumes'!G81:Z81)</f>
        <v>0.44056288647179587</v>
      </c>
      <c r="H63" s="249">
        <f>AVERAGE('Updated Volumes'!H81:AA81)</f>
        <v>0.40836288647179597</v>
      </c>
      <c r="I63" s="257"/>
      <c r="J63" s="213"/>
    </row>
    <row r="64" spans="2:10">
      <c r="B64" s="229" t="str">
        <f>'2017 Determination - Revenue'!B$35</f>
        <v>Namoi</v>
      </c>
      <c r="C64" s="210" t="str">
        <f>'Updated Volumes'!$C$80</f>
        <v>%</v>
      </c>
      <c r="D64" s="210"/>
      <c r="E64" s="210"/>
      <c r="F64" s="222">
        <f>AVERAGE('Updated Volumes'!F82:Y82)</f>
        <v>0.58245197620959044</v>
      </c>
      <c r="G64" s="222">
        <f>AVERAGE('Updated Volumes'!G82:Z82)</f>
        <v>0.59429539463538317</v>
      </c>
      <c r="H64" s="249">
        <f>AVERAGE('Updated Volumes'!H82:AA82)</f>
        <v>0.54979539463538318</v>
      </c>
      <c r="I64" s="257"/>
      <c r="J64" s="213"/>
    </row>
    <row r="65" spans="2:10">
      <c r="B65" s="229" t="str">
        <f>'2017 Determination - Revenue'!B$36</f>
        <v>Peel</v>
      </c>
      <c r="C65" s="210" t="str">
        <f>'Updated Volumes'!$C$80</f>
        <v>%</v>
      </c>
      <c r="D65" s="210"/>
      <c r="E65" s="210"/>
      <c r="F65" s="222">
        <f>AVERAGE('Updated Volumes'!F83:Y83)</f>
        <v>0.62250023005126853</v>
      </c>
      <c r="G65" s="222">
        <f>AVERAGE('Updated Volumes'!G83:Z83)</f>
        <v>0.64000006572893386</v>
      </c>
      <c r="H65" s="249">
        <f>AVERAGE('Updated Volumes'!H83:AA83)</f>
        <v>0.64135006572893383</v>
      </c>
      <c r="I65" s="257"/>
      <c r="J65" s="213"/>
    </row>
    <row r="66" spans="2:10">
      <c r="B66" s="229" t="str">
        <f>'2017 Determination - Revenue'!B$37</f>
        <v>Lachlan</v>
      </c>
      <c r="C66" s="210" t="str">
        <f>'Updated Volumes'!$C$80</f>
        <v>%</v>
      </c>
      <c r="D66" s="210"/>
      <c r="E66" s="210"/>
      <c r="F66" s="222">
        <f>AVERAGE('Updated Volumes'!F84:Y84)</f>
        <v>0.3654321138961259</v>
      </c>
      <c r="G66" s="222">
        <f>AVERAGE('Updated Volumes'!G84:Z84)</f>
        <v>0.38443211389612586</v>
      </c>
      <c r="H66" s="249">
        <f>AVERAGE('Updated Volumes'!H84:AA84)</f>
        <v>0.35443211389612583</v>
      </c>
      <c r="I66" s="257"/>
      <c r="J66" s="213"/>
    </row>
    <row r="67" spans="2:10">
      <c r="B67" s="229" t="str">
        <f>'2017 Determination - Revenue'!B$38</f>
        <v>Macquarie</v>
      </c>
      <c r="C67" s="210" t="str">
        <f>'Updated Volumes'!$C$80</f>
        <v>%</v>
      </c>
      <c r="D67" s="210"/>
      <c r="E67" s="210"/>
      <c r="F67" s="222">
        <f>AVERAGE('Updated Volumes'!F85:Y85)</f>
        <v>0.39703018759898756</v>
      </c>
      <c r="G67" s="222">
        <f>AVERAGE('Updated Volumes'!G85:Z85)</f>
        <v>0.40453018759898746</v>
      </c>
      <c r="H67" s="249">
        <f>AVERAGE('Updated Volumes'!H85:AA85)</f>
        <v>0.41853018759898752</v>
      </c>
      <c r="I67" s="257"/>
      <c r="J67" s="213"/>
    </row>
    <row r="68" spans="2:10">
      <c r="B68" s="229" t="str">
        <f>'2017 Determination - Revenue'!B$39</f>
        <v>Murray</v>
      </c>
      <c r="C68" s="210" t="str">
        <f>'Updated Volumes'!$C$80</f>
        <v>%</v>
      </c>
      <c r="D68" s="210"/>
      <c r="E68" s="210"/>
      <c r="F68" s="222">
        <f>AVERAGE('Updated Volumes'!F86:Y86)</f>
        <v>0.60890439295202625</v>
      </c>
      <c r="G68" s="222">
        <f>AVERAGE('Updated Volumes'!G86:Z86)</f>
        <v>0.60890439295202625</v>
      </c>
      <c r="H68" s="249">
        <f>AVERAGE('Updated Volumes'!H86:AA86)</f>
        <v>0.59240439295202629</v>
      </c>
      <c r="I68" s="257"/>
      <c r="J68" s="213"/>
    </row>
    <row r="69" spans="2:10">
      <c r="B69" s="229" t="str">
        <f>'2017 Determination - Revenue'!B$40</f>
        <v>Murrumbidgee</v>
      </c>
      <c r="C69" s="210" t="str">
        <f>'Updated Volumes'!$C$80</f>
        <v>%</v>
      </c>
      <c r="D69" s="210"/>
      <c r="E69" s="210"/>
      <c r="F69" s="222">
        <f>AVERAGE('Updated Volumes'!F87:Y87)</f>
        <v>0.62111301031771859</v>
      </c>
      <c r="G69" s="222">
        <f>AVERAGE('Updated Volumes'!G87:Z87)</f>
        <v>0.62111303236490956</v>
      </c>
      <c r="H69" s="249">
        <f>AVERAGE('Updated Volumes'!H87:AA87)</f>
        <v>0.60196303236490956</v>
      </c>
      <c r="I69" s="257"/>
      <c r="J69" s="213"/>
    </row>
    <row r="70" spans="2:10">
      <c r="B70" s="229" t="str">
        <f>'2017 Determination - Revenue'!B$41</f>
        <v>Lowbidgee</v>
      </c>
      <c r="C70" s="210" t="str">
        <f>'Updated Volumes'!$C$80</f>
        <v>%</v>
      </c>
      <c r="D70" s="210"/>
      <c r="E70" s="210"/>
      <c r="F70" s="222"/>
      <c r="G70" s="222"/>
      <c r="H70" s="249"/>
      <c r="I70" s="257"/>
      <c r="J70" s="213"/>
    </row>
    <row r="71" spans="2:10">
      <c r="B71" s="264"/>
      <c r="C71" s="210"/>
      <c r="D71" s="210"/>
      <c r="E71" s="210"/>
      <c r="F71" s="221"/>
      <c r="G71" s="219"/>
      <c r="H71" s="245"/>
      <c r="I71" s="257"/>
      <c r="J71" s="213"/>
    </row>
    <row r="72" spans="2:10">
      <c r="B72" s="262" t="str">
        <f>'Updated Volumes'!B90</f>
        <v>High security entitlements</v>
      </c>
      <c r="C72" s="210"/>
      <c r="D72" s="210"/>
      <c r="E72" s="210"/>
      <c r="F72" s="221"/>
      <c r="G72" s="210"/>
      <c r="H72" s="232"/>
      <c r="I72" s="257"/>
      <c r="J72" s="213"/>
    </row>
    <row r="73" spans="2:10">
      <c r="B73" s="229" t="str">
        <f>'2017 Determination - Revenue'!B$33</f>
        <v>Border</v>
      </c>
      <c r="C73" s="210" t="str">
        <f>'Updated Volumes'!$C$80</f>
        <v>%</v>
      </c>
      <c r="D73" s="210"/>
      <c r="E73" s="210"/>
      <c r="F73" s="222">
        <f>AVERAGE('Updated Volumes'!F91:Y91)</f>
        <v>1.000016020506248</v>
      </c>
      <c r="G73" s="222">
        <f>AVERAGE('Updated Volumes'!G91:Z91)</f>
        <v>1.000016020506248</v>
      </c>
      <c r="H73" s="249">
        <f>AVERAGE('Updated Volumes'!H91:AA91)</f>
        <v>1.000016020506248</v>
      </c>
      <c r="I73" s="257"/>
      <c r="J73" s="213"/>
    </row>
    <row r="74" spans="2:10">
      <c r="B74" s="229" t="str">
        <f>'2017 Determination - Revenue'!B$34</f>
        <v>Gwydir</v>
      </c>
      <c r="C74" s="210" t="str">
        <f>'Updated Volumes'!$C$80</f>
        <v>%</v>
      </c>
      <c r="D74" s="210"/>
      <c r="E74" s="210"/>
      <c r="F74" s="222">
        <f>AVERAGE('Updated Volumes'!F92:Y92)</f>
        <v>0.99987741410629316</v>
      </c>
      <c r="G74" s="222">
        <f>AVERAGE('Updated Volumes'!G92:Z92)</f>
        <v>0.99987741410629316</v>
      </c>
      <c r="H74" s="249">
        <f>AVERAGE('Updated Volumes'!H92:AA92)</f>
        <v>0.99987741410629316</v>
      </c>
      <c r="I74" s="257"/>
      <c r="J74" s="213"/>
    </row>
    <row r="75" spans="2:10">
      <c r="B75" s="229" t="str">
        <f>'2017 Determination - Revenue'!B$35</f>
        <v>Namoi</v>
      </c>
      <c r="C75" s="210" t="str">
        <f>'Updated Volumes'!$C$80</f>
        <v>%</v>
      </c>
      <c r="D75" s="210"/>
      <c r="E75" s="210"/>
      <c r="F75" s="222">
        <f>AVERAGE('Updated Volumes'!F93:Y93)</f>
        <v>1.0000902323482967</v>
      </c>
      <c r="G75" s="222">
        <f>AVERAGE('Updated Volumes'!G93:Z93)</f>
        <v>1.0000902323482967</v>
      </c>
      <c r="H75" s="249">
        <f>AVERAGE('Updated Volumes'!H93:AA93)</f>
        <v>1.0000902323482967</v>
      </c>
      <c r="I75" s="257"/>
      <c r="J75" s="213"/>
    </row>
    <row r="76" spans="2:10">
      <c r="B76" s="229" t="str">
        <f>'2017 Determination - Revenue'!B$36</f>
        <v>Peel</v>
      </c>
      <c r="C76" s="210" t="str">
        <f>'Updated Volumes'!$C$80</f>
        <v>%</v>
      </c>
      <c r="D76" s="210"/>
      <c r="E76" s="210"/>
      <c r="F76" s="222">
        <f>AVERAGE('Updated Volumes'!F94:Y94)</f>
        <v>0.98450000000000004</v>
      </c>
      <c r="G76" s="222">
        <f>AVERAGE('Updated Volumes'!G94:Z94)</f>
        <v>0.98450000000000004</v>
      </c>
      <c r="H76" s="249">
        <f>AVERAGE('Updated Volumes'!H94:AA94)</f>
        <v>0.98450000000000004</v>
      </c>
      <c r="I76" s="257"/>
      <c r="J76" s="213"/>
    </row>
    <row r="77" spans="2:10">
      <c r="B77" s="229" t="str">
        <f>'2017 Determination - Revenue'!B$37</f>
        <v>Lachlan</v>
      </c>
      <c r="C77" s="210" t="str">
        <f>'Updated Volumes'!$C$80</f>
        <v>%</v>
      </c>
      <c r="D77" s="210"/>
      <c r="E77" s="210"/>
      <c r="F77" s="222">
        <f>AVERAGE('Updated Volumes'!F95:Y95)</f>
        <v>0.82518297152031272</v>
      </c>
      <c r="G77" s="222">
        <f>AVERAGE('Updated Volumes'!G95:Z95)</f>
        <v>0.82518759622145232</v>
      </c>
      <c r="H77" s="249">
        <f>AVERAGE('Updated Volumes'!H95:AA95)</f>
        <v>0.82518759622145232</v>
      </c>
      <c r="I77" s="257"/>
      <c r="J77" s="213"/>
    </row>
    <row r="78" spans="2:10">
      <c r="B78" s="229" t="str">
        <f>'2017 Determination - Revenue'!B$38</f>
        <v>Macquarie</v>
      </c>
      <c r="C78" s="210" t="str">
        <f>'Updated Volumes'!$C$80</f>
        <v>%</v>
      </c>
      <c r="D78" s="210"/>
      <c r="E78" s="210"/>
      <c r="F78" s="222">
        <f>AVERAGE('Updated Volumes'!F96:Y96)</f>
        <v>0.99996616875819444</v>
      </c>
      <c r="G78" s="222">
        <f>AVERAGE('Updated Volumes'!G96:Z96)</f>
        <v>0.9999946310895288</v>
      </c>
      <c r="H78" s="249">
        <f>AVERAGE('Updated Volumes'!H96:AA96)</f>
        <v>0.9999946310895288</v>
      </c>
      <c r="I78" s="257"/>
      <c r="J78" s="213"/>
    </row>
    <row r="79" spans="2:10">
      <c r="B79" s="229" t="str">
        <f>'2017 Determination - Revenue'!B$39</f>
        <v>Murray</v>
      </c>
      <c r="C79" s="210" t="str">
        <f>'Updated Volumes'!$C$80</f>
        <v>%</v>
      </c>
      <c r="D79" s="210"/>
      <c r="E79" s="210"/>
      <c r="F79" s="222">
        <f>AVERAGE('Updated Volumes'!F97:Y97)</f>
        <v>0.94931241191776583</v>
      </c>
      <c r="G79" s="222">
        <f>AVERAGE('Updated Volumes'!G97:Z97)</f>
        <v>0.94931241191776561</v>
      </c>
      <c r="H79" s="249">
        <f>AVERAGE('Updated Volumes'!H97:AA97)</f>
        <v>0.94881241191776555</v>
      </c>
      <c r="I79" s="257"/>
      <c r="J79" s="213"/>
    </row>
    <row r="80" spans="2:10">
      <c r="B80" s="229" t="str">
        <f>'2017 Determination - Revenue'!B$40</f>
        <v>Murrumbidgee</v>
      </c>
      <c r="C80" s="210" t="str">
        <f>'Updated Volumes'!$C$80</f>
        <v>%</v>
      </c>
      <c r="D80" s="210"/>
      <c r="E80" s="210"/>
      <c r="F80" s="222">
        <f>AVERAGE('Updated Volumes'!F98:Y98)</f>
        <v>0.97218156636269304</v>
      </c>
      <c r="G80" s="222">
        <f>AVERAGE('Updated Volumes'!G98:Z98)</f>
        <v>0.97218488094668098</v>
      </c>
      <c r="H80" s="249">
        <f>AVERAGE('Updated Volumes'!H98:AA98)</f>
        <v>0.97018488094668087</v>
      </c>
      <c r="I80" s="257"/>
      <c r="J80" s="213"/>
    </row>
    <row r="81" spans="2:10">
      <c r="B81" s="229" t="str">
        <f>'2017 Determination - Revenue'!B$41</f>
        <v>Lowbidgee</v>
      </c>
      <c r="C81" s="210" t="str">
        <f>'Updated Volumes'!$C$80</f>
        <v>%</v>
      </c>
      <c r="D81" s="210"/>
      <c r="E81" s="210"/>
      <c r="F81" s="222">
        <f>AVERAGE('Updated Volumes'!F99:Y99)</f>
        <v>0</v>
      </c>
      <c r="G81" s="222">
        <f>AVERAGE('Updated Volumes'!G99:Z99)</f>
        <v>0</v>
      </c>
      <c r="H81" s="249">
        <f>AVERAGE('Updated Volumes'!H99:AA99)</f>
        <v>0</v>
      </c>
      <c r="I81" s="257"/>
      <c r="J81" s="213"/>
    </row>
    <row r="82" spans="2:10">
      <c r="B82" s="264"/>
      <c r="C82" s="210"/>
      <c r="D82" s="210"/>
      <c r="E82" s="210"/>
      <c r="F82" s="221"/>
      <c r="G82" s="219"/>
      <c r="H82" s="245"/>
      <c r="I82" s="257"/>
      <c r="J82" s="213"/>
    </row>
    <row r="83" spans="2:10">
      <c r="B83" s="262" t="str">
        <f>'Updated Volumes'!B101</f>
        <v>Supplementary entitlements</v>
      </c>
      <c r="C83" s="210"/>
      <c r="D83" s="210"/>
      <c r="E83" s="210"/>
      <c r="F83" s="221"/>
      <c r="G83" s="210"/>
      <c r="H83" s="232"/>
      <c r="I83" s="257"/>
      <c r="J83" s="213"/>
    </row>
    <row r="84" spans="2:10">
      <c r="B84" s="229" t="str">
        <f>'2017 Determination - Revenue'!B$33</f>
        <v>Border</v>
      </c>
      <c r="C84" s="210" t="str">
        <f>'Updated Volumes'!$C$80</f>
        <v>%</v>
      </c>
      <c r="D84" s="210"/>
      <c r="E84" s="210"/>
      <c r="F84" s="222">
        <f>AVERAGE('Updated Volumes'!F102:Y102)</f>
        <v>0</v>
      </c>
      <c r="G84" s="222">
        <f>AVERAGE('Updated Volumes'!G102:Z102)</f>
        <v>0</v>
      </c>
      <c r="H84" s="249">
        <f>AVERAGE('Updated Volumes'!H102:AA102)</f>
        <v>0</v>
      </c>
      <c r="I84" s="257"/>
      <c r="J84" s="213"/>
    </row>
    <row r="85" spans="2:10">
      <c r="B85" s="229" t="str">
        <f>'2017 Determination - Revenue'!B$34</f>
        <v>Gwydir</v>
      </c>
      <c r="C85" s="210" t="str">
        <f>'Updated Volumes'!$C$80</f>
        <v>%</v>
      </c>
      <c r="D85" s="210"/>
      <c r="E85" s="210"/>
      <c r="F85" s="222">
        <f>AVERAGE('Updated Volumes'!F103:Y103)</f>
        <v>0</v>
      </c>
      <c r="G85" s="222">
        <f>AVERAGE('Updated Volumes'!G103:Z103)</f>
        <v>0</v>
      </c>
      <c r="H85" s="249">
        <f>AVERAGE('Updated Volumes'!H103:AA103)</f>
        <v>0</v>
      </c>
      <c r="I85" s="257"/>
      <c r="J85" s="213"/>
    </row>
    <row r="86" spans="2:10">
      <c r="B86" s="229" t="str">
        <f>'2017 Determination - Revenue'!B$35</f>
        <v>Namoi</v>
      </c>
      <c r="C86" s="210" t="str">
        <f>'Updated Volumes'!$C$80</f>
        <v>%</v>
      </c>
      <c r="D86" s="210"/>
      <c r="E86" s="210"/>
      <c r="F86" s="222">
        <f>AVERAGE('Updated Volumes'!F104:Y104)</f>
        <v>0</v>
      </c>
      <c r="G86" s="222">
        <f>AVERAGE('Updated Volumes'!G104:Z104)</f>
        <v>0</v>
      </c>
      <c r="H86" s="249">
        <f>AVERAGE('Updated Volumes'!H104:AA104)</f>
        <v>0</v>
      </c>
      <c r="I86" s="257"/>
      <c r="J86" s="213"/>
    </row>
    <row r="87" spans="2:10">
      <c r="B87" s="229" t="str">
        <f>'2017 Determination - Revenue'!B$36</f>
        <v>Peel</v>
      </c>
      <c r="C87" s="210" t="str">
        <f>'Updated Volumes'!$C$80</f>
        <v>%</v>
      </c>
      <c r="D87" s="210"/>
      <c r="E87" s="210"/>
      <c r="F87" s="222">
        <f>AVERAGE('Updated Volumes'!F105:Y105)</f>
        <v>0</v>
      </c>
      <c r="G87" s="222">
        <f>AVERAGE('Updated Volumes'!G105:Z105)</f>
        <v>0</v>
      </c>
      <c r="H87" s="249">
        <f>AVERAGE('Updated Volumes'!H105:AA105)</f>
        <v>0</v>
      </c>
      <c r="I87" s="257"/>
      <c r="J87" s="213"/>
    </row>
    <row r="88" spans="2:10">
      <c r="B88" s="229" t="str">
        <f>'2017 Determination - Revenue'!B$37</f>
        <v>Lachlan</v>
      </c>
      <c r="C88" s="210" t="str">
        <f>'Updated Volumes'!$C$80</f>
        <v>%</v>
      </c>
      <c r="D88" s="210"/>
      <c r="E88" s="210"/>
      <c r="F88" s="222">
        <f>AVERAGE('Updated Volumes'!F106:Y106)</f>
        <v>0</v>
      </c>
      <c r="G88" s="222">
        <f>AVERAGE('Updated Volumes'!G106:Z106)</f>
        <v>0</v>
      </c>
      <c r="H88" s="249">
        <f>AVERAGE('Updated Volumes'!H106:AA106)</f>
        <v>0</v>
      </c>
      <c r="I88" s="257"/>
      <c r="J88" s="213"/>
    </row>
    <row r="89" spans="2:10">
      <c r="B89" s="229" t="str">
        <f>'2017 Determination - Revenue'!B$38</f>
        <v>Macquarie</v>
      </c>
      <c r="C89" s="210" t="str">
        <f>'Updated Volumes'!$C$80</f>
        <v>%</v>
      </c>
      <c r="D89" s="210"/>
      <c r="E89" s="210"/>
      <c r="F89" s="222">
        <f>AVERAGE('Updated Volumes'!F107:Y107)</f>
        <v>0</v>
      </c>
      <c r="G89" s="222">
        <f>AVERAGE('Updated Volumes'!G107:Z107)</f>
        <v>0</v>
      </c>
      <c r="H89" s="249">
        <f>AVERAGE('Updated Volumes'!H107:AA107)</f>
        <v>0</v>
      </c>
      <c r="I89" s="257"/>
      <c r="J89" s="213"/>
    </row>
    <row r="90" spans="2:10">
      <c r="B90" s="229" t="str">
        <f>'2017 Determination - Revenue'!B$39</f>
        <v>Murray</v>
      </c>
      <c r="C90" s="210" t="str">
        <f>'Updated Volumes'!$C$80</f>
        <v>%</v>
      </c>
      <c r="D90" s="210"/>
      <c r="E90" s="210"/>
      <c r="F90" s="222">
        <f>AVERAGE('Updated Volumes'!F108:Y108)</f>
        <v>0</v>
      </c>
      <c r="G90" s="222">
        <f>AVERAGE('Updated Volumes'!G108:Z108)</f>
        <v>0</v>
      </c>
      <c r="H90" s="249">
        <f>AVERAGE('Updated Volumes'!H108:AA108)</f>
        <v>0</v>
      </c>
      <c r="I90" s="257"/>
      <c r="J90" s="213"/>
    </row>
    <row r="91" spans="2:10">
      <c r="B91" s="229" t="str">
        <f>'2017 Determination - Revenue'!B$40</f>
        <v>Murrumbidgee</v>
      </c>
      <c r="C91" s="210" t="str">
        <f>'Updated Volumes'!$C$80</f>
        <v>%</v>
      </c>
      <c r="D91" s="210"/>
      <c r="E91" s="210"/>
      <c r="F91" s="222">
        <f>AVERAGE('Updated Volumes'!F109:Y109)</f>
        <v>0</v>
      </c>
      <c r="G91" s="222">
        <f>AVERAGE('Updated Volumes'!G109:Z109)</f>
        <v>0</v>
      </c>
      <c r="H91" s="249">
        <f>AVERAGE('Updated Volumes'!H109:AA109)</f>
        <v>0</v>
      </c>
      <c r="I91" s="257"/>
      <c r="J91" s="213"/>
    </row>
    <row r="92" spans="2:10">
      <c r="B92" s="229" t="str">
        <f>'2017 Determination - Revenue'!B$41</f>
        <v>Lowbidgee</v>
      </c>
      <c r="C92" s="210" t="str">
        <f>'Updated Volumes'!$C$80</f>
        <v>%</v>
      </c>
      <c r="D92" s="210"/>
      <c r="E92" s="210"/>
      <c r="F92" s="222">
        <f>AVERAGE('Updated Volumes'!F110:Y110)</f>
        <v>1</v>
      </c>
      <c r="G92" s="222">
        <f>AVERAGE('Updated Volumes'!G110:Z110)</f>
        <v>1</v>
      </c>
      <c r="H92" s="249">
        <f>AVERAGE('Updated Volumes'!H110:AA110)</f>
        <v>1</v>
      </c>
      <c r="I92" s="257"/>
      <c r="J92" s="213"/>
    </row>
    <row r="93" spans="2:10">
      <c r="B93" s="264"/>
      <c r="C93" s="210"/>
      <c r="D93" s="210"/>
      <c r="E93" s="210"/>
      <c r="F93" s="221"/>
      <c r="G93" s="219"/>
      <c r="H93" s="245"/>
      <c r="I93" s="257"/>
      <c r="J93" s="213"/>
    </row>
    <row r="94" spans="2:10">
      <c r="B94" s="267"/>
      <c r="C94" s="56"/>
      <c r="D94" s="56"/>
      <c r="E94" s="56"/>
      <c r="F94" s="87"/>
      <c r="G94" s="56"/>
      <c r="H94" s="178"/>
      <c r="I94" s="258"/>
      <c r="J94" s="213"/>
    </row>
    <row r="95" spans="2:10">
      <c r="B95" s="213"/>
      <c r="C95" s="213"/>
      <c r="D95" s="213"/>
      <c r="E95" s="213"/>
      <c r="F95" s="213"/>
      <c r="G95" s="213"/>
      <c r="H95" s="248"/>
      <c r="I95" s="213"/>
      <c r="J95" s="213"/>
    </row>
    <row r="96" spans="2:10">
      <c r="B96" s="213"/>
      <c r="C96" s="213"/>
      <c r="D96" s="213"/>
      <c r="E96" s="213"/>
      <c r="F96" s="213"/>
      <c r="G96" s="213"/>
      <c r="H96" s="248"/>
      <c r="I96" s="213"/>
      <c r="J96" s="213"/>
    </row>
    <row r="97" spans="2:12">
      <c r="B97" s="268" t="s">
        <v>130</v>
      </c>
      <c r="C97" s="213"/>
      <c r="D97" s="213"/>
      <c r="E97" s="213"/>
      <c r="F97" s="213"/>
      <c r="G97" s="213"/>
      <c r="H97" s="213"/>
      <c r="I97" s="213"/>
      <c r="J97" s="213"/>
    </row>
    <row r="98" spans="2:12">
      <c r="B98" s="260" t="str">
        <f>'2017 Determination - Revenue'!B$16</f>
        <v>Financial year</v>
      </c>
      <c r="C98" s="261" t="str">
        <f>'2017 Determination - Revenue'!C$28</f>
        <v>Units</v>
      </c>
      <c r="D98" s="261"/>
      <c r="E98" s="261"/>
      <c r="F98" s="214" t="str">
        <f>'2017 Determination - Revenue'!F$16</f>
        <v>2017-18</v>
      </c>
      <c r="G98" s="214" t="str">
        <f>'2017 Determination - Revenue'!G$16</f>
        <v>2018-19</v>
      </c>
      <c r="H98" s="230" t="str">
        <f>'2017 Determination - Revenue'!H$16</f>
        <v>2019-20</v>
      </c>
      <c r="I98" s="259"/>
      <c r="J98" s="213"/>
    </row>
    <row r="99" spans="2:12">
      <c r="B99" s="229"/>
      <c r="C99" s="210"/>
      <c r="D99" s="210"/>
      <c r="E99" s="210"/>
      <c r="F99" s="215"/>
      <c r="G99" s="215"/>
      <c r="H99" s="215"/>
      <c r="I99" s="257"/>
      <c r="J99" s="213"/>
    </row>
    <row r="100" spans="2:12">
      <c r="B100" s="262" t="s">
        <v>137</v>
      </c>
      <c r="C100" s="213"/>
      <c r="D100" s="210"/>
      <c r="E100" s="210"/>
      <c r="F100" s="221"/>
      <c r="G100" s="210"/>
      <c r="H100" s="232"/>
      <c r="I100" s="257"/>
      <c r="J100" s="213"/>
    </row>
    <row r="101" spans="2:12" s="110" customFormat="1" ht="12">
      <c r="B101" s="279" t="s">
        <v>138</v>
      </c>
      <c r="C101" s="210"/>
      <c r="D101" s="210"/>
      <c r="E101" s="210"/>
      <c r="F101" s="221"/>
      <c r="G101" s="210"/>
      <c r="H101" s="232"/>
      <c r="I101" s="257"/>
      <c r="J101" s="213"/>
      <c r="L101" s="213"/>
    </row>
    <row r="102" spans="2:12">
      <c r="B102" s="229" t="str">
        <f>'2017 Determination - Revenue'!B$33</f>
        <v>Border</v>
      </c>
      <c r="C102" s="275" t="s">
        <v>16</v>
      </c>
      <c r="D102" s="210"/>
      <c r="E102" s="210"/>
      <c r="F102" s="221">
        <f>F73/F62</f>
        <v>2.1539948479507012</v>
      </c>
      <c r="G102" s="288">
        <f t="shared" ref="F102:H109" si="0">G73/G62</f>
        <v>2.049417546088744</v>
      </c>
      <c r="H102" s="250">
        <f t="shared" si="0"/>
        <v>2.1115143769621225</v>
      </c>
      <c r="I102" s="257"/>
      <c r="J102" s="213"/>
    </row>
    <row r="103" spans="2:12">
      <c r="B103" s="229" t="str">
        <f>'2017 Determination - Revenue'!B$34</f>
        <v>Gwydir</v>
      </c>
      <c r="C103" s="210" t="str">
        <f t="shared" ref="C103:C110" si="1">C$102</f>
        <v>#</v>
      </c>
      <c r="D103" s="210"/>
      <c r="E103" s="210"/>
      <c r="F103" s="221">
        <f t="shared" si="0"/>
        <v>2.2789343231005694</v>
      </c>
      <c r="G103" s="288">
        <f t="shared" si="0"/>
        <v>2.2695452676772483</v>
      </c>
      <c r="H103" s="250">
        <f t="shared" ref="H103:H109" si="2">H74/H63</f>
        <v>2.4485021710594426</v>
      </c>
      <c r="I103" s="257"/>
      <c r="J103" s="213"/>
    </row>
    <row r="104" spans="2:12">
      <c r="B104" s="229" t="str">
        <f>'2017 Determination - Revenue'!B$35</f>
        <v>Namoi</v>
      </c>
      <c r="C104" s="210" t="str">
        <f t="shared" si="1"/>
        <v>#</v>
      </c>
      <c r="D104" s="210"/>
      <c r="E104" s="210"/>
      <c r="F104" s="221">
        <f t="shared" si="0"/>
        <v>1.7170346624224049</v>
      </c>
      <c r="G104" s="288">
        <f t="shared" si="0"/>
        <v>1.6828167294849727</v>
      </c>
      <c r="H104" s="250">
        <f t="shared" si="2"/>
        <v>1.8190225711358368</v>
      </c>
      <c r="I104" s="257"/>
      <c r="J104" s="213"/>
    </row>
    <row r="105" spans="2:12">
      <c r="B105" s="229" t="str">
        <f>'2017 Determination - Revenue'!B$36</f>
        <v>Peel</v>
      </c>
      <c r="C105" s="210" t="str">
        <f t="shared" si="1"/>
        <v>#</v>
      </c>
      <c r="D105" s="210"/>
      <c r="E105" s="210"/>
      <c r="F105" s="221">
        <f t="shared" si="0"/>
        <v>1.5815255199486715</v>
      </c>
      <c r="G105" s="288">
        <f t="shared" si="0"/>
        <v>1.5382810920162873</v>
      </c>
      <c r="H105" s="250">
        <f t="shared" si="2"/>
        <v>1.5350431107870164</v>
      </c>
      <c r="I105" s="257"/>
      <c r="J105" s="213"/>
    </row>
    <row r="106" spans="2:12">
      <c r="B106" s="229" t="str">
        <f>'2017 Determination - Revenue'!B$37</f>
        <v>Lachlan</v>
      </c>
      <c r="C106" s="210" t="str">
        <f t="shared" si="1"/>
        <v>#</v>
      </c>
      <c r="D106" s="210"/>
      <c r="E106" s="210"/>
      <c r="F106" s="221">
        <f t="shared" si="0"/>
        <v>2.2581019569475251</v>
      </c>
      <c r="G106" s="288">
        <f t="shared" si="0"/>
        <v>2.1465105707698999</v>
      </c>
      <c r="H106" s="250">
        <f t="shared" si="2"/>
        <v>2.3281964694183772</v>
      </c>
      <c r="I106" s="257"/>
      <c r="J106" s="213"/>
    </row>
    <row r="107" spans="2:12">
      <c r="B107" s="229" t="str">
        <f>'2017 Determination - Revenue'!B$38</f>
        <v>Macquarie</v>
      </c>
      <c r="C107" s="210" t="str">
        <f t="shared" si="1"/>
        <v>#</v>
      </c>
      <c r="D107" s="210"/>
      <c r="E107" s="210"/>
      <c r="F107" s="221">
        <f t="shared" si="0"/>
        <v>2.5186149567251301</v>
      </c>
      <c r="G107" s="288">
        <f t="shared" si="0"/>
        <v>2.4719901301428409</v>
      </c>
      <c r="H107" s="250">
        <f t="shared" si="2"/>
        <v>2.3893010844122631</v>
      </c>
      <c r="I107" s="257"/>
      <c r="J107" s="213"/>
    </row>
    <row r="108" spans="2:12">
      <c r="B108" s="229" t="str">
        <f>'2017 Determination - Revenue'!B$39</f>
        <v>Murray</v>
      </c>
      <c r="C108" s="210" t="str">
        <f t="shared" si="1"/>
        <v>#</v>
      </c>
      <c r="D108" s="210"/>
      <c r="E108" s="210"/>
      <c r="F108" s="221">
        <f t="shared" si="0"/>
        <v>1.5590500297023795</v>
      </c>
      <c r="G108" s="288">
        <f t="shared" si="0"/>
        <v>1.559050029702379</v>
      </c>
      <c r="H108" s="250">
        <f t="shared" si="2"/>
        <v>1.6016296016808937</v>
      </c>
      <c r="I108" s="257"/>
      <c r="J108" s="213"/>
    </row>
    <row r="109" spans="2:12">
      <c r="B109" s="229" t="str">
        <f>'2017 Determination - Revenue'!B$40</f>
        <v>Murrumbidgee</v>
      </c>
      <c r="C109" s="210" t="str">
        <f t="shared" si="1"/>
        <v>#</v>
      </c>
      <c r="D109" s="210"/>
      <c r="E109" s="210"/>
      <c r="F109" s="221">
        <f t="shared" si="0"/>
        <v>1.5652249272083223</v>
      </c>
      <c r="G109" s="288">
        <f t="shared" si="0"/>
        <v>1.5652302081716964</v>
      </c>
      <c r="H109" s="250">
        <f t="shared" si="2"/>
        <v>1.6117017637032494</v>
      </c>
      <c r="I109" s="257"/>
      <c r="J109" s="213"/>
    </row>
    <row r="110" spans="2:12">
      <c r="B110" s="229" t="str">
        <f>'2017 Determination - Revenue'!B$41</f>
        <v>Lowbidgee</v>
      </c>
      <c r="C110" s="210" t="str">
        <f t="shared" si="1"/>
        <v>#</v>
      </c>
      <c r="D110" s="287"/>
      <c r="E110" s="210"/>
      <c r="F110" s="206">
        <v>0</v>
      </c>
      <c r="G110" s="207">
        <v>0</v>
      </c>
      <c r="H110" s="251">
        <v>0</v>
      </c>
      <c r="I110" s="257"/>
      <c r="J110" s="213"/>
    </row>
    <row r="111" spans="2:12">
      <c r="B111" s="264"/>
      <c r="C111" s="210"/>
      <c r="D111" s="210"/>
      <c r="E111" s="210"/>
      <c r="F111" s="221"/>
      <c r="G111" s="80"/>
      <c r="H111" s="245"/>
      <c r="I111" s="257"/>
      <c r="J111" s="213"/>
    </row>
    <row r="112" spans="2:12">
      <c r="B112" s="262" t="s">
        <v>37</v>
      </c>
      <c r="C112" s="213"/>
      <c r="D112" s="210"/>
      <c r="E112" s="210"/>
      <c r="F112" s="221"/>
      <c r="G112" s="38"/>
      <c r="H112" s="232"/>
      <c r="I112" s="257"/>
      <c r="J112" s="213"/>
    </row>
    <row r="113" spans="2:12" s="110" customFormat="1" ht="12">
      <c r="B113" s="279" t="s">
        <v>158</v>
      </c>
      <c r="C113" s="210"/>
      <c r="D113" s="210"/>
      <c r="E113" s="210"/>
      <c r="F113" s="221"/>
      <c r="G113" s="38"/>
      <c r="H113" s="232"/>
      <c r="I113" s="257"/>
      <c r="J113" s="213"/>
      <c r="L113" s="213"/>
    </row>
    <row r="114" spans="2:12">
      <c r="B114" s="229" t="str">
        <f>'2017 Determination - Revenue'!B$33</f>
        <v>Border</v>
      </c>
      <c r="C114" s="210" t="str">
        <f t="shared" ref="C114:C122" si="3">C$102</f>
        <v>#</v>
      </c>
      <c r="D114" s="210"/>
      <c r="E114" s="210"/>
      <c r="F114" s="221">
        <f>F102*'2017 Determination - Revenue'!F111</f>
        <v>2.6924935599383764</v>
      </c>
      <c r="G114" s="288">
        <f>G102*'2017 Determination - Revenue'!G111</f>
        <v>2.5617719326109301</v>
      </c>
      <c r="H114" s="250">
        <f>H102*'2017 Determination - Revenue'!H111</f>
        <v>2.6393929712026534</v>
      </c>
      <c r="I114" s="257"/>
      <c r="J114" s="213"/>
    </row>
    <row r="115" spans="2:12">
      <c r="B115" s="229" t="str">
        <f>'2017 Determination - Revenue'!B$34</f>
        <v>Gwydir</v>
      </c>
      <c r="C115" s="210" t="str">
        <f t="shared" si="3"/>
        <v>#</v>
      </c>
      <c r="D115" s="210"/>
      <c r="E115" s="210"/>
      <c r="F115" s="221">
        <f>F103*'2017 Determination - Revenue'!F112</f>
        <v>3.1844054939026294</v>
      </c>
      <c r="G115" s="288">
        <f>G103*'2017 Determination - Revenue'!G112</f>
        <v>3.1712859584383946</v>
      </c>
      <c r="H115" s="250">
        <f>H103*'2017 Determination - Revenue'!H112</f>
        <v>3.4213464101703828</v>
      </c>
      <c r="I115" s="257"/>
      <c r="J115" s="213"/>
    </row>
    <row r="116" spans="2:12">
      <c r="B116" s="229" t="str">
        <f>'2017 Determination - Revenue'!B$35</f>
        <v>Namoi</v>
      </c>
      <c r="C116" s="210" t="str">
        <f t="shared" si="3"/>
        <v>#</v>
      </c>
      <c r="D116" s="210"/>
      <c r="E116" s="210"/>
      <c r="F116" s="221">
        <f>F104*'2017 Determination - Revenue'!F113</f>
        <v>2.1462933280280061</v>
      </c>
      <c r="G116" s="288">
        <f>G104*'2017 Determination - Revenue'!G113</f>
        <v>2.1035209118562159</v>
      </c>
      <c r="H116" s="250">
        <f>H104*'2017 Determination - Revenue'!H113</f>
        <v>2.2737782139197957</v>
      </c>
      <c r="I116" s="257"/>
      <c r="J116" s="213"/>
    </row>
    <row r="117" spans="2:12">
      <c r="B117" s="229" t="str">
        <f>'2017 Determination - Revenue'!B$36</f>
        <v>Peel</v>
      </c>
      <c r="C117" s="210" t="str">
        <f t="shared" si="3"/>
        <v>#</v>
      </c>
      <c r="D117" s="210"/>
      <c r="E117" s="210"/>
      <c r="F117" s="221">
        <f>F105*'2017 Determination - Revenue'!F114</f>
        <v>10.346253320604475</v>
      </c>
      <c r="G117" s="288">
        <f>G105*'2017 Determination - Revenue'!G114</f>
        <v>10.063350641861996</v>
      </c>
      <c r="H117" s="250">
        <f>H105*'2017 Determination - Revenue'!H114</f>
        <v>10.042167946026341</v>
      </c>
      <c r="I117" s="257"/>
      <c r="J117" s="213"/>
    </row>
    <row r="118" spans="2:12">
      <c r="B118" s="229" t="str">
        <f>'2017 Determination - Revenue'!B$37</f>
        <v>Lachlan</v>
      </c>
      <c r="C118" s="210" t="str">
        <f t="shared" si="3"/>
        <v>#</v>
      </c>
      <c r="D118" s="210"/>
      <c r="E118" s="210"/>
      <c r="F118" s="221">
        <f>F106*'2017 Determination - Revenue'!F115</f>
        <v>5.634456108916158</v>
      </c>
      <c r="G118" s="288">
        <f>G106*'2017 Determination - Revenue'!G115</f>
        <v>5.3560113001614251</v>
      </c>
      <c r="H118" s="250">
        <f>H106*'2017 Determination - Revenue'!H115</f>
        <v>5.8093571813756029</v>
      </c>
      <c r="I118" s="257"/>
      <c r="J118" s="213"/>
    </row>
    <row r="119" spans="2:12">
      <c r="B119" s="229" t="str">
        <f>'2017 Determination - Revenue'!B$38</f>
        <v>Macquarie</v>
      </c>
      <c r="C119" s="210" t="str">
        <f t="shared" si="3"/>
        <v>#</v>
      </c>
      <c r="D119" s="210"/>
      <c r="E119" s="210"/>
      <c r="F119" s="221">
        <f>F107*'2017 Determination - Revenue'!F116</f>
        <v>4.7471727833214441</v>
      </c>
      <c r="G119" s="288">
        <f>G107*'2017 Determination - Revenue'!G116</f>
        <v>4.6592926938351491</v>
      </c>
      <c r="H119" s="250">
        <f>H107*'2017 Determination - Revenue'!H116</f>
        <v>4.5034375138589979</v>
      </c>
      <c r="I119" s="257"/>
      <c r="J119" s="213"/>
    </row>
    <row r="120" spans="2:12">
      <c r="B120" s="229" t="str">
        <f>'2017 Determination - Revenue'!B$39</f>
        <v>Murray</v>
      </c>
      <c r="C120" s="210" t="str">
        <f t="shared" si="3"/>
        <v>#</v>
      </c>
      <c r="D120" s="210"/>
      <c r="E120" s="210"/>
      <c r="F120" s="221">
        <f>F108*'2017 Determination - Revenue'!F117</f>
        <v>2.0400047126005267</v>
      </c>
      <c r="G120" s="288">
        <f>G108*'2017 Determination - Revenue'!G117</f>
        <v>2.0400047126005263</v>
      </c>
      <c r="H120" s="250">
        <f>H108*'2017 Determination - Revenue'!H117</f>
        <v>2.0957197479373111</v>
      </c>
      <c r="I120" s="257"/>
      <c r="J120" s="213"/>
    </row>
    <row r="121" spans="2:12">
      <c r="B121" s="229" t="str">
        <f>'2017 Determination - Revenue'!B$40</f>
        <v>Murrumbidgee</v>
      </c>
      <c r="C121" s="210" t="str">
        <f t="shared" si="3"/>
        <v>#</v>
      </c>
      <c r="D121" s="210"/>
      <c r="E121" s="210"/>
      <c r="F121" s="221">
        <f>F109*'2017 Determination - Revenue'!F118</f>
        <v>2.6498773911620734</v>
      </c>
      <c r="G121" s="288">
        <f>G109*'2017 Determination - Revenue'!G118</f>
        <v>2.6498863316697316</v>
      </c>
      <c r="H121" s="250">
        <f>H109*'2017 Determination - Revenue'!H118</f>
        <v>2.7285612378730399</v>
      </c>
      <c r="I121" s="257"/>
      <c r="J121" s="213"/>
    </row>
    <row r="122" spans="2:12">
      <c r="B122" s="229" t="str">
        <f>'2017 Determination - Revenue'!B$41</f>
        <v>Lowbidgee</v>
      </c>
      <c r="C122" s="210" t="str">
        <f t="shared" si="3"/>
        <v>#</v>
      </c>
      <c r="D122" s="210"/>
      <c r="E122" s="210"/>
      <c r="F122" s="206">
        <v>0</v>
      </c>
      <c r="G122" s="207">
        <v>0</v>
      </c>
      <c r="H122" s="251">
        <v>0</v>
      </c>
      <c r="I122" s="257"/>
      <c r="J122" s="213"/>
    </row>
    <row r="123" spans="2:12">
      <c r="B123" s="264"/>
      <c r="C123" s="210"/>
      <c r="D123" s="210"/>
      <c r="E123" s="210"/>
      <c r="F123" s="221"/>
      <c r="G123" s="80"/>
      <c r="H123" s="245"/>
      <c r="I123" s="257"/>
      <c r="J123" s="213"/>
    </row>
    <row r="124" spans="2:12">
      <c r="B124" s="267"/>
      <c r="C124" s="56"/>
      <c r="D124" s="56"/>
      <c r="E124" s="56"/>
      <c r="F124" s="87"/>
      <c r="G124" s="36"/>
      <c r="H124" s="178"/>
      <c r="I124" s="258"/>
      <c r="J124" s="213"/>
    </row>
    <row r="125" spans="2:12">
      <c r="B125" s="213"/>
      <c r="C125" s="213"/>
      <c r="D125" s="213"/>
      <c r="E125" s="213"/>
      <c r="F125" s="213"/>
      <c r="H125" s="248"/>
      <c r="I125" s="213"/>
      <c r="J125" s="213"/>
    </row>
    <row r="126" spans="2:12">
      <c r="B126" s="213"/>
      <c r="C126" s="213"/>
      <c r="D126" s="213"/>
      <c r="E126" s="213"/>
      <c r="F126" s="213"/>
      <c r="H126" s="248"/>
      <c r="I126" s="213"/>
      <c r="J126" s="213"/>
    </row>
    <row r="127" spans="2:12">
      <c r="B127" s="62" t="s">
        <v>142</v>
      </c>
      <c r="D127" s="61"/>
      <c r="E127" s="61"/>
      <c r="G127" s="61"/>
      <c r="H127" s="106"/>
      <c r="I127" s="106"/>
      <c r="J127" s="106"/>
    </row>
    <row r="128" spans="2:12">
      <c r="B128" s="289" t="str">
        <f>'2017 Determination - Revenue'!B$16</f>
        <v>Financial year</v>
      </c>
      <c r="C128" s="290" t="str">
        <f>'2017 Determination - Revenue'!C$28</f>
        <v>Units</v>
      </c>
      <c r="D128" s="211"/>
      <c r="E128" s="211"/>
      <c r="F128" s="214" t="str">
        <f>'2017 Determination - Revenue'!F$16</f>
        <v>2017-18</v>
      </c>
      <c r="G128" s="214" t="str">
        <f>'2017 Determination - Revenue'!G$16</f>
        <v>2018-19</v>
      </c>
      <c r="H128" s="230" t="str">
        <f>'2017 Determination - Revenue'!H$16</f>
        <v>2019-20</v>
      </c>
      <c r="I128" s="65"/>
      <c r="J128" s="61"/>
    </row>
    <row r="129" spans="2:10">
      <c r="B129" s="217"/>
      <c r="C129" s="212"/>
      <c r="D129" s="212"/>
      <c r="E129" s="212"/>
      <c r="F129" s="57"/>
      <c r="G129" s="88"/>
      <c r="H129" s="88"/>
      <c r="I129" s="68"/>
      <c r="J129" s="61"/>
    </row>
    <row r="130" spans="2:10">
      <c r="B130" s="233" t="s">
        <v>143</v>
      </c>
      <c r="C130" s="212"/>
      <c r="D130" s="212"/>
      <c r="E130" s="212"/>
      <c r="F130" s="50"/>
      <c r="G130" s="53"/>
      <c r="H130" s="138"/>
      <c r="I130" s="68"/>
    </row>
    <row r="131" spans="2:10">
      <c r="B131" s="291" t="str">
        <f>'2017 Determination - Revenue'!B$33</f>
        <v>Border</v>
      </c>
      <c r="C131" s="292" t="str">
        <f t="shared" ref="C131:C139" si="4">C$102</f>
        <v>#</v>
      </c>
      <c r="D131" s="212"/>
      <c r="E131" s="212"/>
      <c r="F131" s="209">
        <f t="shared" ref="F131:H138" si="5">F33+(F45*F114)</f>
        <v>271641.27240056766</v>
      </c>
      <c r="G131" s="293">
        <f t="shared" si="5"/>
        <v>271264.52564033092</v>
      </c>
      <c r="H131" s="242">
        <f t="shared" si="5"/>
        <v>271571.33332254755</v>
      </c>
      <c r="I131" s="68"/>
    </row>
    <row r="132" spans="2:10">
      <c r="B132" s="291" t="str">
        <f>'2017 Determination - Revenue'!B$34</f>
        <v>Gwydir</v>
      </c>
      <c r="C132" s="292" t="str">
        <f t="shared" si="4"/>
        <v>#</v>
      </c>
      <c r="D132" s="212"/>
      <c r="E132" s="212"/>
      <c r="F132" s="209">
        <f t="shared" si="5"/>
        <v>595389.19589585881</v>
      </c>
      <c r="G132" s="293">
        <f t="shared" si="5"/>
        <v>595036.01800116163</v>
      </c>
      <c r="H132" s="242">
        <f t="shared" ref="H132:H137" si="6">H34+(H46*H115)</f>
        <v>601767.64536178671</v>
      </c>
      <c r="I132" s="68"/>
    </row>
    <row r="133" spans="2:10">
      <c r="B133" s="291" t="str">
        <f>'2017 Determination - Revenue'!B$35</f>
        <v>Namoi</v>
      </c>
      <c r="C133" s="292" t="str">
        <f t="shared" si="4"/>
        <v>#</v>
      </c>
      <c r="D133" s="212"/>
      <c r="E133" s="212"/>
      <c r="F133" s="209">
        <f t="shared" si="5"/>
        <v>275241.03664629633</v>
      </c>
      <c r="G133" s="293">
        <f t="shared" si="5"/>
        <v>274861.81640451722</v>
      </c>
      <c r="H133" s="242">
        <f t="shared" si="6"/>
        <v>276688.31764461292</v>
      </c>
      <c r="I133" s="68"/>
    </row>
    <row r="134" spans="2:10">
      <c r="B134" s="291" t="str">
        <f>'2017 Determination - Revenue'!B$36</f>
        <v>Peel</v>
      </c>
      <c r="C134" s="292" t="str">
        <f t="shared" si="4"/>
        <v>#</v>
      </c>
      <c r="D134" s="212"/>
      <c r="E134" s="212"/>
      <c r="F134" s="209">
        <f t="shared" si="5"/>
        <v>210111.38141893793</v>
      </c>
      <c r="G134" s="293">
        <f t="shared" si="5"/>
        <v>205198.21059721729</v>
      </c>
      <c r="H134" s="242">
        <f t="shared" si="6"/>
        <v>204037.33071863945</v>
      </c>
      <c r="I134" s="68"/>
    </row>
    <row r="135" spans="2:10">
      <c r="B135" s="291" t="str">
        <f>'2017 Determination - Revenue'!B$37</f>
        <v>Lachlan</v>
      </c>
      <c r="C135" s="292" t="str">
        <f t="shared" si="4"/>
        <v>#</v>
      </c>
      <c r="D135" s="212"/>
      <c r="E135" s="212"/>
      <c r="F135" s="209">
        <f t="shared" si="5"/>
        <v>956042.87286533159</v>
      </c>
      <c r="G135" s="293">
        <f t="shared" si="5"/>
        <v>940070.80351054983</v>
      </c>
      <c r="H135" s="242">
        <f t="shared" si="6"/>
        <v>966053.78520718473</v>
      </c>
      <c r="I135" s="68"/>
      <c r="J135" s="61"/>
    </row>
    <row r="136" spans="2:10">
      <c r="B136" s="291" t="str">
        <f>'2017 Determination - Revenue'!B$38</f>
        <v>Macquarie</v>
      </c>
      <c r="C136" s="292" t="str">
        <f t="shared" si="4"/>
        <v>#</v>
      </c>
      <c r="D136" s="212"/>
      <c r="E136" s="212"/>
      <c r="F136" s="209">
        <f t="shared" si="5"/>
        <v>835227.24392122554</v>
      </c>
      <c r="G136" s="293">
        <f t="shared" si="5"/>
        <v>831361.88651443482</v>
      </c>
      <c r="H136" s="242">
        <f t="shared" si="6"/>
        <v>824708.74059161288</v>
      </c>
      <c r="I136" s="68"/>
      <c r="J136" s="61"/>
    </row>
    <row r="137" spans="2:10">
      <c r="B137" s="291" t="str">
        <f>'2017 Determination - Revenue'!B$39</f>
        <v>Murray</v>
      </c>
      <c r="C137" s="292" t="str">
        <f t="shared" si="4"/>
        <v>#</v>
      </c>
      <c r="D137" s="212"/>
      <c r="E137" s="212"/>
      <c r="F137" s="209">
        <f t="shared" si="5"/>
        <v>2621022.3622556366</v>
      </c>
      <c r="G137" s="293">
        <f t="shared" si="5"/>
        <v>2620995.8421943728</v>
      </c>
      <c r="H137" s="242">
        <f t="shared" si="6"/>
        <v>2635608.4181676181</v>
      </c>
      <c r="I137" s="68"/>
      <c r="J137" s="61"/>
    </row>
    <row r="138" spans="2:10" ht="12" thickBot="1">
      <c r="B138" s="291" t="str">
        <f>'2017 Determination - Revenue'!B$40</f>
        <v>Murrumbidgee</v>
      </c>
      <c r="C138" s="292" t="str">
        <f t="shared" si="4"/>
        <v>#</v>
      </c>
      <c r="D138" s="212"/>
      <c r="E138" s="212"/>
      <c r="F138" s="223">
        <f t="shared" si="5"/>
        <v>3429478.4571132893</v>
      </c>
      <c r="G138" s="294">
        <f t="shared" si="5"/>
        <v>3429482.3759881305</v>
      </c>
      <c r="H138" s="252">
        <f t="shared" si="5"/>
        <v>3463967.7902744138</v>
      </c>
      <c r="I138" s="68"/>
      <c r="J138" s="61"/>
    </row>
    <row r="139" spans="2:10" ht="12" thickTop="1">
      <c r="B139" s="291" t="str">
        <f>'2017 Determination - Revenue'!B$41</f>
        <v>Lowbidgee</v>
      </c>
      <c r="C139" s="292" t="str">
        <f t="shared" si="4"/>
        <v>#</v>
      </c>
      <c r="D139" s="212"/>
      <c r="E139" s="212"/>
      <c r="F139" s="209">
        <f>F41+F53</f>
        <v>747000</v>
      </c>
      <c r="G139" s="293">
        <f>G41+G53</f>
        <v>747000</v>
      </c>
      <c r="H139" s="242">
        <f>H41+H53</f>
        <v>747000</v>
      </c>
      <c r="I139" s="68"/>
      <c r="J139" s="61"/>
    </row>
    <row r="140" spans="2:10">
      <c r="B140" s="224"/>
      <c r="C140" s="212"/>
      <c r="D140" s="212"/>
      <c r="E140" s="212"/>
      <c r="F140" s="219"/>
      <c r="G140" s="225"/>
      <c r="H140" s="245"/>
      <c r="I140" s="68"/>
      <c r="J140" s="61"/>
    </row>
    <row r="141" spans="2:10">
      <c r="B141" s="218"/>
      <c r="C141" s="74"/>
      <c r="D141" s="74"/>
      <c r="E141" s="74"/>
      <c r="F141" s="56"/>
      <c r="G141" s="74"/>
      <c r="H141" s="178"/>
      <c r="I141" s="72"/>
      <c r="J141" s="61"/>
    </row>
    <row r="142" spans="2:10">
      <c r="B142" s="216"/>
      <c r="C142" s="216"/>
      <c r="D142" s="216"/>
      <c r="E142" s="216"/>
      <c r="F142" s="213"/>
      <c r="G142" s="216"/>
      <c r="H142" s="248"/>
      <c r="I142" s="61"/>
      <c r="J142" s="61"/>
    </row>
    <row r="143" spans="2:10">
      <c r="B143" s="216"/>
      <c r="C143" s="216"/>
      <c r="D143" s="216"/>
      <c r="E143" s="216"/>
      <c r="F143" s="213"/>
      <c r="G143" s="216"/>
      <c r="H143" s="248"/>
      <c r="I143" s="61"/>
      <c r="J143" s="61"/>
    </row>
    <row r="144" spans="2:10">
      <c r="B144" s="33" t="s">
        <v>141</v>
      </c>
      <c r="F144" s="213"/>
      <c r="H144" s="213"/>
      <c r="I144" s="110"/>
      <c r="J144" s="110"/>
    </row>
    <row r="145" spans="2:10">
      <c r="B145" s="260" t="str">
        <f>'2017 Determination - Revenue'!B$16</f>
        <v>Financial year</v>
      </c>
      <c r="C145" s="261" t="str">
        <f>'2017 Determination - Revenue'!C$28</f>
        <v>Units</v>
      </c>
      <c r="D145" s="261"/>
      <c r="E145" s="261"/>
      <c r="F145" s="214" t="str">
        <f>'2017 Determination - Revenue'!F$16</f>
        <v>2017-18</v>
      </c>
      <c r="G145" s="214" t="str">
        <f>'2017 Determination - Revenue'!G$16</f>
        <v>2018-19</v>
      </c>
      <c r="H145" s="230" t="str">
        <f>'2017 Determination - Revenue'!H$16</f>
        <v>2019-20</v>
      </c>
      <c r="I145" s="259"/>
      <c r="J145" s="213"/>
    </row>
    <row r="146" spans="2:10">
      <c r="B146" s="229"/>
      <c r="C146" s="210"/>
      <c r="D146" s="210"/>
      <c r="E146" s="210"/>
      <c r="F146" s="215"/>
      <c r="G146" s="215"/>
      <c r="H146" s="215"/>
      <c r="I146" s="257"/>
      <c r="J146" s="213"/>
    </row>
    <row r="147" spans="2:10">
      <c r="B147" s="262" t="s">
        <v>169</v>
      </c>
      <c r="C147" s="210"/>
      <c r="D147" s="210"/>
      <c r="E147" s="210"/>
      <c r="F147" s="210"/>
      <c r="G147" s="210"/>
      <c r="H147" s="232"/>
      <c r="I147" s="257"/>
      <c r="J147" s="213"/>
    </row>
    <row r="148" spans="2:10">
      <c r="B148" s="229" t="str">
        <f>'2017 Determination - Revenue'!B$33</f>
        <v>Border</v>
      </c>
      <c r="C148" s="210" t="str">
        <f>'2017 Determination - Revenue'!C$33</f>
        <v>$'000</v>
      </c>
      <c r="D148" s="210"/>
      <c r="E148" s="210"/>
      <c r="F148" s="208">
        <f>'2017 Determination - Revenue'!F33-'2017 Determination - Revenue'!F45</f>
        <v>1344.3467612694878</v>
      </c>
      <c r="G148" s="208">
        <f>'2017 Determination - Revenue'!G33-'2017 Determination - Revenue'!G45</f>
        <v>1344.3469329256268</v>
      </c>
      <c r="H148" s="253">
        <f>'2017 Determination - Revenue'!H33-'2017 Determination - Revenue'!H45</f>
        <v>1344.3475838400896</v>
      </c>
      <c r="I148" s="257"/>
      <c r="J148" s="213"/>
    </row>
    <row r="149" spans="2:10">
      <c r="B149" s="229" t="str">
        <f>'2017 Determination - Revenue'!B$34</f>
        <v>Gwydir</v>
      </c>
      <c r="C149" s="210" t="str">
        <f>'2017 Determination - Revenue'!C$33</f>
        <v>$'000</v>
      </c>
      <c r="D149" s="210"/>
      <c r="E149" s="210"/>
      <c r="F149" s="208">
        <f>'2017 Determination - Revenue'!F34-'2017 Determination - Revenue'!F46</f>
        <v>5184.4255985381451</v>
      </c>
      <c r="G149" s="208">
        <f>'2017 Determination - Revenue'!G34-'2017 Determination - Revenue'!G46</f>
        <v>5184.2641110126524</v>
      </c>
      <c r="H149" s="253">
        <f>'2017 Determination - Revenue'!H34-'2017 Determination - Revenue'!H46</f>
        <v>5184.1437099841169</v>
      </c>
      <c r="I149" s="257"/>
      <c r="J149" s="213"/>
    </row>
    <row r="150" spans="2:10">
      <c r="B150" s="229" t="str">
        <f>'2017 Determination - Revenue'!B$35</f>
        <v>Namoi</v>
      </c>
      <c r="C150" s="210" t="str">
        <f>'2017 Determination - Revenue'!C$33</f>
        <v>$'000</v>
      </c>
      <c r="D150" s="210"/>
      <c r="E150" s="210"/>
      <c r="F150" s="208">
        <f>'2017 Determination - Revenue'!F35-'2017 Determination - Revenue'!F47</f>
        <v>5483.6824843548675</v>
      </c>
      <c r="G150" s="208">
        <f>'2017 Determination - Revenue'!G35-'2017 Determination - Revenue'!G47</f>
        <v>5483.4770138866979</v>
      </c>
      <c r="H150" s="253">
        <f>'2017 Determination - Revenue'!H35-'2017 Determination - Revenue'!H47</f>
        <v>5483.343243141574</v>
      </c>
      <c r="I150" s="257"/>
      <c r="J150" s="213"/>
    </row>
    <row r="151" spans="2:10">
      <c r="B151" s="229" t="str">
        <f>'2017 Determination - Revenue'!B$36</f>
        <v>Peel</v>
      </c>
      <c r="C151" s="210" t="str">
        <f>'2017 Determination - Revenue'!C$33</f>
        <v>$'000</v>
      </c>
      <c r="D151" s="210"/>
      <c r="E151" s="210"/>
      <c r="F151" s="208">
        <f>'2017 Determination - Revenue'!F36-'2017 Determination - Revenue'!F48</f>
        <v>1055.3602151328339</v>
      </c>
      <c r="G151" s="208">
        <f>'2017 Determination - Revenue'!G36-'2017 Determination - Revenue'!G48</f>
        <v>1055.3110956572582</v>
      </c>
      <c r="H151" s="253">
        <f>'2017 Determination - Revenue'!H36-'2017 Determination - Revenue'!H48</f>
        <v>1055.2759491651839</v>
      </c>
      <c r="I151" s="257"/>
      <c r="J151" s="213"/>
    </row>
    <row r="152" spans="2:10">
      <c r="B152" s="229" t="str">
        <f>'2017 Determination - Revenue'!B$37</f>
        <v>Lachlan</v>
      </c>
      <c r="C152" s="210" t="str">
        <f>'2017 Determination - Revenue'!C$33</f>
        <v>$'000</v>
      </c>
      <c r="D152" s="210"/>
      <c r="E152" s="210"/>
      <c r="F152" s="208">
        <f>'2017 Determination - Revenue'!F37-'2017 Determination - Revenue'!F49</f>
        <v>6531.7388709002353</v>
      </c>
      <c r="G152" s="208">
        <f>'2017 Determination - Revenue'!G37-'2017 Determination - Revenue'!G49</f>
        <v>6531.4856830712679</v>
      </c>
      <c r="H152" s="253">
        <f>'2017 Determination - Revenue'!H37-'2017 Determination - Revenue'!H49</f>
        <v>6531.2717752585822</v>
      </c>
      <c r="I152" s="257"/>
      <c r="J152" s="213"/>
    </row>
    <row r="153" spans="2:10">
      <c r="B153" s="229" t="str">
        <f>'2017 Determination - Revenue'!B$38</f>
        <v>Macquarie</v>
      </c>
      <c r="C153" s="210" t="str">
        <f>'2017 Determination - Revenue'!C$33</f>
        <v>$'000</v>
      </c>
      <c r="D153" s="210"/>
      <c r="E153" s="210"/>
      <c r="F153" s="208">
        <f>'2017 Determination - Revenue'!F38-'2017 Determination - Revenue'!F50</f>
        <v>5949.422948107378</v>
      </c>
      <c r="G153" s="208">
        <f>'2017 Determination - Revenue'!G38-'2017 Determination - Revenue'!G50</f>
        <v>5949.2576777750628</v>
      </c>
      <c r="H153" s="253">
        <f>'2017 Determination - Revenue'!H38-'2017 Determination - Revenue'!H50</f>
        <v>5949.1329847411153</v>
      </c>
      <c r="I153" s="257"/>
      <c r="J153" s="213"/>
    </row>
    <row r="154" spans="2:10">
      <c r="B154" s="229" t="str">
        <f>'2017 Determination - Revenue'!B$39</f>
        <v>Murray</v>
      </c>
      <c r="C154" s="210" t="str">
        <f>'2017 Determination - Revenue'!C$33</f>
        <v>$'000</v>
      </c>
      <c r="D154" s="210"/>
      <c r="E154" s="210"/>
      <c r="F154" s="208">
        <f>'2017 Determination - Revenue'!F39-'2017 Determination - Revenue'!F51</f>
        <v>4943.9466843093187</v>
      </c>
      <c r="G154" s="208">
        <f>'2017 Determination - Revenue'!G39-'2017 Determination - Revenue'!G51</f>
        <v>4943.9660416938113</v>
      </c>
      <c r="H154" s="253">
        <f>'2017 Determination - Revenue'!H39-'2017 Determination - Revenue'!H51</f>
        <v>4943.9622003160148</v>
      </c>
      <c r="I154" s="257"/>
      <c r="J154" s="213"/>
    </row>
    <row r="155" spans="2:10">
      <c r="B155" s="229" t="str">
        <f>'2017 Determination - Revenue'!B$40</f>
        <v>Murrumbidgee</v>
      </c>
      <c r="C155" s="210" t="str">
        <f>'2017 Determination - Revenue'!C$33</f>
        <v>$'000</v>
      </c>
      <c r="D155" s="210"/>
      <c r="E155" s="210"/>
      <c r="F155" s="208">
        <f>'2017 Determination - Revenue'!F40-'2017 Determination - Revenue'!F52</f>
        <v>9563.8151755077615</v>
      </c>
      <c r="G155" s="208">
        <f>'2017 Determination - Revenue'!G40-'2017 Determination - Revenue'!G52</f>
        <v>9563.1681778822767</v>
      </c>
      <c r="H155" s="253">
        <f>'2017 Determination - Revenue'!H40-'2017 Determination - Revenue'!H52</f>
        <v>9562.6114731138387</v>
      </c>
      <c r="I155" s="257"/>
      <c r="J155" s="213"/>
    </row>
    <row r="156" spans="2:10">
      <c r="B156" s="229" t="str">
        <f>'2017 Determination - Revenue'!B$41</f>
        <v>Lowbidgee</v>
      </c>
      <c r="C156" s="210" t="str">
        <f>'2017 Determination - Revenue'!C$33</f>
        <v>$'000</v>
      </c>
      <c r="D156" s="210"/>
      <c r="E156" s="210"/>
      <c r="F156" s="208">
        <f>'2017 Determination - Revenue'!F41-'2017 Determination - Revenue'!F53</f>
        <v>585.34287856328444</v>
      </c>
      <c r="G156" s="208">
        <f>'2017 Determination - Revenue'!G41-'2017 Determination - Revenue'!G53</f>
        <v>585.11330731714213</v>
      </c>
      <c r="H156" s="253">
        <f>'2017 Determination - Revenue'!H41-'2017 Determination - Revenue'!H53</f>
        <v>584.88924908127933</v>
      </c>
      <c r="I156" s="257"/>
      <c r="J156" s="213"/>
    </row>
    <row r="157" spans="2:10">
      <c r="B157" s="264" t="s">
        <v>34</v>
      </c>
      <c r="C157" s="226"/>
      <c r="D157" s="226"/>
      <c r="E157" s="226"/>
      <c r="F157" s="226">
        <f>SUM(F148:F156)+SUM('2017 Determination - Revenue'!F45:F53)-SUM('2017 Determination - Revenue'!F33:F41)</f>
        <v>0</v>
      </c>
      <c r="G157" s="226">
        <f>SUM(G148:G156)+SUM('2017 Determination - Revenue'!G45:G53)-SUM('2017 Determination - Revenue'!G33:G41)</f>
        <v>0</v>
      </c>
      <c r="H157" s="254">
        <f>SUM(H148:H156)+SUM('2017 Determination - Revenue'!H45:H53)-SUM('2017 Determination - Revenue'!H33:H41)</f>
        <v>0</v>
      </c>
      <c r="I157" s="257"/>
      <c r="J157" s="213"/>
    </row>
    <row r="158" spans="2:10">
      <c r="B158" s="229"/>
      <c r="C158" s="210"/>
      <c r="D158" s="210"/>
      <c r="E158" s="210"/>
      <c r="F158" s="210"/>
      <c r="G158" s="210"/>
      <c r="H158" s="232"/>
      <c r="I158" s="257"/>
      <c r="J158" s="213"/>
    </row>
    <row r="159" spans="2:10">
      <c r="B159" s="262" t="s">
        <v>33</v>
      </c>
      <c r="C159" s="210"/>
      <c r="D159" s="210"/>
      <c r="E159" s="210"/>
      <c r="F159" s="210"/>
      <c r="G159" s="210"/>
      <c r="H159" s="232"/>
      <c r="I159" s="257"/>
      <c r="J159" s="213"/>
    </row>
    <row r="160" spans="2:10">
      <c r="B160" s="229" t="str">
        <f>'2017 Determination - Revenue'!B$33</f>
        <v>Border</v>
      </c>
      <c r="C160" s="210" t="str">
        <f>'2017 Determination - Revenue'!C$33</f>
        <v>$'000</v>
      </c>
      <c r="D160" s="210"/>
      <c r="E160" s="210"/>
      <c r="F160" s="208">
        <f>F148*'2017 Determination - Revenue'!F57</f>
        <v>537.54240713856984</v>
      </c>
      <c r="G160" s="208">
        <f>G148*'2017 Determination - Revenue'!G57</f>
        <v>537.54247577596072</v>
      </c>
      <c r="H160" s="253">
        <f>H148*'2017 Determination - Revenue'!H57</f>
        <v>537.54273604670129</v>
      </c>
      <c r="I160" s="257"/>
      <c r="J160" s="213"/>
    </row>
    <row r="161" spans="2:10">
      <c r="B161" s="229" t="str">
        <f>'2017 Determination - Revenue'!B$34</f>
        <v>Gwydir</v>
      </c>
      <c r="C161" s="210" t="str">
        <f>'2017 Determination - Revenue'!C$33</f>
        <v>$'000</v>
      </c>
      <c r="D161" s="210"/>
      <c r="E161" s="210"/>
      <c r="F161" s="208">
        <f>F149*'2017 Determination - Revenue'!F58</f>
        <v>2071.9412061380795</v>
      </c>
      <c r="G161" s="208">
        <f>G149*'2017 Determination - Revenue'!G58</f>
        <v>2071.8766680996823</v>
      </c>
      <c r="H161" s="253">
        <f>H149*'2017 Determination - Revenue'!H58</f>
        <v>2071.8285501650062</v>
      </c>
      <c r="I161" s="257"/>
      <c r="J161" s="213"/>
    </row>
    <row r="162" spans="2:10">
      <c r="B162" s="229" t="str">
        <f>'2017 Determination - Revenue'!B$35</f>
        <v>Namoi</v>
      </c>
      <c r="C162" s="210" t="str">
        <f>'2017 Determination - Revenue'!C$33</f>
        <v>$'000</v>
      </c>
      <c r="D162" s="210"/>
      <c r="E162" s="210"/>
      <c r="F162" s="208">
        <f>F150*'2017 Determination - Revenue'!F59</f>
        <v>2190.2777369830105</v>
      </c>
      <c r="G162" s="208">
        <f>G150*'2017 Determination - Revenue'!G59</f>
        <v>2190.1956685201985</v>
      </c>
      <c r="H162" s="253">
        <f>H150*'2017 Determination - Revenue'!H59</f>
        <v>2190.1422381682883</v>
      </c>
      <c r="I162" s="257"/>
      <c r="J162" s="213"/>
    </row>
    <row r="163" spans="2:10">
      <c r="B163" s="229" t="str">
        <f>'2017 Determination - Revenue'!B$36</f>
        <v>Peel</v>
      </c>
      <c r="C163" s="210" t="str">
        <f>'2017 Determination - Revenue'!C$33</f>
        <v>$'000</v>
      </c>
      <c r="D163" s="210"/>
      <c r="E163" s="210"/>
      <c r="F163" s="208">
        <f>F151*'2017 Determination - Revenue'!F60</f>
        <v>422.0642499323414</v>
      </c>
      <c r="G163" s="208">
        <f>G151*'2017 Determination - Revenue'!G60</f>
        <v>844.19564821143376</v>
      </c>
      <c r="H163" s="253">
        <f>H151*'2017 Determination - Revenue'!H60</f>
        <v>844.16753279051079</v>
      </c>
      <c r="I163" s="257"/>
      <c r="J163" s="208"/>
    </row>
    <row r="164" spans="2:10">
      <c r="B164" s="229" t="str">
        <f>'2017 Determination - Revenue'!B$37</f>
        <v>Lachlan</v>
      </c>
      <c r="C164" s="210" t="str">
        <f>'2017 Determination - Revenue'!C$33</f>
        <v>$'000</v>
      </c>
      <c r="D164" s="210"/>
      <c r="E164" s="210"/>
      <c r="F164" s="208">
        <f>F152*'2017 Determination - Revenue'!F61</f>
        <v>2609.628567628743</v>
      </c>
      <c r="G164" s="208">
        <f>G152*'2017 Determination - Revenue'!G61</f>
        <v>2609.5274113816076</v>
      </c>
      <c r="H164" s="253">
        <f>H152*'2017 Determination - Revenue'!H61</f>
        <v>2609.4419486970364</v>
      </c>
      <c r="I164" s="257"/>
      <c r="J164" s="213"/>
    </row>
    <row r="165" spans="2:10">
      <c r="B165" s="229" t="str">
        <f>'2017 Determination - Revenue'!B$38</f>
        <v>Macquarie</v>
      </c>
      <c r="C165" s="210" t="str">
        <f>'2017 Determination - Revenue'!C$33</f>
        <v>$'000</v>
      </c>
      <c r="D165" s="210"/>
      <c r="E165" s="210"/>
      <c r="F165" s="208">
        <f>F153*'2017 Determination - Revenue'!F62</f>
        <v>2377.7934570518369</v>
      </c>
      <c r="G165" s="208">
        <f>G153*'2017 Determination - Revenue'!G62</f>
        <v>2377.7274038029332</v>
      </c>
      <c r="H165" s="253">
        <f>H153*'2017 Determination - Revenue'!H62</f>
        <v>2377.6775679982097</v>
      </c>
      <c r="I165" s="257"/>
      <c r="J165" s="213"/>
    </row>
    <row r="166" spans="2:10">
      <c r="B166" s="229" t="str">
        <f>'2017 Determination - Revenue'!B$39</f>
        <v>Murray</v>
      </c>
      <c r="C166" s="210" t="str">
        <f>'2017 Determination - Revenue'!C$33</f>
        <v>$'000</v>
      </c>
      <c r="D166" s="210"/>
      <c r="E166" s="210"/>
      <c r="F166" s="208">
        <f>F154*'2017 Determination - Revenue'!F63</f>
        <v>1975.6989913084071</v>
      </c>
      <c r="G166" s="208">
        <f>G154*'2017 Determination - Revenue'!G63</f>
        <v>1975.7067269025504</v>
      </c>
      <c r="H166" s="253">
        <f>H154*'2017 Determination - Revenue'!H63</f>
        <v>1975.7051918119189</v>
      </c>
      <c r="I166" s="257"/>
      <c r="J166" s="213"/>
    </row>
    <row r="167" spans="2:10">
      <c r="B167" s="229" t="str">
        <f>'2017 Determination - Revenue'!B$40</f>
        <v>Murrumbidgee</v>
      </c>
      <c r="C167" s="210" t="str">
        <f>'2017 Determination - Revenue'!C$33</f>
        <v>$'000</v>
      </c>
      <c r="D167" s="210"/>
      <c r="E167" s="210"/>
      <c r="F167" s="208">
        <f>F155*'2017 Determination - Revenue'!F64</f>
        <v>3822.4812671489012</v>
      </c>
      <c r="G167" s="208">
        <f>G155*'2017 Determination - Revenue'!G64</f>
        <v>3822.222674081394</v>
      </c>
      <c r="H167" s="253">
        <f>H155*'2017 Determination - Revenue'!H64</f>
        <v>3822.0001694104403</v>
      </c>
      <c r="I167" s="257"/>
      <c r="J167" s="213"/>
    </row>
    <row r="168" spans="2:10">
      <c r="B168" s="229" t="str">
        <f>'2017 Determination - Revenue'!B$41</f>
        <v>Lowbidgee</v>
      </c>
      <c r="C168" s="210" t="str">
        <f>'2017 Determination - Revenue'!C$33</f>
        <v>$'000</v>
      </c>
      <c r="D168" s="210"/>
      <c r="E168" s="210"/>
      <c r="F168" s="208">
        <f>F156*'2017 Determination - Revenue'!F65</f>
        <v>585.34287856328444</v>
      </c>
      <c r="G168" s="208">
        <f>G156*'2017 Determination - Revenue'!G65</f>
        <v>585.11330731714213</v>
      </c>
      <c r="H168" s="253">
        <f>H156*'2017 Determination - Revenue'!H65</f>
        <v>584.88924908127933</v>
      </c>
      <c r="I168" s="257"/>
      <c r="J168" s="213"/>
    </row>
    <row r="169" spans="2:10">
      <c r="B169" s="229"/>
      <c r="C169" s="210"/>
      <c r="D169" s="210"/>
      <c r="E169" s="210"/>
      <c r="F169" s="210"/>
      <c r="G169" s="210"/>
      <c r="H169" s="232"/>
      <c r="I169" s="257"/>
      <c r="J169" s="213"/>
    </row>
    <row r="170" spans="2:10">
      <c r="B170" s="229"/>
      <c r="C170" s="210"/>
      <c r="D170" s="210"/>
      <c r="E170" s="210"/>
      <c r="F170" s="210"/>
      <c r="G170" s="210"/>
      <c r="H170" s="232"/>
      <c r="I170" s="257"/>
      <c r="J170" s="213"/>
    </row>
    <row r="171" spans="2:10">
      <c r="B171" s="262" t="s">
        <v>170</v>
      </c>
      <c r="C171" s="210"/>
      <c r="D171" s="210"/>
      <c r="E171" s="210"/>
      <c r="F171" s="210"/>
      <c r="G171" s="210"/>
      <c r="H171" s="232"/>
      <c r="I171" s="257"/>
      <c r="J171" s="213"/>
    </row>
    <row r="172" spans="2:10">
      <c r="B172" s="229" t="str">
        <f>'2017 Determination - Revenue'!B$33</f>
        <v>Border</v>
      </c>
      <c r="C172" s="210" t="str">
        <f>'2017 Determination - Revenue'!C$33</f>
        <v>$'000</v>
      </c>
      <c r="D172" s="210"/>
      <c r="E172" s="210"/>
      <c r="F172" s="208">
        <f>F148*(1-'2017 Determination - Revenue'!F57)</f>
        <v>806.804354130918</v>
      </c>
      <c r="G172" s="208">
        <f>G148*(1-'2017 Determination - Revenue'!G57)</f>
        <v>806.80445714966606</v>
      </c>
      <c r="H172" s="253">
        <f>H148*(1-'2017 Determination - Revenue'!H57)</f>
        <v>806.80484779338826</v>
      </c>
      <c r="I172" s="257"/>
      <c r="J172" s="213"/>
    </row>
    <row r="173" spans="2:10">
      <c r="B173" s="229" t="str">
        <f>'2017 Determination - Revenue'!B$34</f>
        <v>Gwydir</v>
      </c>
      <c r="C173" s="210" t="str">
        <f>'2017 Determination - Revenue'!C$33</f>
        <v>$'000</v>
      </c>
      <c r="D173" s="210"/>
      <c r="E173" s="210"/>
      <c r="F173" s="208">
        <f>F149*(1-'2017 Determination - Revenue'!F58)</f>
        <v>3112.4843924000656</v>
      </c>
      <c r="G173" s="208">
        <f>G149*(1-'2017 Determination - Revenue'!G58)</f>
        <v>3112.3874429129701</v>
      </c>
      <c r="H173" s="253">
        <f>H149*(1-'2017 Determination - Revenue'!H58)</f>
        <v>3112.3151598191107</v>
      </c>
      <c r="I173" s="257"/>
      <c r="J173" s="213"/>
    </row>
    <row r="174" spans="2:10">
      <c r="B174" s="229" t="str">
        <f>'2017 Determination - Revenue'!B$35</f>
        <v>Namoi</v>
      </c>
      <c r="C174" s="210" t="str">
        <f>'2017 Determination - Revenue'!C$33</f>
        <v>$'000</v>
      </c>
      <c r="D174" s="210"/>
      <c r="E174" s="210"/>
      <c r="F174" s="208">
        <f>F150*(1-'2017 Determination - Revenue'!F59)</f>
        <v>3293.4047473718574</v>
      </c>
      <c r="G174" s="208">
        <f>G150*(1-'2017 Determination - Revenue'!G59)</f>
        <v>3293.2813453664994</v>
      </c>
      <c r="H174" s="253">
        <f>H150*(1-'2017 Determination - Revenue'!H59)</f>
        <v>3293.2010049732862</v>
      </c>
      <c r="I174" s="257"/>
      <c r="J174" s="213"/>
    </row>
    <row r="175" spans="2:10">
      <c r="B175" s="229" t="str">
        <f>'2017 Determination - Revenue'!B$36</f>
        <v>Peel</v>
      </c>
      <c r="C175" s="210" t="str">
        <f>'2017 Determination - Revenue'!C$33</f>
        <v>$'000</v>
      </c>
      <c r="D175" s="210"/>
      <c r="E175" s="210"/>
      <c r="F175" s="208">
        <f>F151*(1-'2017 Determination - Revenue'!F60)</f>
        <v>633.29596520049245</v>
      </c>
      <c r="G175" s="208">
        <f>G151*(1-'2017 Determination - Revenue'!G60)</f>
        <v>211.11544744582443</v>
      </c>
      <c r="H175" s="253">
        <f>H151*(1-'2017 Determination - Revenue'!H60)</f>
        <v>211.10841637467303</v>
      </c>
      <c r="I175" s="257"/>
      <c r="J175" s="213"/>
    </row>
    <row r="176" spans="2:10">
      <c r="B176" s="229" t="str">
        <f>'2017 Determination - Revenue'!B$37</f>
        <v>Lachlan</v>
      </c>
      <c r="C176" s="210" t="str">
        <f>'2017 Determination - Revenue'!C$33</f>
        <v>$'000</v>
      </c>
      <c r="D176" s="210"/>
      <c r="E176" s="210"/>
      <c r="F176" s="208">
        <f>F152*(1-'2017 Determination - Revenue'!F61)</f>
        <v>3922.1103032714923</v>
      </c>
      <c r="G176" s="208">
        <f>G152*(1-'2017 Determination - Revenue'!G61)</f>
        <v>3921.9582716896603</v>
      </c>
      <c r="H176" s="253">
        <f>H152*(1-'2017 Determination - Revenue'!H61)</f>
        <v>3921.8298265615458</v>
      </c>
      <c r="I176" s="257"/>
      <c r="J176" s="213"/>
    </row>
    <row r="177" spans="2:10">
      <c r="B177" s="229" t="str">
        <f>'2017 Determination - Revenue'!B$38</f>
        <v>Macquarie</v>
      </c>
      <c r="C177" s="210" t="str">
        <f>'2017 Determination - Revenue'!C$33</f>
        <v>$'000</v>
      </c>
      <c r="D177" s="210"/>
      <c r="E177" s="210"/>
      <c r="F177" s="208">
        <f>F153*(1-'2017 Determination - Revenue'!F62)</f>
        <v>3571.6294910555416</v>
      </c>
      <c r="G177" s="208">
        <f>G153*(1-'2017 Determination - Revenue'!G62)</f>
        <v>3571.5302739721301</v>
      </c>
      <c r="H177" s="253">
        <f>H153*(1-'2017 Determination - Revenue'!H62)</f>
        <v>3571.455416742906</v>
      </c>
      <c r="I177" s="257"/>
      <c r="J177" s="213"/>
    </row>
    <row r="178" spans="2:10">
      <c r="B178" s="229" t="str">
        <f>'2017 Determination - Revenue'!B$39</f>
        <v>Murray</v>
      </c>
      <c r="C178" s="210" t="str">
        <f>'2017 Determination - Revenue'!C$33</f>
        <v>$'000</v>
      </c>
      <c r="D178" s="210"/>
      <c r="E178" s="210"/>
      <c r="F178" s="208">
        <f>F154*(1-'2017 Determination - Revenue'!F63)</f>
        <v>2968.2476930009116</v>
      </c>
      <c r="G178" s="208">
        <f>G154*(1-'2017 Determination - Revenue'!G63)</f>
        <v>2968.2593147912607</v>
      </c>
      <c r="H178" s="253">
        <f>H154*(1-'2017 Determination - Revenue'!H63)</f>
        <v>2968.2570085040957</v>
      </c>
      <c r="I178" s="257"/>
      <c r="J178" s="213"/>
    </row>
    <row r="179" spans="2:10">
      <c r="B179" s="229" t="str">
        <f>'2017 Determination - Revenue'!B$40</f>
        <v>Murrumbidgee</v>
      </c>
      <c r="C179" s="210" t="str">
        <f>'2017 Determination - Revenue'!C$33</f>
        <v>$'000</v>
      </c>
      <c r="D179" s="210"/>
      <c r="E179" s="210"/>
      <c r="F179" s="208">
        <f>F155*(1-'2017 Determination - Revenue'!F64)</f>
        <v>5741.3339083588608</v>
      </c>
      <c r="G179" s="208">
        <f>G155*(1-'2017 Determination - Revenue'!G64)</f>
        <v>5740.9455038008837</v>
      </c>
      <c r="H179" s="253">
        <f>H155*(1-'2017 Determination - Revenue'!H64)</f>
        <v>5740.6113037033992</v>
      </c>
      <c r="I179" s="257"/>
      <c r="J179" s="213"/>
    </row>
    <row r="180" spans="2:10">
      <c r="B180" s="229" t="str">
        <f>'2017 Determination - Revenue'!B$41</f>
        <v>Lowbidgee</v>
      </c>
      <c r="C180" s="210" t="str">
        <f>'2017 Determination - Revenue'!C$33</f>
        <v>$'000</v>
      </c>
      <c r="D180" s="210"/>
      <c r="E180" s="210"/>
      <c r="F180" s="208">
        <f>F156*(1-'2017 Determination - Revenue'!F65)</f>
        <v>0</v>
      </c>
      <c r="G180" s="208">
        <f>G156*(1-'2017 Determination - Revenue'!G65)</f>
        <v>0</v>
      </c>
      <c r="H180" s="253">
        <f>H156*(1-'2017 Determination - Revenue'!H65)</f>
        <v>0</v>
      </c>
      <c r="I180" s="257"/>
      <c r="J180" s="213"/>
    </row>
    <row r="181" spans="2:10">
      <c r="B181" s="264" t="s">
        <v>34</v>
      </c>
      <c r="C181" s="210"/>
      <c r="D181" s="210"/>
      <c r="E181" s="210"/>
      <c r="F181" s="226">
        <f>SUM(F148:F156)-SUM(F160:F168)-SUM(F172:F180)</f>
        <v>0</v>
      </c>
      <c r="G181" s="226">
        <f>SUM(G148:G156)-SUM(G160:G168)-SUM(G172:G180)</f>
        <v>0</v>
      </c>
      <c r="H181" s="254">
        <f>SUM(H148:H156)-SUM(H160:H168)-SUM(H172:H180)</f>
        <v>0</v>
      </c>
      <c r="I181" s="257"/>
      <c r="J181" s="213"/>
    </row>
    <row r="182" spans="2:10">
      <c r="B182" s="229"/>
      <c r="C182" s="210"/>
      <c r="D182" s="210"/>
      <c r="E182" s="210"/>
      <c r="F182" s="210"/>
      <c r="G182" s="210"/>
      <c r="H182" s="232"/>
      <c r="I182" s="257"/>
      <c r="J182" s="213"/>
    </row>
    <row r="183" spans="2:10">
      <c r="B183" s="267"/>
      <c r="C183" s="56"/>
      <c r="D183" s="56"/>
      <c r="E183" s="56"/>
      <c r="F183" s="56"/>
      <c r="G183" s="56"/>
      <c r="H183" s="178"/>
      <c r="I183" s="258"/>
      <c r="J183" s="213"/>
    </row>
    <row r="184" spans="2:10">
      <c r="B184" s="213"/>
      <c r="C184" s="213"/>
      <c r="D184" s="213"/>
      <c r="E184" s="213"/>
      <c r="F184" s="213"/>
      <c r="G184" s="213"/>
      <c r="H184" s="248"/>
      <c r="I184" s="213"/>
      <c r="J184" s="213"/>
    </row>
    <row r="185" spans="2:10">
      <c r="B185" s="213"/>
      <c r="C185" s="213"/>
      <c r="D185" s="213"/>
      <c r="E185" s="213"/>
      <c r="F185" s="213"/>
      <c r="G185" s="213"/>
      <c r="H185" s="248"/>
      <c r="I185" s="213"/>
      <c r="J185" s="213"/>
    </row>
    <row r="186" spans="2:10">
      <c r="B186" s="268" t="s">
        <v>140</v>
      </c>
      <c r="C186" s="213"/>
      <c r="D186" s="213"/>
      <c r="E186" s="213"/>
      <c r="F186" s="213"/>
      <c r="G186" s="213"/>
      <c r="H186" s="213"/>
      <c r="I186" s="213"/>
      <c r="J186" s="213"/>
    </row>
    <row r="187" spans="2:10">
      <c r="B187" s="260" t="str">
        <f>'2017 Determination - Revenue'!B$16</f>
        <v>Financial year</v>
      </c>
      <c r="C187" s="261" t="str">
        <f>'2017 Determination - Revenue'!C$28</f>
        <v>Units</v>
      </c>
      <c r="D187" s="261"/>
      <c r="E187" s="261"/>
      <c r="F187" s="214" t="str">
        <f>'2017 Determination - Revenue'!F$16</f>
        <v>2017-18</v>
      </c>
      <c r="G187" s="214" t="str">
        <f>'2017 Determination - Revenue'!G$16</f>
        <v>2018-19</v>
      </c>
      <c r="H187" s="230" t="str">
        <f>'2017 Determination - Revenue'!H$16</f>
        <v>2019-20</v>
      </c>
      <c r="I187" s="259"/>
      <c r="J187" s="213"/>
    </row>
    <row r="188" spans="2:10">
      <c r="B188" s="229"/>
      <c r="C188" s="210"/>
      <c r="D188" s="210"/>
      <c r="E188" s="210"/>
      <c r="F188" s="215"/>
      <c r="G188" s="215"/>
      <c r="H188" s="215"/>
      <c r="I188" s="257"/>
      <c r="J188" s="213"/>
    </row>
    <row r="189" spans="2:10">
      <c r="B189" s="262" t="s">
        <v>152</v>
      </c>
      <c r="C189" s="210"/>
      <c r="D189" s="210"/>
      <c r="E189" s="210"/>
      <c r="F189" s="210"/>
      <c r="G189" s="210"/>
      <c r="H189" s="232"/>
      <c r="I189" s="257"/>
      <c r="J189" s="213"/>
    </row>
    <row r="190" spans="2:10">
      <c r="B190" s="229" t="str">
        <f>'2017 Determination - Revenue'!B$33</f>
        <v>Border</v>
      </c>
      <c r="C190" s="210" t="str">
        <f>'2017 Determination - Revenue'!C$33</f>
        <v>$'000</v>
      </c>
      <c r="D190" s="210"/>
      <c r="E190" s="210"/>
      <c r="F190" s="208">
        <f>'2017 Determination - Revenue'!F80*'2017 Determination - Revenue'!F92</f>
        <v>464.59752566631823</v>
      </c>
      <c r="G190" s="208">
        <f>'2017 Determination - Revenue'!G80*'2017 Determination - Revenue'!G92</f>
        <v>464.59752566631823</v>
      </c>
      <c r="H190" s="253">
        <f>'2017 Determination - Revenue'!H80*'2017 Determination - Revenue'!H92</f>
        <v>464.59752566631823</v>
      </c>
      <c r="I190" s="257"/>
      <c r="J190" s="208"/>
    </row>
    <row r="191" spans="2:10">
      <c r="B191" s="229" t="str">
        <f>'2017 Determination - Revenue'!B$34</f>
        <v>Gwydir</v>
      </c>
      <c r="C191" s="210" t="str">
        <f>'2017 Determination - Revenue'!C$33</f>
        <v>$'000</v>
      </c>
      <c r="D191" s="210"/>
      <c r="E191" s="210"/>
      <c r="F191" s="208">
        <f>'2017 Determination - Revenue'!F81*'2017 Determination - Revenue'!F93</f>
        <v>0</v>
      </c>
      <c r="G191" s="208">
        <f>'2017 Determination - Revenue'!G81*'2017 Determination - Revenue'!G93</f>
        <v>0</v>
      </c>
      <c r="H191" s="253">
        <f>'2017 Determination - Revenue'!H81*'2017 Determination - Revenue'!H93</f>
        <v>0</v>
      </c>
      <c r="I191" s="257"/>
      <c r="J191" s="208"/>
    </row>
    <row r="192" spans="2:10">
      <c r="B192" s="229" t="str">
        <f>'2017 Determination - Revenue'!B$35</f>
        <v>Namoi</v>
      </c>
      <c r="C192" s="210" t="str">
        <f>'2017 Determination - Revenue'!C$33</f>
        <v>$'000</v>
      </c>
      <c r="D192" s="210"/>
      <c r="E192" s="210"/>
      <c r="F192" s="208">
        <f>'2017 Determination - Revenue'!F82*'2017 Determination - Revenue'!F94</f>
        <v>0</v>
      </c>
      <c r="G192" s="208">
        <f>'2017 Determination - Revenue'!G82*'2017 Determination - Revenue'!G94</f>
        <v>0</v>
      </c>
      <c r="H192" s="253">
        <f>'2017 Determination - Revenue'!H82*'2017 Determination - Revenue'!H94</f>
        <v>0</v>
      </c>
      <c r="I192" s="257"/>
      <c r="J192" s="208"/>
    </row>
    <row r="193" spans="2:10">
      <c r="B193" s="229" t="str">
        <f>'2017 Determination - Revenue'!B$36</f>
        <v>Peel</v>
      </c>
      <c r="C193" s="210" t="str">
        <f>'2017 Determination - Revenue'!C$33</f>
        <v>$'000</v>
      </c>
      <c r="D193" s="210"/>
      <c r="E193" s="210"/>
      <c r="F193" s="208">
        <f>'2017 Determination - Revenue'!F83*'2017 Determination - Revenue'!F95</f>
        <v>0</v>
      </c>
      <c r="G193" s="208">
        <f>'2017 Determination - Revenue'!G83*'2017 Determination - Revenue'!G95</f>
        <v>0</v>
      </c>
      <c r="H193" s="253">
        <f>'2017 Determination - Revenue'!H83*'2017 Determination - Revenue'!H95</f>
        <v>0</v>
      </c>
      <c r="I193" s="257"/>
      <c r="J193" s="208"/>
    </row>
    <row r="194" spans="2:10">
      <c r="B194" s="229" t="str">
        <f>'2017 Determination - Revenue'!B$37</f>
        <v>Lachlan</v>
      </c>
      <c r="C194" s="210" t="str">
        <f>'2017 Determination - Revenue'!C$33</f>
        <v>$'000</v>
      </c>
      <c r="D194" s="210"/>
      <c r="E194" s="210"/>
      <c r="F194" s="208">
        <f>'2017 Determination - Revenue'!F84*'2017 Determination - Revenue'!F96</f>
        <v>0</v>
      </c>
      <c r="G194" s="208">
        <f>'2017 Determination - Revenue'!G84*'2017 Determination - Revenue'!G96</f>
        <v>0</v>
      </c>
      <c r="H194" s="253">
        <f>'2017 Determination - Revenue'!H84*'2017 Determination - Revenue'!H96</f>
        <v>0</v>
      </c>
      <c r="I194" s="257"/>
      <c r="J194" s="208"/>
    </row>
    <row r="195" spans="2:10">
      <c r="B195" s="229" t="str">
        <f>'2017 Determination - Revenue'!B$38</f>
        <v>Macquarie</v>
      </c>
      <c r="C195" s="210" t="str">
        <f>'2017 Determination - Revenue'!C$33</f>
        <v>$'000</v>
      </c>
      <c r="D195" s="210"/>
      <c r="E195" s="210"/>
      <c r="F195" s="208">
        <f>'2017 Determination - Revenue'!F85*'2017 Determination - Revenue'!F97</f>
        <v>0</v>
      </c>
      <c r="G195" s="208">
        <f>'2017 Determination - Revenue'!G85*'2017 Determination - Revenue'!G97</f>
        <v>0</v>
      </c>
      <c r="H195" s="253">
        <f>'2017 Determination - Revenue'!H85*'2017 Determination - Revenue'!H97</f>
        <v>0</v>
      </c>
      <c r="I195" s="257"/>
      <c r="J195" s="208"/>
    </row>
    <row r="196" spans="2:10">
      <c r="B196" s="229" t="str">
        <f>'2017 Determination - Revenue'!B$39</f>
        <v>Murray</v>
      </c>
      <c r="C196" s="210" t="str">
        <f>'2017 Determination - Revenue'!C$33</f>
        <v>$'000</v>
      </c>
      <c r="D196" s="210"/>
      <c r="E196" s="210"/>
      <c r="F196" s="208">
        <f>'2017 Determination - Revenue'!F86*'2017 Determination - Revenue'!F98</f>
        <v>9335.214002069024</v>
      </c>
      <c r="G196" s="208">
        <f>'2017 Determination - Revenue'!G86*'2017 Determination - Revenue'!G98</f>
        <v>9335.214002069024</v>
      </c>
      <c r="H196" s="253">
        <f>'2017 Determination - Revenue'!H86*'2017 Determination - Revenue'!H98</f>
        <v>9335.214002069024</v>
      </c>
      <c r="I196" s="257"/>
      <c r="J196" s="213"/>
    </row>
    <row r="197" spans="2:10">
      <c r="B197" s="229" t="str">
        <f>'2017 Determination - Revenue'!B$40</f>
        <v>Murrumbidgee</v>
      </c>
      <c r="C197" s="210" t="str">
        <f>'2017 Determination - Revenue'!C$33</f>
        <v>$'000</v>
      </c>
      <c r="D197" s="210"/>
      <c r="E197" s="210"/>
      <c r="F197" s="208">
        <f>'2017 Determination - Revenue'!F87*'2017 Determination - Revenue'!F99</f>
        <v>2087.2332479145184</v>
      </c>
      <c r="G197" s="208">
        <f>'2017 Determination - Revenue'!G87*'2017 Determination - Revenue'!G99</f>
        <v>2087.2332479145184</v>
      </c>
      <c r="H197" s="253">
        <f>'2017 Determination - Revenue'!H87*'2017 Determination - Revenue'!H99</f>
        <v>2087.2332479145184</v>
      </c>
      <c r="I197" s="257"/>
      <c r="J197" s="213"/>
    </row>
    <row r="198" spans="2:10">
      <c r="B198" s="229" t="str">
        <f>'2017 Determination - Revenue'!B$41</f>
        <v>Lowbidgee</v>
      </c>
      <c r="C198" s="210" t="str">
        <f>'2017 Determination - Revenue'!C$33</f>
        <v>$'000</v>
      </c>
      <c r="D198" s="210"/>
      <c r="E198" s="210"/>
      <c r="F198" s="208">
        <f>'2017 Determination - Revenue'!F88*'2017 Determination - Revenue'!F100</f>
        <v>0</v>
      </c>
      <c r="G198" s="208">
        <f>'2017 Determination - Revenue'!G88*'2017 Determination - Revenue'!G100</f>
        <v>0</v>
      </c>
      <c r="H198" s="253">
        <f>'2017 Determination - Revenue'!H88*'2017 Determination - Revenue'!H100</f>
        <v>0</v>
      </c>
      <c r="I198" s="257"/>
      <c r="J198" s="213"/>
    </row>
    <row r="199" spans="2:10">
      <c r="B199" s="264" t="s">
        <v>34</v>
      </c>
      <c r="C199" s="226"/>
      <c r="D199" s="226"/>
      <c r="E199" s="226"/>
      <c r="F199" s="219">
        <f>SUMPRODUCT('2017 Determination - Revenue'!F80:F88,'2017 Determination - Revenue'!F92:F100)-SUM(F190:F198)</f>
        <v>0</v>
      </c>
      <c r="G199" s="219">
        <f>SUMPRODUCT('2017 Determination - Revenue'!G80:G88,'2017 Determination - Revenue'!G92:G100)-SUM(G190:G198)</f>
        <v>0</v>
      </c>
      <c r="H199" s="245">
        <f>SUMPRODUCT('2017 Determination - Revenue'!H80:H88,'2017 Determination - Revenue'!H92:H100)-SUM(H190:H198)</f>
        <v>0</v>
      </c>
      <c r="I199" s="257"/>
      <c r="J199" s="213"/>
    </row>
    <row r="200" spans="2:10">
      <c r="B200" s="229"/>
      <c r="C200" s="210"/>
      <c r="D200" s="210"/>
      <c r="E200" s="210"/>
      <c r="F200" s="210"/>
      <c r="G200" s="210"/>
      <c r="H200" s="232"/>
      <c r="I200" s="257"/>
      <c r="J200" s="213"/>
    </row>
    <row r="201" spans="2:10">
      <c r="B201" s="262" t="s">
        <v>171</v>
      </c>
      <c r="C201" s="210"/>
      <c r="D201" s="210"/>
      <c r="E201" s="210"/>
      <c r="F201" s="210"/>
      <c r="G201" s="210"/>
      <c r="H201" s="232"/>
      <c r="I201" s="257"/>
      <c r="J201" s="213"/>
    </row>
    <row r="202" spans="2:10">
      <c r="B202" s="229" t="str">
        <f>'2017 Determination - Revenue'!B$33</f>
        <v>Border</v>
      </c>
      <c r="C202" s="210" t="str">
        <f>'2017 Determination - Revenue'!C$33</f>
        <v>$'000</v>
      </c>
      <c r="D202" s="210"/>
      <c r="E202" s="210"/>
      <c r="F202" s="208">
        <f>'2017 Determination - Revenue'!F80*(1-'2017 Determination - Revenue'!F92)</f>
        <v>116.14938141657953</v>
      </c>
      <c r="G202" s="208">
        <f>'2017 Determination - Revenue'!G80*(1-'2017 Determination - Revenue'!G92)</f>
        <v>116.14938141657953</v>
      </c>
      <c r="H202" s="253">
        <f>'2017 Determination - Revenue'!H80*(1-'2017 Determination - Revenue'!H92)</f>
        <v>116.14938141657953</v>
      </c>
      <c r="I202" s="257"/>
      <c r="J202" s="213"/>
    </row>
    <row r="203" spans="2:10">
      <c r="B203" s="229" t="str">
        <f>'2017 Determination - Revenue'!B$34</f>
        <v>Gwydir</v>
      </c>
      <c r="C203" s="210" t="str">
        <f>'2017 Determination - Revenue'!C$33</f>
        <v>$'000</v>
      </c>
      <c r="D203" s="210"/>
      <c r="E203" s="210"/>
      <c r="F203" s="208">
        <f>'2017 Determination - Revenue'!F81*(1-'2017 Determination - Revenue'!F93)</f>
        <v>0</v>
      </c>
      <c r="G203" s="208">
        <f>'2017 Determination - Revenue'!G81*(1-'2017 Determination - Revenue'!G93)</f>
        <v>0</v>
      </c>
      <c r="H203" s="253">
        <f>'2017 Determination - Revenue'!H81*(1-'2017 Determination - Revenue'!H93)</f>
        <v>0</v>
      </c>
      <c r="I203" s="257"/>
      <c r="J203" s="213"/>
    </row>
    <row r="204" spans="2:10">
      <c r="B204" s="229" t="str">
        <f>'2017 Determination - Revenue'!B$35</f>
        <v>Namoi</v>
      </c>
      <c r="C204" s="210" t="str">
        <f>'2017 Determination - Revenue'!C$33</f>
        <v>$'000</v>
      </c>
      <c r="D204" s="210"/>
      <c r="E204" s="210"/>
      <c r="F204" s="208">
        <f>'2017 Determination - Revenue'!F82*(1-'2017 Determination - Revenue'!F94)</f>
        <v>0</v>
      </c>
      <c r="G204" s="208">
        <f>'2017 Determination - Revenue'!G82*(1-'2017 Determination - Revenue'!G94)</f>
        <v>0</v>
      </c>
      <c r="H204" s="253">
        <f>'2017 Determination - Revenue'!H82*(1-'2017 Determination - Revenue'!H94)</f>
        <v>0</v>
      </c>
      <c r="I204" s="257"/>
      <c r="J204" s="213"/>
    </row>
    <row r="205" spans="2:10">
      <c r="B205" s="229" t="str">
        <f>'2017 Determination - Revenue'!B$36</f>
        <v>Peel</v>
      </c>
      <c r="C205" s="210" t="str">
        <f>'2017 Determination - Revenue'!C$33</f>
        <v>$'000</v>
      </c>
      <c r="D205" s="210"/>
      <c r="E205" s="210"/>
      <c r="F205" s="208">
        <f>'2017 Determination - Revenue'!F83*(1-'2017 Determination - Revenue'!F95)</f>
        <v>0</v>
      </c>
      <c r="G205" s="208">
        <f>'2017 Determination - Revenue'!G83*(1-'2017 Determination - Revenue'!G95)</f>
        <v>0</v>
      </c>
      <c r="H205" s="253">
        <f>'2017 Determination - Revenue'!H83*(1-'2017 Determination - Revenue'!H95)</f>
        <v>0</v>
      </c>
      <c r="I205" s="257"/>
      <c r="J205" s="213"/>
    </row>
    <row r="206" spans="2:10">
      <c r="B206" s="229" t="str">
        <f>'2017 Determination - Revenue'!B$37</f>
        <v>Lachlan</v>
      </c>
      <c r="C206" s="210" t="str">
        <f>'2017 Determination - Revenue'!C$33</f>
        <v>$'000</v>
      </c>
      <c r="D206" s="210"/>
      <c r="E206" s="210"/>
      <c r="F206" s="208">
        <f>'2017 Determination - Revenue'!F84*(1-'2017 Determination - Revenue'!F96)</f>
        <v>0</v>
      </c>
      <c r="G206" s="208">
        <f>'2017 Determination - Revenue'!G84*(1-'2017 Determination - Revenue'!G96)</f>
        <v>0</v>
      </c>
      <c r="H206" s="253">
        <f>'2017 Determination - Revenue'!H84*(1-'2017 Determination - Revenue'!H96)</f>
        <v>0</v>
      </c>
      <c r="I206" s="257"/>
      <c r="J206" s="213"/>
    </row>
    <row r="207" spans="2:10">
      <c r="B207" s="229" t="str">
        <f>'2017 Determination - Revenue'!B$38</f>
        <v>Macquarie</v>
      </c>
      <c r="C207" s="210" t="str">
        <f>'2017 Determination - Revenue'!C$33</f>
        <v>$'000</v>
      </c>
      <c r="D207" s="210"/>
      <c r="E207" s="210"/>
      <c r="F207" s="208">
        <f>'2017 Determination - Revenue'!F85*(1-'2017 Determination - Revenue'!F97)</f>
        <v>0</v>
      </c>
      <c r="G207" s="208">
        <f>'2017 Determination - Revenue'!G85*(1-'2017 Determination - Revenue'!G97)</f>
        <v>0</v>
      </c>
      <c r="H207" s="253">
        <f>'2017 Determination - Revenue'!H85*(1-'2017 Determination - Revenue'!H97)</f>
        <v>0</v>
      </c>
      <c r="I207" s="257"/>
      <c r="J207" s="213"/>
    </row>
    <row r="208" spans="2:10">
      <c r="B208" s="229" t="str">
        <f>'2017 Determination - Revenue'!B$39</f>
        <v>Murray</v>
      </c>
      <c r="C208" s="210" t="str">
        <f>'2017 Determination - Revenue'!C$33</f>
        <v>$'000</v>
      </c>
      <c r="D208" s="210"/>
      <c r="E208" s="210"/>
      <c r="F208" s="208">
        <f>'2017 Determination - Revenue'!F86*(1-'2017 Determination - Revenue'!F98)</f>
        <v>2333.8035005172551</v>
      </c>
      <c r="G208" s="208">
        <f>'2017 Determination - Revenue'!G86*(1-'2017 Determination - Revenue'!G98)</f>
        <v>2333.8035005172551</v>
      </c>
      <c r="H208" s="253">
        <f>'2017 Determination - Revenue'!H86*(1-'2017 Determination - Revenue'!H98)</f>
        <v>2333.8035005172551</v>
      </c>
      <c r="I208" s="257"/>
      <c r="J208" s="213"/>
    </row>
    <row r="209" spans="2:10">
      <c r="B209" s="229" t="str">
        <f>'2017 Determination - Revenue'!B$40</f>
        <v>Murrumbidgee</v>
      </c>
      <c r="C209" s="210" t="str">
        <f>'2017 Determination - Revenue'!C$33</f>
        <v>$'000</v>
      </c>
      <c r="D209" s="210"/>
      <c r="E209" s="210"/>
      <c r="F209" s="208">
        <f>'2017 Determination - Revenue'!F87*(1-'2017 Determination - Revenue'!F99)</f>
        <v>521.80831197862949</v>
      </c>
      <c r="G209" s="208">
        <f>'2017 Determination - Revenue'!G87*(1-'2017 Determination - Revenue'!G99)</f>
        <v>521.80831197862949</v>
      </c>
      <c r="H209" s="253">
        <f>'2017 Determination - Revenue'!H87*(1-'2017 Determination - Revenue'!H99)</f>
        <v>521.80831197862949</v>
      </c>
      <c r="I209" s="257"/>
      <c r="J209" s="213"/>
    </row>
    <row r="210" spans="2:10">
      <c r="B210" s="229" t="str">
        <f>'2017 Determination - Revenue'!B$41</f>
        <v>Lowbidgee</v>
      </c>
      <c r="C210" s="210" t="str">
        <f>'2017 Determination - Revenue'!C$33</f>
        <v>$'000</v>
      </c>
      <c r="D210" s="210"/>
      <c r="E210" s="210"/>
      <c r="F210" s="208">
        <f>'2017 Determination - Revenue'!F88*(1-'2017 Determination - Revenue'!F100)</f>
        <v>0</v>
      </c>
      <c r="G210" s="208">
        <f>'2017 Determination - Revenue'!G88*(1-'2017 Determination - Revenue'!G100)</f>
        <v>0</v>
      </c>
      <c r="H210" s="253">
        <f>'2017 Determination - Revenue'!H88*(1-'2017 Determination - Revenue'!H100)</f>
        <v>0</v>
      </c>
      <c r="I210" s="257"/>
      <c r="J210" s="213"/>
    </row>
    <row r="211" spans="2:10">
      <c r="B211" s="264" t="s">
        <v>34</v>
      </c>
      <c r="C211" s="210"/>
      <c r="D211" s="210"/>
      <c r="E211" s="210"/>
      <c r="F211" s="219">
        <f>SUMPRODUCT('2017 Determination - Revenue'!F80:F88,(1-'2017 Determination - Revenue'!F92:F100))-SUM(F202:F210)</f>
        <v>0</v>
      </c>
      <c r="G211" s="219">
        <f>SUMPRODUCT('2017 Determination - Revenue'!G80:G88,(1-'2017 Determination - Revenue'!G92:G100))-SUM(G202:G210)</f>
        <v>0</v>
      </c>
      <c r="H211" s="245">
        <f>SUMPRODUCT('2017 Determination - Revenue'!H80:H88,(1-'2017 Determination - Revenue'!H92:H100))-SUM(H202:H210)</f>
        <v>0</v>
      </c>
      <c r="I211" s="257"/>
      <c r="J211" s="213"/>
    </row>
    <row r="212" spans="2:10">
      <c r="B212" s="43"/>
      <c r="C212" s="38"/>
      <c r="D212" s="38"/>
      <c r="E212" s="38"/>
      <c r="F212" s="50"/>
      <c r="G212" s="38"/>
      <c r="H212" s="138"/>
      <c r="I212" s="44"/>
    </row>
    <row r="213" spans="2:10">
      <c r="B213" s="45"/>
      <c r="C213" s="36"/>
      <c r="D213" s="36"/>
      <c r="E213" s="36"/>
      <c r="F213" s="56"/>
      <c r="G213" s="36"/>
      <c r="H213" s="178"/>
      <c r="I213" s="46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showGridLines="0" tabSelected="1" zoomScaleNormal="100" workbookViewId="0">
      <selection activeCell="J43" sqref="J43"/>
    </sheetView>
  </sheetViews>
  <sheetFormatPr defaultColWidth="9.09765625" defaultRowHeight="11.5"/>
  <cols>
    <col min="1" max="1" width="5.69921875" style="32" customWidth="1"/>
    <col min="2" max="2" width="40.69921875" style="32" customWidth="1"/>
    <col min="3" max="3" width="9" style="32" customWidth="1"/>
    <col min="4" max="5" width="5.69921875" style="32" customWidth="1"/>
    <col min="6" max="7" width="22.8984375" style="32" customWidth="1"/>
    <col min="8" max="8" width="22.8984375" style="136" customWidth="1"/>
    <col min="9" max="9" width="5.69921875" style="32" customWidth="1"/>
    <col min="10" max="10" width="11.8984375" style="32" bestFit="1" customWidth="1"/>
    <col min="11" max="11" width="9.09765625" style="213"/>
    <col min="12" max="16384" width="9.09765625" style="32"/>
  </cols>
  <sheetData>
    <row r="2" spans="2:11" ht="18">
      <c r="B2" s="35" t="s">
        <v>124</v>
      </c>
    </row>
    <row r="3" spans="2:11">
      <c r="B3" s="81" t="s">
        <v>125</v>
      </c>
    </row>
    <row r="5" spans="2:11">
      <c r="B5" s="36" t="s">
        <v>28</v>
      </c>
      <c r="C5" s="36"/>
      <c r="D5" s="36"/>
      <c r="E5" s="37" t="s">
        <v>29</v>
      </c>
    </row>
    <row r="6" spans="2:11">
      <c r="B6" s="213" t="str">
        <f>B10</f>
        <v>TABLE 6.1 - FISH RIVER USAGE AND MAQ VALUES</v>
      </c>
      <c r="C6" s="213"/>
      <c r="D6" s="213"/>
      <c r="E6" s="213">
        <f>ROW(B10)</f>
        <v>10</v>
      </c>
      <c r="F6" s="213"/>
      <c r="G6" s="213"/>
      <c r="H6" s="248"/>
      <c r="I6" s="213"/>
      <c r="J6" s="213"/>
    </row>
    <row r="7" spans="2:11">
      <c r="B7" s="56" t="str">
        <f>B39</f>
        <v>TABLE 6.2 - FISH RIVER REQUIRED REVENUE CALCULATIONS</v>
      </c>
      <c r="C7" s="56"/>
      <c r="D7" s="56"/>
      <c r="E7" s="56">
        <f>ROW(B39)</f>
        <v>39</v>
      </c>
      <c r="F7" s="213"/>
      <c r="G7" s="213"/>
      <c r="H7" s="248"/>
      <c r="I7" s="213"/>
      <c r="J7" s="213"/>
    </row>
    <row r="8" spans="2:11">
      <c r="B8" s="213"/>
      <c r="C8" s="213"/>
      <c r="D8" s="213"/>
      <c r="E8" s="213"/>
      <c r="F8" s="213"/>
      <c r="G8" s="213"/>
      <c r="H8" s="248"/>
      <c r="I8" s="213"/>
      <c r="J8" s="213"/>
    </row>
    <row r="9" spans="2:11">
      <c r="B9" s="213"/>
      <c r="C9" s="213"/>
      <c r="D9" s="213"/>
      <c r="E9" s="213"/>
      <c r="F9" s="213"/>
      <c r="G9" s="213"/>
      <c r="H9" s="248"/>
      <c r="I9" s="213"/>
      <c r="J9" s="213"/>
    </row>
    <row r="10" spans="2:11">
      <c r="B10" s="33" t="s">
        <v>123</v>
      </c>
      <c r="C10" s="38"/>
      <c r="D10" s="38"/>
      <c r="E10" s="53"/>
      <c r="F10" s="53"/>
      <c r="G10" s="53"/>
      <c r="H10" s="53"/>
      <c r="I10" s="53"/>
      <c r="J10" s="53"/>
    </row>
    <row r="11" spans="2:11">
      <c r="B11" s="260" t="str">
        <f>'2017 Determination - Revenue'!B$15</f>
        <v>Financial year ending 30 June</v>
      </c>
      <c r="C11" s="261" t="str">
        <f>'2017 Determination - Revenue'!C$15</f>
        <v>Units</v>
      </c>
      <c r="D11" s="261"/>
      <c r="E11" s="261"/>
      <c r="F11" s="230" t="str">
        <f>'2017 Determination - Revenue'!F$16</f>
        <v>2017-18</v>
      </c>
      <c r="G11" s="230" t="str">
        <f>'2017 Determination - Revenue'!G$16</f>
        <v>2018-19</v>
      </c>
      <c r="H11" s="230" t="str">
        <f>'2017 Determination - Revenue'!H$16</f>
        <v>2019-20</v>
      </c>
      <c r="I11" s="259"/>
      <c r="J11" s="213"/>
    </row>
    <row r="12" spans="2:11">
      <c r="B12" s="229"/>
      <c r="C12" s="210"/>
      <c r="D12" s="210"/>
      <c r="E12" s="210"/>
      <c r="F12" s="215"/>
      <c r="G12" s="215"/>
      <c r="H12" s="235"/>
      <c r="I12" s="257"/>
      <c r="J12" s="213"/>
    </row>
    <row r="13" spans="2:11">
      <c r="B13" s="49" t="s">
        <v>56</v>
      </c>
      <c r="C13" s="38"/>
      <c r="D13" s="38"/>
      <c r="E13" s="38"/>
      <c r="F13" s="53"/>
      <c r="G13" s="53"/>
      <c r="H13" s="163"/>
      <c r="I13" s="44"/>
    </row>
    <row r="14" spans="2:11">
      <c r="B14" s="274" t="str">
        <f>'Updated Volumes'!B$31</f>
        <v xml:space="preserve">Energy Australia </v>
      </c>
      <c r="C14" s="210" t="str">
        <f>'Updated Volumes'!$C$20</f>
        <v>ML</v>
      </c>
      <c r="D14" s="210"/>
      <c r="E14" s="210"/>
      <c r="F14" s="310">
        <f>'Updated Volumes'!AA124</f>
        <v>8184</v>
      </c>
      <c r="G14" s="310">
        <f>'Updated Volumes'!AB124</f>
        <v>8184</v>
      </c>
      <c r="H14" s="310">
        <f>'Updated Volumes'!AC124</f>
        <v>8184</v>
      </c>
      <c r="I14" s="257"/>
      <c r="J14" s="213"/>
    </row>
    <row r="15" spans="2:11" s="110" customFormat="1">
      <c r="B15" s="274" t="str">
        <f>'Updated Volumes'!B$32</f>
        <v xml:space="preserve">Minor customers (raw) </v>
      </c>
      <c r="C15" s="210" t="str">
        <f>'Updated Volumes'!$C$20</f>
        <v>ML</v>
      </c>
      <c r="D15" s="210"/>
      <c r="E15" s="210"/>
      <c r="F15" s="310">
        <f>'Updated Volumes'!AA125</f>
        <v>16.600000000000001</v>
      </c>
      <c r="G15" s="310">
        <f>'Updated Volumes'!AB125</f>
        <v>16.8</v>
      </c>
      <c r="H15" s="310">
        <f>'Updated Volumes'!AC125</f>
        <v>16.600000000000001</v>
      </c>
      <c r="I15" s="257"/>
      <c r="J15" s="213"/>
      <c r="K15" s="213"/>
    </row>
    <row r="16" spans="2:11">
      <c r="B16" s="274" t="str">
        <f>'Updated Volumes'!B$33</f>
        <v xml:space="preserve">Minor customers (filtered) </v>
      </c>
      <c r="C16" s="210" t="str">
        <f>'Updated Volumes'!$C$20</f>
        <v>ML</v>
      </c>
      <c r="D16" s="210"/>
      <c r="E16" s="210"/>
      <c r="F16" s="310">
        <f>'Updated Volumes'!AA126</f>
        <v>45.6</v>
      </c>
      <c r="G16" s="310">
        <f>'Updated Volumes'!AB126</f>
        <v>46.2</v>
      </c>
      <c r="H16" s="310">
        <f>'Updated Volumes'!AC126</f>
        <v>45.6</v>
      </c>
      <c r="I16" s="257"/>
      <c r="J16" s="213"/>
    </row>
    <row r="17" spans="2:11">
      <c r="B17" s="262"/>
      <c r="C17" s="210"/>
      <c r="D17" s="210"/>
      <c r="E17" s="210"/>
      <c r="F17" s="310"/>
      <c r="G17" s="310"/>
      <c r="H17" s="179"/>
      <c r="I17" s="257"/>
      <c r="J17" s="213"/>
    </row>
    <row r="18" spans="2:11">
      <c r="B18" s="262" t="s">
        <v>52</v>
      </c>
      <c r="C18" s="210"/>
      <c r="D18" s="210"/>
      <c r="E18" s="210"/>
      <c r="F18" s="310"/>
      <c r="G18" s="310"/>
      <c r="H18" s="179"/>
      <c r="I18" s="257"/>
      <c r="J18" s="213"/>
    </row>
    <row r="19" spans="2:11" s="110" customFormat="1" ht="12">
      <c r="B19" s="279" t="s">
        <v>218</v>
      </c>
      <c r="C19" s="210"/>
      <c r="D19" s="210"/>
      <c r="E19" s="210"/>
      <c r="F19" s="310"/>
      <c r="G19" s="310"/>
      <c r="H19" s="179"/>
      <c r="I19" s="257"/>
      <c r="J19" s="213"/>
      <c r="K19" s="213"/>
    </row>
    <row r="20" spans="2:11" ht="12" customHeight="1">
      <c r="B20" s="274" t="str">
        <f>'Updated Volumes'!B$31</f>
        <v xml:space="preserve">Energy Australia </v>
      </c>
      <c r="C20" s="210" t="s">
        <v>15</v>
      </c>
      <c r="D20" s="210"/>
      <c r="E20" s="210"/>
      <c r="F20" s="310">
        <f>AVERAGE('Updated Volumes'!F31:Y31)/1000</f>
        <v>1540.5643749999999</v>
      </c>
      <c r="G20" s="310">
        <f>AVERAGE('Updated Volumes'!G31:Z31)/1000</f>
        <v>1540.5064705882353</v>
      </c>
      <c r="H20" s="179">
        <f>AVERAGE('Updated Volumes'!H31:AA31)/1000</f>
        <v>1761.1795555555555</v>
      </c>
      <c r="I20" s="257"/>
      <c r="J20" s="213"/>
    </row>
    <row r="21" spans="2:11" s="110" customFormat="1" ht="12" customHeight="1">
      <c r="B21" s="274" t="str">
        <f>'Updated Volumes'!B$32</f>
        <v xml:space="preserve">Minor customers (raw) </v>
      </c>
      <c r="C21" s="210" t="str">
        <f>'Updated Volumes'!$C$20</f>
        <v>ML</v>
      </c>
      <c r="D21" s="210"/>
      <c r="E21" s="210"/>
      <c r="F21" s="310">
        <f>AVERAGE('Updated Volumes'!F32:Y32)</f>
        <v>50.254849999999998</v>
      </c>
      <c r="G21" s="310">
        <f>AVERAGE('Updated Volumes'!G32:Z32)</f>
        <v>50.194849999999995</v>
      </c>
      <c r="H21" s="179">
        <f>AVERAGE('Updated Volumes'!H32:AA32)</f>
        <v>50.319849999999995</v>
      </c>
      <c r="I21" s="257"/>
      <c r="J21" s="213"/>
      <c r="K21" s="213"/>
    </row>
    <row r="22" spans="2:11">
      <c r="B22" s="274" t="str">
        <f>'Updated Volumes'!B$33</f>
        <v xml:space="preserve">Minor customers (filtered) </v>
      </c>
      <c r="C22" s="210" t="str">
        <f>'Updated Volumes'!$C$20</f>
        <v>ML</v>
      </c>
      <c r="D22" s="210"/>
      <c r="E22" s="210"/>
      <c r="F22" s="310">
        <f>AVERAGE('Updated Volumes'!F33:Y33)</f>
        <v>116.3412</v>
      </c>
      <c r="G22" s="310">
        <f>AVERAGE('Updated Volumes'!G33:Z33)</f>
        <v>110.32415</v>
      </c>
      <c r="H22" s="179">
        <f>AVERAGE('Updated Volumes'!H33:AA33)</f>
        <v>106.70710000000001</v>
      </c>
      <c r="I22" s="257"/>
      <c r="J22" s="213"/>
    </row>
    <row r="23" spans="2:11">
      <c r="B23" s="262"/>
      <c r="C23" s="210"/>
      <c r="D23" s="210"/>
      <c r="E23" s="210"/>
      <c r="F23" s="310"/>
      <c r="G23" s="310"/>
      <c r="H23" s="179"/>
      <c r="I23" s="257"/>
      <c r="J23" s="213"/>
    </row>
    <row r="24" spans="2:11" s="110" customFormat="1">
      <c r="B24" s="262" t="s">
        <v>75</v>
      </c>
      <c r="C24" s="210"/>
      <c r="D24" s="210"/>
      <c r="E24" s="210"/>
      <c r="F24" s="310"/>
      <c r="G24" s="310"/>
      <c r="H24" s="179"/>
      <c r="I24" s="257"/>
      <c r="J24" s="213"/>
      <c r="K24" s="213"/>
    </row>
    <row r="25" spans="2:11" s="110" customFormat="1">
      <c r="B25" s="274" t="str">
        <f>'Updated Volumes'!B$31</f>
        <v xml:space="preserve">Energy Australia </v>
      </c>
      <c r="C25" s="210" t="str">
        <f>'Updated Volumes'!$C$20</f>
        <v>ML</v>
      </c>
      <c r="D25" s="210"/>
      <c r="E25" s="210"/>
      <c r="F25" s="310">
        <f t="shared" ref="F25:G27" si="0">IF(F20&gt;F14,F14,F20)</f>
        <v>1540.5643749999999</v>
      </c>
      <c r="G25" s="310">
        <f t="shared" si="0"/>
        <v>1540.5064705882353</v>
      </c>
      <c r="H25" s="179">
        <f>IF(H20&gt;H14,H14,H20)</f>
        <v>1761.1795555555555</v>
      </c>
      <c r="I25" s="257"/>
      <c r="J25" s="213"/>
      <c r="K25" s="213"/>
    </row>
    <row r="26" spans="2:11" s="110" customFormat="1">
      <c r="B26" s="274" t="str">
        <f>'Updated Volumes'!B$32</f>
        <v xml:space="preserve">Minor customers (raw) </v>
      </c>
      <c r="C26" s="210" t="str">
        <f>'Updated Volumes'!$C$20</f>
        <v>ML</v>
      </c>
      <c r="D26" s="210"/>
      <c r="E26" s="210"/>
      <c r="F26" s="310">
        <f t="shared" si="0"/>
        <v>16.600000000000001</v>
      </c>
      <c r="G26" s="310">
        <f t="shared" si="0"/>
        <v>16.8</v>
      </c>
      <c r="H26" s="179">
        <f>IF(H21&gt;H15,H15,H21)</f>
        <v>16.600000000000001</v>
      </c>
      <c r="I26" s="257"/>
      <c r="J26" s="213"/>
      <c r="K26" s="213"/>
    </row>
    <row r="27" spans="2:11" s="110" customFormat="1">
      <c r="B27" s="274" t="str">
        <f>'Updated Volumes'!B$33</f>
        <v xml:space="preserve">Minor customers (filtered) </v>
      </c>
      <c r="C27" s="210" t="str">
        <f>'Updated Volumes'!$C$20</f>
        <v>ML</v>
      </c>
      <c r="D27" s="210"/>
      <c r="E27" s="210"/>
      <c r="F27" s="310">
        <f t="shared" si="0"/>
        <v>45.6</v>
      </c>
      <c r="G27" s="310">
        <f t="shared" si="0"/>
        <v>46.2</v>
      </c>
      <c r="H27" s="179">
        <f>IF(H22&gt;H16,H16,H22)</f>
        <v>45.6</v>
      </c>
      <c r="I27" s="257"/>
      <c r="J27" s="213"/>
      <c r="K27" s="213"/>
    </row>
    <row r="28" spans="2:11" s="110" customFormat="1">
      <c r="B28" s="262"/>
      <c r="C28" s="210"/>
      <c r="D28" s="210"/>
      <c r="E28" s="210"/>
      <c r="F28" s="310"/>
      <c r="G28" s="310"/>
      <c r="H28" s="179"/>
      <c r="I28" s="257"/>
      <c r="J28" s="213"/>
      <c r="K28" s="213"/>
    </row>
    <row r="29" spans="2:11" s="110" customFormat="1">
      <c r="B29" s="262" t="s">
        <v>76</v>
      </c>
      <c r="C29" s="210"/>
      <c r="D29" s="210"/>
      <c r="E29" s="210"/>
      <c r="F29" s="310"/>
      <c r="G29" s="310"/>
      <c r="H29" s="179"/>
      <c r="I29" s="257"/>
      <c r="J29" s="213"/>
      <c r="K29" s="213"/>
    </row>
    <row r="30" spans="2:11" s="110" customFormat="1">
      <c r="B30" s="274" t="str">
        <f>'Updated Volumes'!B$31</f>
        <v xml:space="preserve">Energy Australia </v>
      </c>
      <c r="C30" s="210" t="str">
        <f>'Updated Volumes'!$C$20</f>
        <v>ML</v>
      </c>
      <c r="D30" s="210"/>
      <c r="E30" s="210"/>
      <c r="F30" s="310">
        <f t="shared" ref="F30:G32" si="1">IF(F20&lt;F14,0,F20-F14)</f>
        <v>0</v>
      </c>
      <c r="G30" s="310">
        <f t="shared" si="1"/>
        <v>0</v>
      </c>
      <c r="H30" s="179">
        <f>IF(H20&lt;H14,0,H20-H14)</f>
        <v>0</v>
      </c>
      <c r="I30" s="257"/>
      <c r="J30" s="213"/>
      <c r="K30" s="213"/>
    </row>
    <row r="31" spans="2:11" s="110" customFormat="1">
      <c r="B31" s="274" t="str">
        <f>'Updated Volumes'!B$32</f>
        <v xml:space="preserve">Minor customers (raw) </v>
      </c>
      <c r="C31" s="210" t="str">
        <f>'Updated Volumes'!$C$20</f>
        <v>ML</v>
      </c>
      <c r="D31" s="210"/>
      <c r="E31" s="210"/>
      <c r="F31" s="310">
        <f t="shared" si="1"/>
        <v>33.654849999999996</v>
      </c>
      <c r="G31" s="310">
        <f t="shared" si="1"/>
        <v>33.394849999999991</v>
      </c>
      <c r="H31" s="179">
        <f>IF(H21&lt;H15,0,H21-H15)</f>
        <v>33.719849999999994</v>
      </c>
      <c r="I31" s="257"/>
      <c r="J31" s="213"/>
      <c r="K31" s="213"/>
    </row>
    <row r="32" spans="2:11" s="110" customFormat="1">
      <c r="B32" s="274" t="str">
        <f>'Updated Volumes'!B$33</f>
        <v xml:space="preserve">Minor customers (filtered) </v>
      </c>
      <c r="C32" s="210" t="str">
        <f>'Updated Volumes'!$C$20</f>
        <v>ML</v>
      </c>
      <c r="D32" s="210"/>
      <c r="E32" s="210"/>
      <c r="F32" s="310">
        <f t="shared" si="1"/>
        <v>70.741199999999992</v>
      </c>
      <c r="G32" s="310">
        <f t="shared" si="1"/>
        <v>64.12415</v>
      </c>
      <c r="H32" s="179">
        <f>IF(H22&lt;H16,0,H22-H16)</f>
        <v>61.10710000000001</v>
      </c>
      <c r="I32" s="257"/>
      <c r="J32" s="213"/>
      <c r="K32" s="213"/>
    </row>
    <row r="33" spans="2:11" s="110" customFormat="1">
      <c r="B33" s="79" t="s">
        <v>34</v>
      </c>
      <c r="C33" s="38"/>
      <c r="D33" s="38"/>
      <c r="E33" s="38"/>
      <c r="F33" s="311">
        <f>F25+F30-F20</f>
        <v>0</v>
      </c>
      <c r="G33" s="311">
        <f>G25+G30-G20</f>
        <v>0</v>
      </c>
      <c r="H33" s="312">
        <f>H25+H30-H20</f>
        <v>0</v>
      </c>
      <c r="I33" s="257"/>
      <c r="J33" s="213"/>
      <c r="K33" s="213"/>
    </row>
    <row r="34" spans="2:11" s="110" customFormat="1">
      <c r="B34" s="79" t="s">
        <v>34</v>
      </c>
      <c r="C34" s="38"/>
      <c r="D34" s="38"/>
      <c r="E34" s="38"/>
      <c r="F34" s="311">
        <f>F27+F32-F22</f>
        <v>0</v>
      </c>
      <c r="G34" s="311">
        <f>G27+G32-G22</f>
        <v>0</v>
      </c>
      <c r="H34" s="312">
        <f>H27+H32-H22</f>
        <v>0</v>
      </c>
      <c r="I34" s="257"/>
      <c r="J34" s="213"/>
      <c r="K34" s="213"/>
    </row>
    <row r="35" spans="2:11" s="110" customFormat="1">
      <c r="B35" s="79" t="s">
        <v>34</v>
      </c>
      <c r="C35" s="38"/>
      <c r="D35" s="38"/>
      <c r="E35" s="38"/>
      <c r="F35" s="311">
        <f>F26+F31-F21</f>
        <v>0</v>
      </c>
      <c r="G35" s="311">
        <f>G26+G31-G21</f>
        <v>0</v>
      </c>
      <c r="H35" s="312">
        <f>H26+H31-H21</f>
        <v>0</v>
      </c>
      <c r="I35" s="257"/>
      <c r="J35" s="213"/>
      <c r="K35" s="213"/>
    </row>
    <row r="36" spans="2:11">
      <c r="B36" s="45"/>
      <c r="C36" s="36"/>
      <c r="D36" s="36"/>
      <c r="E36" s="36"/>
      <c r="F36" s="36"/>
      <c r="G36" s="36"/>
      <c r="H36" s="178"/>
      <c r="I36" s="258"/>
      <c r="J36" s="213"/>
    </row>
    <row r="37" spans="2:11">
      <c r="H37" s="248"/>
      <c r="I37" s="213"/>
      <c r="J37" s="213"/>
    </row>
    <row r="38" spans="2:11">
      <c r="H38" s="248"/>
      <c r="I38" s="213"/>
      <c r="J38" s="213"/>
    </row>
    <row r="39" spans="2:11">
      <c r="B39" s="33" t="s">
        <v>159</v>
      </c>
      <c r="H39" s="213"/>
      <c r="I39" s="213"/>
      <c r="J39" s="213"/>
    </row>
    <row r="40" spans="2:11">
      <c r="B40" s="260" t="str">
        <f>'2017 Determination - Revenue'!B$15</f>
        <v>Financial year ending 30 June</v>
      </c>
      <c r="C40" s="261" t="str">
        <f>'2017 Determination - Revenue'!C$15</f>
        <v>Units</v>
      </c>
      <c r="D40" s="261"/>
      <c r="E40" s="261"/>
      <c r="F40" s="297" t="str">
        <f>'2017 Determination - Revenue'!F$16</f>
        <v>2017-18</v>
      </c>
      <c r="G40" s="297" t="str">
        <f>'2017 Determination - Revenue'!G$16</f>
        <v>2018-19</v>
      </c>
      <c r="H40" s="230" t="str">
        <f>'2017 Determination - Revenue'!H$16</f>
        <v>2019-20</v>
      </c>
      <c r="I40" s="259"/>
      <c r="J40" s="213"/>
    </row>
    <row r="41" spans="2:11">
      <c r="B41" s="229"/>
      <c r="C41" s="210"/>
      <c r="D41" s="210"/>
      <c r="E41" s="210"/>
      <c r="F41" s="215"/>
      <c r="G41" s="215"/>
      <c r="H41" s="235"/>
      <c r="I41" s="257"/>
      <c r="J41" s="213"/>
    </row>
    <row r="42" spans="2:11">
      <c r="B42" s="262" t="s">
        <v>49</v>
      </c>
      <c r="C42" s="210"/>
      <c r="D42" s="210"/>
      <c r="E42" s="210"/>
      <c r="F42" s="210"/>
      <c r="G42" s="210"/>
      <c r="H42" s="232"/>
      <c r="I42" s="257"/>
      <c r="J42" s="213"/>
    </row>
    <row r="43" spans="2:11" ht="12" customHeight="1">
      <c r="B43" s="274" t="str">
        <f>'Updated Volumes'!B$31</f>
        <v xml:space="preserve">Energy Australia </v>
      </c>
      <c r="C43" s="210" t="str">
        <f>'2017 Determination - Revenue'!$C$33</f>
        <v>$'000</v>
      </c>
      <c r="D43" s="210"/>
      <c r="E43" s="210"/>
      <c r="F43" s="209">
        <f>F14*Outputs!F148</f>
        <v>3205.1166405710242</v>
      </c>
      <c r="G43" s="209">
        <f t="shared" ref="G43:H45" si="2">F43</f>
        <v>3205.1166405710242</v>
      </c>
      <c r="H43" s="242">
        <f t="shared" si="2"/>
        <v>3205.1166405710242</v>
      </c>
      <c r="I43" s="257"/>
      <c r="J43" s="204"/>
    </row>
    <row r="44" spans="2:11" s="110" customFormat="1" ht="12" customHeight="1">
      <c r="B44" s="274" t="str">
        <f>'Updated Volumes'!B$32</f>
        <v xml:space="preserve">Minor customers (raw) </v>
      </c>
      <c r="C44" s="210" t="str">
        <f>'2017 Determination - Revenue'!$C$33</f>
        <v>$'000</v>
      </c>
      <c r="D44" s="210"/>
      <c r="E44" s="210"/>
      <c r="F44" s="209">
        <f>F15*Outputs!F149</f>
        <v>6.5010919151367306</v>
      </c>
      <c r="G44" s="209">
        <f t="shared" si="2"/>
        <v>6.5010919151367306</v>
      </c>
      <c r="H44" s="242">
        <f t="shared" si="2"/>
        <v>6.5010919151367306</v>
      </c>
      <c r="I44" s="257"/>
      <c r="J44" s="204"/>
      <c r="K44" s="213"/>
    </row>
    <row r="45" spans="2:11">
      <c r="B45" s="274" t="str">
        <f>'Updated Volumes'!B$33</f>
        <v xml:space="preserve">Minor customers (filtered) </v>
      </c>
      <c r="C45" s="210" t="str">
        <f>'2017 Determination - Revenue'!$C$33</f>
        <v>$'000</v>
      </c>
      <c r="D45" s="210"/>
      <c r="E45" s="210"/>
      <c r="F45" s="209">
        <f>F16*Outputs!F150</f>
        <v>34.566637721980399</v>
      </c>
      <c r="G45" s="209">
        <f t="shared" si="2"/>
        <v>34.566637721980399</v>
      </c>
      <c r="H45" s="242">
        <f t="shared" si="2"/>
        <v>34.566637721980399</v>
      </c>
      <c r="I45" s="257"/>
      <c r="J45" s="209"/>
    </row>
    <row r="46" spans="2:11">
      <c r="B46" s="229"/>
      <c r="C46" s="210"/>
      <c r="D46" s="210"/>
      <c r="E46" s="210"/>
      <c r="F46" s="209"/>
      <c r="G46" s="209"/>
      <c r="H46" s="242"/>
      <c r="I46" s="257"/>
      <c r="J46" s="213"/>
    </row>
    <row r="47" spans="2:11">
      <c r="B47" s="262" t="s">
        <v>50</v>
      </c>
      <c r="C47" s="210"/>
      <c r="D47" s="210"/>
      <c r="E47" s="210"/>
      <c r="F47" s="209"/>
      <c r="G47" s="209"/>
      <c r="H47" s="242"/>
      <c r="I47" s="257"/>
      <c r="J47" s="213"/>
    </row>
    <row r="48" spans="2:11">
      <c r="B48" s="274" t="str">
        <f>'Updated Volumes'!B$31</f>
        <v xml:space="preserve">Energy Australia </v>
      </c>
      <c r="C48" s="210" t="str">
        <f>'2017 Determination - Revenue'!$C$33</f>
        <v>$'000</v>
      </c>
      <c r="D48" s="210"/>
      <c r="E48" s="210"/>
      <c r="F48" s="209">
        <f>IF(F20&lt;F14,F20*Outputs!F153,F14*Outputs!F153)</f>
        <v>377.08316717166326</v>
      </c>
      <c r="G48" s="209">
        <f t="shared" ref="G48:H50" si="3">F48</f>
        <v>377.08316717166326</v>
      </c>
      <c r="H48" s="242">
        <f t="shared" si="3"/>
        <v>377.08316717166326</v>
      </c>
      <c r="I48" s="257"/>
      <c r="J48" s="213"/>
    </row>
    <row r="49" spans="2:11" s="110" customFormat="1">
      <c r="B49" s="274" t="str">
        <f>'Updated Volumes'!B$32</f>
        <v xml:space="preserve">Minor customers (raw) </v>
      </c>
      <c r="C49" s="210" t="str">
        <f>'2017 Determination - Revenue'!$C$33</f>
        <v>$'000</v>
      </c>
      <c r="D49" s="210"/>
      <c r="E49" s="210"/>
      <c r="F49" s="209">
        <f>IF(F21&lt;F15,F21*Outputs!F154,F15*Outputs!F154)</f>
        <v>4.0631736502732068</v>
      </c>
      <c r="G49" s="209">
        <f t="shared" si="3"/>
        <v>4.0631736502732068</v>
      </c>
      <c r="H49" s="242">
        <f t="shared" si="3"/>
        <v>4.0631736502732068</v>
      </c>
      <c r="I49" s="257"/>
      <c r="J49" s="213"/>
      <c r="K49" s="213"/>
    </row>
    <row r="50" spans="2:11">
      <c r="B50" s="274" t="str">
        <f>'Updated Volumes'!B$33</f>
        <v xml:space="preserve">Minor customers (filtered) </v>
      </c>
      <c r="C50" s="210" t="str">
        <f>'2017 Determination - Revenue'!$C$33</f>
        <v>$'000</v>
      </c>
      <c r="D50" s="210"/>
      <c r="E50" s="210"/>
      <c r="F50" s="209">
        <f>IF(F22&lt;F16,F22*Outputs!F155,F16*Outputs!F155)</f>
        <v>20.818747036972887</v>
      </c>
      <c r="G50" s="209">
        <f t="shared" si="3"/>
        <v>20.818747036972887</v>
      </c>
      <c r="H50" s="242">
        <f t="shared" si="3"/>
        <v>20.818747036972887</v>
      </c>
      <c r="I50" s="257"/>
      <c r="J50" s="213"/>
    </row>
    <row r="51" spans="2:11">
      <c r="B51" s="264"/>
      <c r="C51" s="210"/>
      <c r="D51" s="210"/>
      <c r="E51" s="210"/>
      <c r="F51" s="209"/>
      <c r="G51" s="209"/>
      <c r="H51" s="242"/>
      <c r="I51" s="257"/>
      <c r="J51" s="213"/>
    </row>
    <row r="52" spans="2:11">
      <c r="B52" s="262" t="s">
        <v>51</v>
      </c>
      <c r="C52" s="210"/>
      <c r="D52" s="210"/>
      <c r="E52" s="210"/>
      <c r="F52" s="209"/>
      <c r="G52" s="209"/>
      <c r="H52" s="242"/>
      <c r="I52" s="257"/>
      <c r="J52" s="213"/>
    </row>
    <row r="53" spans="2:11">
      <c r="B53" s="274" t="str">
        <f>'Updated Volumes'!B$31</f>
        <v xml:space="preserve">Energy Australia </v>
      </c>
      <c r="C53" s="210" t="str">
        <f>'2017 Determination - Revenue'!$C$33</f>
        <v>$'000</v>
      </c>
      <c r="D53" s="210"/>
      <c r="E53" s="210"/>
      <c r="F53" s="209">
        <f>IF(F20&lt;F14,0,((F20-F14)*Outputs!F158))</f>
        <v>0</v>
      </c>
      <c r="G53" s="209">
        <f t="shared" ref="G53:H55" si="4">F53</f>
        <v>0</v>
      </c>
      <c r="H53" s="242">
        <f t="shared" si="4"/>
        <v>0</v>
      </c>
      <c r="I53" s="257"/>
      <c r="J53" s="213"/>
    </row>
    <row r="54" spans="2:11" s="110" customFormat="1">
      <c r="B54" s="274" t="str">
        <f>'Updated Volumes'!B$32</f>
        <v xml:space="preserve">Minor customers (raw) </v>
      </c>
      <c r="C54" s="210" t="str">
        <f>'2017 Determination - Revenue'!$C$33</f>
        <v>$'000</v>
      </c>
      <c r="D54" s="210"/>
      <c r="E54" s="210"/>
      <c r="F54" s="209">
        <f>IF(F21&lt;F15,0,((F21-F15)*Outputs!F159))</f>
        <v>21.202555499999999</v>
      </c>
      <c r="G54" s="209">
        <f t="shared" si="4"/>
        <v>21.202555499999999</v>
      </c>
      <c r="H54" s="242">
        <f t="shared" si="4"/>
        <v>21.202555499999999</v>
      </c>
      <c r="I54" s="257"/>
      <c r="J54" s="213"/>
      <c r="K54" s="213"/>
    </row>
    <row r="55" spans="2:11">
      <c r="B55" s="274" t="str">
        <f>'Updated Volumes'!B$33</f>
        <v xml:space="preserve">Minor customers (filtered) </v>
      </c>
      <c r="C55" s="210" t="str">
        <f>'2017 Determination - Revenue'!$C$33</f>
        <v>$'000</v>
      </c>
      <c r="D55" s="210"/>
      <c r="E55" s="210"/>
      <c r="F55" s="209">
        <f>IF(F22&lt;F16,0,((F22-F16)*Outputs!F160))</f>
        <v>86.304263999999989</v>
      </c>
      <c r="G55" s="209">
        <f t="shared" si="4"/>
        <v>86.304263999999989</v>
      </c>
      <c r="H55" s="242">
        <f t="shared" si="4"/>
        <v>86.304263999999989</v>
      </c>
      <c r="I55" s="257"/>
      <c r="J55" s="213"/>
    </row>
    <row r="56" spans="2:11">
      <c r="B56" s="229"/>
      <c r="C56" s="210"/>
      <c r="D56" s="210"/>
      <c r="E56" s="210"/>
      <c r="F56" s="209"/>
      <c r="G56" s="209"/>
      <c r="H56" s="242"/>
      <c r="I56" s="257"/>
      <c r="J56" s="213"/>
    </row>
    <row r="57" spans="2:11">
      <c r="B57" s="262" t="s">
        <v>57</v>
      </c>
      <c r="C57" s="210"/>
      <c r="D57" s="210"/>
      <c r="E57" s="210"/>
      <c r="F57" s="209"/>
      <c r="G57" s="209"/>
      <c r="H57" s="242"/>
      <c r="I57" s="257"/>
      <c r="J57" s="213"/>
    </row>
    <row r="58" spans="2:11">
      <c r="B58" s="274" t="str">
        <f>'Updated Volumes'!B$31</f>
        <v xml:space="preserve">Energy Australia </v>
      </c>
      <c r="C58" s="210" t="str">
        <f>'2017 Determination - Revenue'!$C$33</f>
        <v>$'000</v>
      </c>
      <c r="D58" s="210"/>
      <c r="E58" s="210"/>
      <c r="F58" s="209">
        <f>F43+F48+F53</f>
        <v>3582.1998077426874</v>
      </c>
      <c r="G58" s="209">
        <f t="shared" ref="G58:H60" si="5">F58</f>
        <v>3582.1998077426874</v>
      </c>
      <c r="H58" s="242">
        <f t="shared" si="5"/>
        <v>3582.1998077426874</v>
      </c>
      <c r="I58" s="257"/>
      <c r="J58" s="213"/>
    </row>
    <row r="59" spans="2:11" s="110" customFormat="1">
      <c r="B59" s="274" t="str">
        <f>'Updated Volumes'!B$32</f>
        <v xml:space="preserve">Minor customers (raw) </v>
      </c>
      <c r="C59" s="210" t="str">
        <f>'2017 Determination - Revenue'!$C$33</f>
        <v>$'000</v>
      </c>
      <c r="D59" s="210"/>
      <c r="E59" s="210"/>
      <c r="F59" s="209">
        <f>F44+F49+F54</f>
        <v>31.766821065409935</v>
      </c>
      <c r="G59" s="209">
        <f t="shared" si="5"/>
        <v>31.766821065409935</v>
      </c>
      <c r="H59" s="242">
        <f t="shared" si="5"/>
        <v>31.766821065409935</v>
      </c>
      <c r="I59" s="257"/>
      <c r="J59" s="213"/>
      <c r="K59" s="213"/>
    </row>
    <row r="60" spans="2:11">
      <c r="B60" s="274" t="str">
        <f>'Updated Volumes'!B$33</f>
        <v xml:space="preserve">Minor customers (filtered) </v>
      </c>
      <c r="C60" s="210" t="str">
        <f>'2017 Determination - Revenue'!$C$33</f>
        <v>$'000</v>
      </c>
      <c r="D60" s="210"/>
      <c r="E60" s="210"/>
      <c r="F60" s="209">
        <f>F45+F50+F55</f>
        <v>141.68964875895327</v>
      </c>
      <c r="G60" s="209">
        <f t="shared" si="5"/>
        <v>141.68964875895327</v>
      </c>
      <c r="H60" s="242">
        <f t="shared" si="5"/>
        <v>141.68964875895327</v>
      </c>
      <c r="I60" s="257"/>
      <c r="J60" s="213"/>
    </row>
    <row r="61" spans="2:11">
      <c r="B61" s="264" t="s">
        <v>34</v>
      </c>
      <c r="C61" s="210"/>
      <c r="D61" s="210"/>
      <c r="E61" s="210"/>
      <c r="F61" s="314">
        <f>F43+F48+F53-F58</f>
        <v>0</v>
      </c>
      <c r="G61" s="314">
        <f>G43+G48+G53-G58</f>
        <v>0</v>
      </c>
      <c r="H61" s="313">
        <f>H43+H48+H53-H58</f>
        <v>0</v>
      </c>
      <c r="I61" s="257"/>
      <c r="J61" s="213"/>
    </row>
    <row r="62" spans="2:11">
      <c r="B62" s="264" t="s">
        <v>34</v>
      </c>
      <c r="C62" s="210"/>
      <c r="D62" s="210"/>
      <c r="E62" s="210"/>
      <c r="F62" s="314">
        <f>F45+F50+F55-F60</f>
        <v>0</v>
      </c>
      <c r="G62" s="314">
        <f>G45+G50+G55-G60</f>
        <v>0</v>
      </c>
      <c r="H62" s="313">
        <f>H45+H50+H55-H60</f>
        <v>0</v>
      </c>
      <c r="I62" s="257"/>
      <c r="J62" s="213"/>
    </row>
    <row r="63" spans="2:11">
      <c r="B63" s="264" t="s">
        <v>34</v>
      </c>
      <c r="C63" s="210"/>
      <c r="D63" s="210"/>
      <c r="E63" s="210"/>
      <c r="F63" s="314">
        <f>F44+F49+F54-F59</f>
        <v>0</v>
      </c>
      <c r="G63" s="314">
        <f>G44+G49+G54-G59</f>
        <v>0</v>
      </c>
      <c r="H63" s="313">
        <f>H44+H49+H54-H59</f>
        <v>0</v>
      </c>
      <c r="I63" s="257"/>
      <c r="J63" s="213"/>
    </row>
    <row r="64" spans="2:11">
      <c r="B64" s="43"/>
      <c r="C64" s="38"/>
      <c r="D64" s="38"/>
      <c r="E64" s="38"/>
      <c r="F64" s="58"/>
      <c r="G64" s="38"/>
      <c r="H64" s="138"/>
      <c r="I64" s="44"/>
    </row>
    <row r="65" spans="2:9">
      <c r="B65" s="45"/>
      <c r="C65" s="36"/>
      <c r="D65" s="36"/>
      <c r="E65" s="36"/>
      <c r="F65" s="36"/>
      <c r="G65" s="36"/>
      <c r="H65" s="178"/>
      <c r="I65" s="46"/>
    </row>
    <row r="74" spans="2:9" ht="12" customHeight="1"/>
    <row r="89" spans="7:10">
      <c r="J89" s="105"/>
    </row>
    <row r="94" spans="7:10">
      <c r="G94" s="105"/>
      <c r="H94" s="180"/>
    </row>
    <row r="95" spans="7:10">
      <c r="G95" s="105"/>
      <c r="H95" s="180"/>
    </row>
    <row r="96" spans="7:10">
      <c r="G96" s="105"/>
      <c r="H96" s="180"/>
    </row>
    <row r="97" spans="7:8">
      <c r="G97" s="105"/>
      <c r="H97" s="180"/>
    </row>
    <row r="98" spans="7:8">
      <c r="G98" s="105"/>
      <c r="H98" s="18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D837AF4D90244EBB7BF4FC0E080314" ma:contentTypeVersion="0" ma:contentTypeDescription="Create a new document." ma:contentTypeScope="" ma:versionID="6b18c3ef351336bd42494718ca00a35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FC8A10-DF64-4D31-9D29-5023948F9F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E92686B-109C-4C2E-9EB9-58A7DA8EFFF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7324545-89A4-45ED-9194-47AEDC4BF9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</vt:lpstr>
      <vt:lpstr>Inputs&gt;&gt;</vt:lpstr>
      <vt:lpstr>Updated Volumes</vt:lpstr>
      <vt:lpstr>2017 Determination - Revenue</vt:lpstr>
      <vt:lpstr>2017 Determination - charges</vt:lpstr>
      <vt:lpstr>Outputs</vt:lpstr>
      <vt:lpstr> Calculations&gt;&gt;</vt:lpstr>
      <vt:lpstr>MDB calcs</vt:lpstr>
      <vt:lpstr>FRWS calcs</vt:lpstr>
    </vt:vector>
  </TitlesOfParts>
  <Company>IPART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Jenkins</dc:creator>
  <cp:lastModifiedBy>Maria Tortura</cp:lastModifiedBy>
  <cp:lastPrinted>2019-05-19T23:43:06Z</cp:lastPrinted>
  <dcterms:created xsi:type="dcterms:W3CDTF">2014-05-19T07:21:06Z</dcterms:created>
  <dcterms:modified xsi:type="dcterms:W3CDTF">2019-06-03T00:21:51Z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0x010100FBD837AF4D90244EBB7BF4FC0E080314</vt:lpwstr>
  </property>
</Properties>
</file>