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part.local\ipart\FolderRedirection\Mariat\Desktop\"/>
    </mc:Choice>
  </mc:AlternateContent>
  <bookViews>
    <workbookView xWindow="0" yWindow="0" windowWidth="19200" windowHeight="7690" tabRatio="927" firstSheet="2" activeTab="7"/>
  </bookViews>
  <sheets>
    <sheet name="Examples" sheetId="45" state="hidden" r:id="rId1"/>
    <sheet name="Cover" sheetId="36" r:id="rId2"/>
    <sheet name="Inputs&gt;&gt;" sheetId="26" r:id="rId3"/>
    <sheet name="Updated Volumes" sheetId="24" r:id="rId4"/>
    <sheet name="2017 Determination - Revenue" sheetId="14" r:id="rId5"/>
    <sheet name="2017 Determination - charges" sheetId="25" r:id="rId6"/>
    <sheet name=" Calculations&gt;&gt;" sheetId="20" r:id="rId7"/>
    <sheet name="Outputs" sheetId="19" r:id="rId8"/>
    <sheet name="MDB calcs" sheetId="17" r:id="rId9"/>
    <sheet name="FRWS calcs" sheetId="33" r:id="rId10"/>
  </sheets>
  <calcPr calcId="152511"/>
</workbook>
</file>

<file path=xl/calcChain.xml><?xml version="1.0" encoding="utf-8"?>
<calcChain xmlns="http://schemas.openxmlformats.org/spreadsheetml/2006/main">
  <c r="K336" i="19" l="1"/>
  <c r="J336" i="19"/>
  <c r="J338" i="19"/>
  <c r="J337" i="19"/>
  <c r="G369" i="19"/>
  <c r="G365" i="19"/>
  <c r="G366" i="19"/>
  <c r="G364" i="19"/>
  <c r="G337" i="19"/>
  <c r="G338" i="19"/>
  <c r="G339" i="19"/>
  <c r="G340" i="19"/>
  <c r="G341" i="19"/>
  <c r="G342" i="19"/>
  <c r="G343" i="19"/>
  <c r="G344" i="19"/>
  <c r="G336" i="19"/>
  <c r="H313" i="19" l="1"/>
  <c r="H302" i="19"/>
  <c r="I302" i="19"/>
  <c r="J295" i="19"/>
  <c r="I295" i="19"/>
  <c r="H295" i="19"/>
  <c r="G295" i="19"/>
  <c r="H286" i="19"/>
  <c r="I284" i="19"/>
  <c r="H284" i="19"/>
  <c r="I247" i="19"/>
  <c r="H247" i="19"/>
  <c r="H210" i="19"/>
  <c r="H208" i="19"/>
  <c r="H171" i="19"/>
  <c r="I208" i="19" l="1"/>
  <c r="I169" i="19"/>
  <c r="H169" i="19"/>
  <c r="I261" i="19" l="1"/>
  <c r="I260" i="19"/>
  <c r="I259" i="19"/>
  <c r="I201" i="19"/>
  <c r="I196" i="19"/>
  <c r="I197" i="19"/>
  <c r="I198" i="19"/>
  <c r="I199" i="19"/>
  <c r="I200" i="19"/>
  <c r="I194" i="19"/>
  <c r="I195" i="19"/>
  <c r="I193" i="19"/>
  <c r="H206" i="19" l="1"/>
  <c r="L108" i="19" l="1"/>
  <c r="L68" i="19"/>
  <c r="L71" i="19"/>
  <c r="I73" i="17" l="1"/>
  <c r="I62" i="17"/>
  <c r="AB38" i="24" l="1"/>
  <c r="AC38" i="24"/>
  <c r="AD38" i="24"/>
  <c r="AB39" i="24"/>
  <c r="AC39" i="24"/>
  <c r="AD39" i="24"/>
  <c r="O154" i="19" l="1"/>
  <c r="O155" i="19"/>
  <c r="O153" i="19"/>
  <c r="O149" i="19"/>
  <c r="O150" i="19"/>
  <c r="O148" i="19"/>
  <c r="O137" i="19"/>
  <c r="O136" i="19"/>
  <c r="O130" i="19"/>
  <c r="O127" i="19"/>
  <c r="O126" i="19"/>
  <c r="O125" i="19"/>
  <c r="O119" i="19"/>
  <c r="O91" i="19"/>
  <c r="O92" i="19"/>
  <c r="O93" i="19"/>
  <c r="O94" i="19"/>
  <c r="O95" i="19"/>
  <c r="O96" i="19"/>
  <c r="O97" i="19"/>
  <c r="O98" i="19"/>
  <c r="O90" i="19"/>
  <c r="O80" i="19"/>
  <c r="O81" i="19"/>
  <c r="O82" i="19"/>
  <c r="O83" i="19"/>
  <c r="O84" i="19"/>
  <c r="O85" i="19"/>
  <c r="O86" i="19"/>
  <c r="O87" i="19"/>
  <c r="O79" i="19"/>
  <c r="O69" i="19"/>
  <c r="O70" i="19"/>
  <c r="O71" i="19"/>
  <c r="O72" i="19"/>
  <c r="O73" i="19"/>
  <c r="O74" i="19"/>
  <c r="O75" i="19"/>
  <c r="O76" i="19"/>
  <c r="O68" i="19"/>
  <c r="O115" i="19"/>
  <c r="O114" i="19"/>
  <c r="I65" i="25"/>
  <c r="I66" i="25"/>
  <c r="I202" i="17" l="1"/>
  <c r="I203" i="17"/>
  <c r="I204" i="17"/>
  <c r="I205" i="17"/>
  <c r="I206" i="17"/>
  <c r="I207" i="17"/>
  <c r="I208" i="17"/>
  <c r="I209" i="17"/>
  <c r="I210" i="17"/>
  <c r="I211" i="17"/>
  <c r="I87" i="25"/>
  <c r="I88" i="25"/>
  <c r="I48" i="25"/>
  <c r="I49" i="25"/>
  <c r="I31" i="25"/>
  <c r="I32" i="25"/>
  <c r="I282" i="19"/>
  <c r="H282" i="19"/>
  <c r="I245" i="19"/>
  <c r="H245" i="19"/>
  <c r="I206" i="19"/>
  <c r="I167" i="19"/>
  <c r="I168" i="19"/>
  <c r="H168" i="19"/>
  <c r="L25" i="19"/>
  <c r="P98" i="19"/>
  <c r="O144" i="19"/>
  <c r="K103" i="25"/>
  <c r="M103" i="25" s="1"/>
  <c r="K102" i="25"/>
  <c r="M102" i="25" s="1"/>
  <c r="K101" i="25"/>
  <c r="K88" i="25"/>
  <c r="L102" i="25" l="1"/>
  <c r="L103" i="25"/>
  <c r="M101" i="25"/>
  <c r="L101" i="25"/>
  <c r="I110" i="19"/>
  <c r="P110" i="19" s="1"/>
  <c r="I111" i="19"/>
  <c r="I144" i="19"/>
  <c r="I145" i="19"/>
  <c r="I146" i="19"/>
  <c r="I104" i="19"/>
  <c r="I105" i="19"/>
  <c r="I106" i="19"/>
  <c r="I64" i="19"/>
  <c r="I65" i="19"/>
  <c r="I66" i="19"/>
  <c r="I25" i="19"/>
  <c r="I23" i="19"/>
  <c r="I103" i="25"/>
  <c r="I102" i="25"/>
  <c r="I101" i="25"/>
  <c r="I23" i="14"/>
  <c r="H22" i="14"/>
  <c r="M18" i="25"/>
  <c r="I22" i="14"/>
  <c r="N103" i="25" s="1"/>
  <c r="K160" i="19" s="1"/>
  <c r="I14" i="25"/>
  <c r="N14" i="25" s="1"/>
  <c r="N65" i="25" s="1"/>
  <c r="N88" i="25"/>
  <c r="N66" i="25"/>
  <c r="N49" i="25"/>
  <c r="N32" i="25"/>
  <c r="I125" i="14"/>
  <c r="I106" i="14"/>
  <c r="I76" i="14"/>
  <c r="I77" i="14"/>
  <c r="I28" i="14"/>
  <c r="I29" i="14"/>
  <c r="AA17" i="24"/>
  <c r="I40" i="33"/>
  <c r="I21" i="33"/>
  <c r="I22" i="33"/>
  <c r="I20" i="33"/>
  <c r="AD117" i="24"/>
  <c r="AC117" i="24"/>
  <c r="AD116" i="24"/>
  <c r="AD76" i="24"/>
  <c r="AD77" i="24"/>
  <c r="I15" i="33"/>
  <c r="H350" i="19" s="1"/>
  <c r="I16" i="33"/>
  <c r="H351" i="19" s="1"/>
  <c r="I14" i="33"/>
  <c r="H349" i="19" s="1"/>
  <c r="I11" i="33"/>
  <c r="I190" i="17"/>
  <c r="I191" i="17"/>
  <c r="I192" i="17"/>
  <c r="I193" i="17"/>
  <c r="I194" i="17"/>
  <c r="I195" i="17"/>
  <c r="I196" i="17"/>
  <c r="I197" i="17"/>
  <c r="I198" i="17"/>
  <c r="I187" i="17"/>
  <c r="I168" i="17"/>
  <c r="I148" i="17"/>
  <c r="I172" i="17" s="1"/>
  <c r="I149" i="17"/>
  <c r="I173" i="17" s="1"/>
  <c r="I150" i="17"/>
  <c r="I151" i="17"/>
  <c r="I175" i="17" s="1"/>
  <c r="I71" i="19" s="1"/>
  <c r="I152" i="17"/>
  <c r="I176" i="17" s="1"/>
  <c r="I153" i="17"/>
  <c r="I165" i="17" s="1"/>
  <c r="I154" i="17"/>
  <c r="I166" i="17" s="1"/>
  <c r="I155" i="17"/>
  <c r="I179" i="17" s="1"/>
  <c r="I156" i="17"/>
  <c r="I180" i="17" s="1"/>
  <c r="I145" i="17"/>
  <c r="I128" i="17"/>
  <c r="I108" i="17"/>
  <c r="I120" i="17" s="1"/>
  <c r="I109" i="17"/>
  <c r="I121" i="17" s="1"/>
  <c r="I98" i="17"/>
  <c r="I84" i="17"/>
  <c r="I85" i="17"/>
  <c r="I86" i="17"/>
  <c r="I87" i="17"/>
  <c r="I88" i="17"/>
  <c r="I89" i="17"/>
  <c r="I90" i="17"/>
  <c r="I91" i="17"/>
  <c r="I92" i="17"/>
  <c r="I102" i="17"/>
  <c r="I114" i="17" s="1"/>
  <c r="I74" i="17"/>
  <c r="I103" i="17" s="1"/>
  <c r="I115" i="17" s="1"/>
  <c r="I75" i="17"/>
  <c r="I104" i="17" s="1"/>
  <c r="I116" i="17" s="1"/>
  <c r="I76" i="17"/>
  <c r="I105" i="17" s="1"/>
  <c r="I117" i="17" s="1"/>
  <c r="I77" i="17"/>
  <c r="I106" i="17" s="1"/>
  <c r="I118" i="17" s="1"/>
  <c r="I135" i="17" s="1"/>
  <c r="I123" i="19" s="1"/>
  <c r="I78" i="17"/>
  <c r="I107" i="17" s="1"/>
  <c r="I119" i="17" s="1"/>
  <c r="I79" i="17"/>
  <c r="I80" i="17"/>
  <c r="I81" i="17"/>
  <c r="I63" i="17"/>
  <c r="I64" i="17"/>
  <c r="I65" i="17"/>
  <c r="I66" i="17"/>
  <c r="I67" i="17"/>
  <c r="I68" i="17"/>
  <c r="I69" i="17"/>
  <c r="I58" i="17"/>
  <c r="I53" i="17"/>
  <c r="I45" i="17"/>
  <c r="H324" i="19" s="1"/>
  <c r="I46" i="17"/>
  <c r="H325" i="19" s="1"/>
  <c r="I47" i="17"/>
  <c r="H326" i="19" s="1"/>
  <c r="I48" i="17"/>
  <c r="H327" i="19" s="1"/>
  <c r="I49" i="17"/>
  <c r="H328" i="19" s="1"/>
  <c r="I50" i="17"/>
  <c r="H329" i="19" s="1"/>
  <c r="I51" i="17"/>
  <c r="H330" i="19" s="1"/>
  <c r="I52" i="17"/>
  <c r="H331" i="19" s="1"/>
  <c r="I33" i="17"/>
  <c r="I34" i="17"/>
  <c r="I35" i="17"/>
  <c r="I36" i="17"/>
  <c r="I37" i="17"/>
  <c r="I38" i="17"/>
  <c r="I39" i="17"/>
  <c r="I40" i="17"/>
  <c r="I41" i="17"/>
  <c r="I139" i="17" s="1"/>
  <c r="I21" i="17"/>
  <c r="I22" i="17"/>
  <c r="I109" i="19" s="1"/>
  <c r="P109" i="19" s="1"/>
  <c r="I23" i="17"/>
  <c r="I24" i="17"/>
  <c r="I25" i="17"/>
  <c r="I26" i="17"/>
  <c r="I27" i="17"/>
  <c r="I28" i="17"/>
  <c r="I29" i="17"/>
  <c r="I116" i="19" s="1"/>
  <c r="P116" i="19" s="1"/>
  <c r="I17" i="17"/>
  <c r="AD15" i="24"/>
  <c r="I16" i="14"/>
  <c r="I15" i="14"/>
  <c r="H321" i="19" l="1"/>
  <c r="H332" i="19"/>
  <c r="I332" i="19"/>
  <c r="I127" i="19"/>
  <c r="H320" i="19"/>
  <c r="H319" i="19"/>
  <c r="I134" i="17"/>
  <c r="I122" i="19" s="1"/>
  <c r="H318" i="19"/>
  <c r="I133" i="17"/>
  <c r="I121" i="19" s="1"/>
  <c r="H314" i="19"/>
  <c r="H317" i="19"/>
  <c r="H315" i="19"/>
  <c r="I134" i="19"/>
  <c r="P134" i="19" s="1"/>
  <c r="P123" i="19"/>
  <c r="H316" i="19"/>
  <c r="H309" i="19"/>
  <c r="I69" i="19"/>
  <c r="H303" i="19"/>
  <c r="I303" i="19"/>
  <c r="H308" i="19"/>
  <c r="I76" i="19"/>
  <c r="I68" i="19"/>
  <c r="I108" i="19"/>
  <c r="P108" i="19" s="1"/>
  <c r="I117" i="19"/>
  <c r="P111" i="19"/>
  <c r="H307" i="19"/>
  <c r="I75" i="19"/>
  <c r="I115" i="19"/>
  <c r="P115" i="19" s="1"/>
  <c r="H306" i="19"/>
  <c r="I114" i="19"/>
  <c r="P114" i="19" s="1"/>
  <c r="I30" i="19"/>
  <c r="P71" i="19"/>
  <c r="H305" i="19"/>
  <c r="I305" i="19"/>
  <c r="I113" i="19"/>
  <c r="P113" i="19" s="1"/>
  <c r="I310" i="19"/>
  <c r="H310" i="19"/>
  <c r="H304" i="19"/>
  <c r="I72" i="19"/>
  <c r="I112" i="19"/>
  <c r="P112" i="19" s="1"/>
  <c r="I30" i="33"/>
  <c r="H359" i="19" s="1"/>
  <c r="I27" i="33"/>
  <c r="I26" i="33"/>
  <c r="I25" i="33"/>
  <c r="I32" i="33"/>
  <c r="H361" i="19" s="1"/>
  <c r="I31" i="33"/>
  <c r="N101" i="25"/>
  <c r="K158" i="19" s="1"/>
  <c r="N98" i="25"/>
  <c r="K155" i="19" s="1"/>
  <c r="L121" i="19"/>
  <c r="L73" i="19"/>
  <c r="L115" i="19"/>
  <c r="L72" i="19"/>
  <c r="L123" i="19"/>
  <c r="L98" i="19"/>
  <c r="L127" i="19"/>
  <c r="L75" i="19"/>
  <c r="L70" i="19"/>
  <c r="L87" i="19"/>
  <c r="L76" i="19"/>
  <c r="L69" i="19"/>
  <c r="N102" i="25"/>
  <c r="K159" i="19" s="1"/>
  <c r="O159" i="19"/>
  <c r="H360" i="19"/>
  <c r="O160" i="19"/>
  <c r="O158" i="19"/>
  <c r="I131" i="17"/>
  <c r="I79" i="19" s="1"/>
  <c r="P79" i="19" s="1"/>
  <c r="I138" i="17"/>
  <c r="I126" i="19" s="1"/>
  <c r="L126" i="19" s="1"/>
  <c r="I199" i="17"/>
  <c r="I163" i="17"/>
  <c r="I164" i="17"/>
  <c r="I87" i="19"/>
  <c r="I160" i="17"/>
  <c r="I178" i="17"/>
  <c r="I74" i="19" s="1"/>
  <c r="I157" i="17"/>
  <c r="I177" i="17"/>
  <c r="I73" i="19" s="1"/>
  <c r="N58" i="25"/>
  <c r="N70" i="25"/>
  <c r="K114" i="19" s="1"/>
  <c r="N21" i="25"/>
  <c r="K71" i="19" s="1"/>
  <c r="N39" i="25"/>
  <c r="N57" i="25"/>
  <c r="N74" i="25"/>
  <c r="N22" i="25"/>
  <c r="K72" i="19" s="1"/>
  <c r="N18" i="25"/>
  <c r="K68" i="19" s="1"/>
  <c r="N19" i="25"/>
  <c r="K69" i="19" s="1"/>
  <c r="N37" i="25"/>
  <c r="N55" i="25"/>
  <c r="N76" i="25"/>
  <c r="N93" i="25"/>
  <c r="N20" i="25"/>
  <c r="K70" i="19" s="1"/>
  <c r="N75" i="25"/>
  <c r="N26" i="25"/>
  <c r="K76" i="19" s="1"/>
  <c r="N35" i="25"/>
  <c r="N36" i="25"/>
  <c r="N54" i="25"/>
  <c r="N79" i="25"/>
  <c r="N92" i="25"/>
  <c r="N91" i="25"/>
  <c r="N25" i="25"/>
  <c r="K75" i="19" s="1"/>
  <c r="N43" i="25"/>
  <c r="N52" i="25"/>
  <c r="N53" i="25"/>
  <c r="N80" i="25"/>
  <c r="N96" i="25"/>
  <c r="K153" i="19" s="1"/>
  <c r="N40" i="25"/>
  <c r="N38" i="25"/>
  <c r="N56" i="25"/>
  <c r="N24" i="25"/>
  <c r="K74" i="19" s="1"/>
  <c r="N42" i="25"/>
  <c r="N60" i="25"/>
  <c r="N69" i="25"/>
  <c r="K108" i="19" s="1"/>
  <c r="N81" i="25"/>
  <c r="N97" i="25"/>
  <c r="K154" i="19" s="1"/>
  <c r="N23" i="25"/>
  <c r="K73" i="19" s="1"/>
  <c r="N41" i="25"/>
  <c r="N59" i="25"/>
  <c r="N71" i="25"/>
  <c r="K115" i="19" s="1"/>
  <c r="I132" i="17"/>
  <c r="I83" i="19"/>
  <c r="P83" i="19" s="1"/>
  <c r="I137" i="17"/>
  <c r="I136" i="17"/>
  <c r="I162" i="17"/>
  <c r="I81" i="19" s="1"/>
  <c r="P81" i="19" s="1"/>
  <c r="I161" i="17"/>
  <c r="I174" i="17"/>
  <c r="I70" i="19" s="1"/>
  <c r="I167" i="17"/>
  <c r="N31" i="25"/>
  <c r="N48" i="25"/>
  <c r="N87" i="25"/>
  <c r="Q146" i="19"/>
  <c r="Q106" i="19"/>
  <c r="Q66" i="19"/>
  <c r="I119" i="19" l="1"/>
  <c r="P119" i="19" s="1"/>
  <c r="L134" i="19"/>
  <c r="I82" i="19"/>
  <c r="P82" i="19" s="1"/>
  <c r="I315" i="19"/>
  <c r="L79" i="19"/>
  <c r="I138" i="19"/>
  <c r="P127" i="19"/>
  <c r="I86" i="19"/>
  <c r="P86" i="19" s="1"/>
  <c r="I46" i="19"/>
  <c r="P87" i="19"/>
  <c r="I321" i="19"/>
  <c r="I313" i="19"/>
  <c r="L81" i="19"/>
  <c r="I234" i="19" s="1"/>
  <c r="I317" i="19"/>
  <c r="I133" i="19"/>
  <c r="P122" i="19"/>
  <c r="I137" i="19"/>
  <c r="P126" i="19"/>
  <c r="L83" i="19"/>
  <c r="I214" i="19" s="1"/>
  <c r="I316" i="19"/>
  <c r="L119" i="19"/>
  <c r="I132" i="19"/>
  <c r="P121" i="19"/>
  <c r="L122" i="19"/>
  <c r="I33" i="19"/>
  <c r="P74" i="19"/>
  <c r="I29" i="19"/>
  <c r="P70" i="19"/>
  <c r="I32" i="19"/>
  <c r="P73" i="19"/>
  <c r="I307" i="19"/>
  <c r="I308" i="19"/>
  <c r="L74" i="19"/>
  <c r="L114" i="19"/>
  <c r="I31" i="19"/>
  <c r="P72" i="19"/>
  <c r="I304" i="19"/>
  <c r="I306" i="19"/>
  <c r="I27" i="19"/>
  <c r="I36" i="19" s="1"/>
  <c r="P68" i="19"/>
  <c r="I28" i="19"/>
  <c r="P69" i="19"/>
  <c r="I35" i="19"/>
  <c r="P76" i="19"/>
  <c r="I34" i="19"/>
  <c r="P75" i="19"/>
  <c r="I309" i="19"/>
  <c r="H355" i="19"/>
  <c r="H365" i="19" s="1"/>
  <c r="I35" i="33"/>
  <c r="H356" i="19"/>
  <c r="I34" i="33"/>
  <c r="H354" i="19"/>
  <c r="H364" i="19" s="1"/>
  <c r="I33" i="33"/>
  <c r="I190" i="19"/>
  <c r="I179" i="19"/>
  <c r="I240" i="19"/>
  <c r="I229" i="19"/>
  <c r="I218" i="19"/>
  <c r="I223" i="19"/>
  <c r="I212" i="19"/>
  <c r="I267" i="19"/>
  <c r="I277" i="19"/>
  <c r="I272" i="19"/>
  <c r="K85" i="19"/>
  <c r="H238" i="19"/>
  <c r="H227" i="19"/>
  <c r="H216" i="19"/>
  <c r="K94" i="19"/>
  <c r="H186" i="19"/>
  <c r="H175" i="19"/>
  <c r="H197" i="19"/>
  <c r="K125" i="19"/>
  <c r="H266" i="19"/>
  <c r="H276" i="19"/>
  <c r="H271" i="19"/>
  <c r="K87" i="19"/>
  <c r="H218" i="19"/>
  <c r="H240" i="19"/>
  <c r="H229" i="19"/>
  <c r="K82" i="19"/>
  <c r="H224" i="19"/>
  <c r="H213" i="19"/>
  <c r="H235" i="19"/>
  <c r="K84" i="19"/>
  <c r="H237" i="19"/>
  <c r="H226" i="19"/>
  <c r="H215" i="19"/>
  <c r="K149" i="19"/>
  <c r="H287" i="19"/>
  <c r="K150" i="19"/>
  <c r="H288" i="19"/>
  <c r="K95" i="19"/>
  <c r="H176" i="19"/>
  <c r="H198" i="19"/>
  <c r="H187" i="19"/>
  <c r="K137" i="19"/>
  <c r="H251" i="19"/>
  <c r="H261" i="19"/>
  <c r="H256" i="19"/>
  <c r="K130" i="19"/>
  <c r="H254" i="19"/>
  <c r="H249" i="19"/>
  <c r="H259" i="19"/>
  <c r="K126" i="19"/>
  <c r="H267" i="19"/>
  <c r="H277" i="19"/>
  <c r="H272" i="19"/>
  <c r="K83" i="19"/>
  <c r="H236" i="19"/>
  <c r="H225" i="19"/>
  <c r="H214" i="19"/>
  <c r="K97" i="19"/>
  <c r="H200" i="19"/>
  <c r="H189" i="19"/>
  <c r="H178" i="19"/>
  <c r="K148" i="19"/>
  <c r="K136" i="19"/>
  <c r="H250" i="19"/>
  <c r="H260" i="19"/>
  <c r="H255" i="19"/>
  <c r="K92" i="19"/>
  <c r="H173" i="19"/>
  <c r="H184" i="19"/>
  <c r="H195" i="19"/>
  <c r="K93" i="19"/>
  <c r="H185" i="19"/>
  <c r="H174" i="19"/>
  <c r="H196" i="19"/>
  <c r="K98" i="19"/>
  <c r="H201" i="19"/>
  <c r="H179" i="19"/>
  <c r="H190" i="19"/>
  <c r="K91" i="19"/>
  <c r="H194" i="19"/>
  <c r="H172" i="19"/>
  <c r="H183" i="19"/>
  <c r="K80" i="19"/>
  <c r="H211" i="19"/>
  <c r="H222" i="19"/>
  <c r="H233" i="19"/>
  <c r="K81" i="19"/>
  <c r="H212" i="19"/>
  <c r="H234" i="19"/>
  <c r="H223" i="19"/>
  <c r="K119" i="19"/>
  <c r="H265" i="19"/>
  <c r="H270" i="19"/>
  <c r="H275" i="19"/>
  <c r="K86" i="19"/>
  <c r="H239" i="19"/>
  <c r="H228" i="19"/>
  <c r="H217" i="19"/>
  <c r="K90" i="19"/>
  <c r="H193" i="19"/>
  <c r="H182" i="19"/>
  <c r="K79" i="19"/>
  <c r="H221" i="19"/>
  <c r="H232" i="19"/>
  <c r="K96" i="19"/>
  <c r="H188" i="19"/>
  <c r="H177" i="19"/>
  <c r="H199" i="19"/>
  <c r="I181" i="17"/>
  <c r="I77" i="19"/>
  <c r="I124" i="19"/>
  <c r="I84" i="19"/>
  <c r="I92" i="19"/>
  <c r="I40" i="19"/>
  <c r="I41" i="19"/>
  <c r="I93" i="19"/>
  <c r="I125" i="19"/>
  <c r="I85" i="19"/>
  <c r="I42" i="19"/>
  <c r="I94" i="19"/>
  <c r="I120" i="19"/>
  <c r="I80" i="19"/>
  <c r="I38" i="19"/>
  <c r="I90" i="19"/>
  <c r="O108" i="19"/>
  <c r="O27" i="19" s="1"/>
  <c r="O138" i="19"/>
  <c r="Q138" i="19" s="1"/>
  <c r="O135" i="19"/>
  <c r="O134" i="19"/>
  <c r="Q134" i="19" s="1"/>
  <c r="O133" i="19"/>
  <c r="Q133" i="19" s="1"/>
  <c r="O132" i="19"/>
  <c r="Q132" i="19" s="1"/>
  <c r="O131" i="19"/>
  <c r="Q131" i="19" s="1"/>
  <c r="Q127" i="19"/>
  <c r="O116" i="19"/>
  <c r="Q116" i="19" s="1"/>
  <c r="O124" i="19"/>
  <c r="Q124" i="19" s="1"/>
  <c r="O123" i="19"/>
  <c r="Q123" i="19" s="1"/>
  <c r="O122" i="19"/>
  <c r="Q122" i="19" s="1"/>
  <c r="O121" i="19"/>
  <c r="Q121" i="19" s="1"/>
  <c r="O120" i="19"/>
  <c r="Q120" i="19" s="1"/>
  <c r="O110" i="19"/>
  <c r="Q110" i="19" s="1"/>
  <c r="O111" i="19"/>
  <c r="Q111" i="19" s="1"/>
  <c r="O112" i="19"/>
  <c r="Q112" i="19" s="1"/>
  <c r="O113" i="19"/>
  <c r="Q113" i="19" s="1"/>
  <c r="O109" i="19"/>
  <c r="Q109" i="19" s="1"/>
  <c r="Q135" i="19"/>
  <c r="O64" i="19"/>
  <c r="O104" i="19" s="1"/>
  <c r="Q65" i="19"/>
  <c r="Q105" i="19" s="1"/>
  <c r="Q145" i="19" s="1"/>
  <c r="O50" i="19"/>
  <c r="O52" i="19"/>
  <c r="Q98" i="19"/>
  <c r="O31" i="19"/>
  <c r="I130" i="19" l="1"/>
  <c r="I49" i="19" s="1"/>
  <c r="I265" i="19"/>
  <c r="I275" i="19"/>
  <c r="I270" i="19"/>
  <c r="I210" i="19"/>
  <c r="I221" i="19"/>
  <c r="I232" i="19"/>
  <c r="I320" i="19"/>
  <c r="I45" i="19"/>
  <c r="L82" i="19"/>
  <c r="I97" i="19"/>
  <c r="I56" i="19" s="1"/>
  <c r="L86" i="19"/>
  <c r="I57" i="19"/>
  <c r="P138" i="19"/>
  <c r="L138" i="19"/>
  <c r="P80" i="19"/>
  <c r="L80" i="19"/>
  <c r="I314" i="19"/>
  <c r="I131" i="19"/>
  <c r="P120" i="19"/>
  <c r="L120" i="19"/>
  <c r="I225" i="19"/>
  <c r="P132" i="19"/>
  <c r="L132" i="19"/>
  <c r="I53" i="19"/>
  <c r="P94" i="19"/>
  <c r="I328" i="19"/>
  <c r="L94" i="19"/>
  <c r="I236" i="19"/>
  <c r="P133" i="19"/>
  <c r="L133" i="19"/>
  <c r="P137" i="19"/>
  <c r="L137" i="19"/>
  <c r="I51" i="19"/>
  <c r="I326" i="19"/>
  <c r="P92" i="19"/>
  <c r="L92" i="19"/>
  <c r="P97" i="19"/>
  <c r="I331" i="19"/>
  <c r="L97" i="19"/>
  <c r="P90" i="19"/>
  <c r="I324" i="19"/>
  <c r="I336" i="19" s="1"/>
  <c r="L90" i="19"/>
  <c r="I52" i="19"/>
  <c r="P93" i="19"/>
  <c r="I327" i="19"/>
  <c r="L93" i="19"/>
  <c r="P85" i="19"/>
  <c r="I319" i="19"/>
  <c r="L85" i="19"/>
  <c r="P84" i="19"/>
  <c r="I318" i="19"/>
  <c r="L84" i="19"/>
  <c r="L130" i="19"/>
  <c r="I136" i="19"/>
  <c r="P125" i="19"/>
  <c r="L125" i="19"/>
  <c r="I276" i="19" s="1"/>
  <c r="I135" i="19"/>
  <c r="I139" i="19" s="1"/>
  <c r="P124" i="19"/>
  <c r="L124" i="19"/>
  <c r="I44" i="19"/>
  <c r="I96" i="19"/>
  <c r="I95" i="19"/>
  <c r="I43" i="19"/>
  <c r="I91" i="19"/>
  <c r="I39" i="19"/>
  <c r="O46" i="19"/>
  <c r="O54" i="19"/>
  <c r="O35" i="19"/>
  <c r="Q35" i="19" s="1"/>
  <c r="O43" i="19"/>
  <c r="O39" i="19"/>
  <c r="O28" i="19"/>
  <c r="O51" i="19"/>
  <c r="O41" i="19"/>
  <c r="O40" i="19"/>
  <c r="Q76" i="19"/>
  <c r="O57" i="19"/>
  <c r="Q57" i="19" s="1"/>
  <c r="O53" i="19"/>
  <c r="O42" i="19"/>
  <c r="O30" i="19"/>
  <c r="O29" i="19"/>
  <c r="O32" i="19"/>
  <c r="O44" i="19"/>
  <c r="O33" i="19"/>
  <c r="O38" i="19"/>
  <c r="O45" i="19"/>
  <c r="O56" i="19"/>
  <c r="O34" i="19"/>
  <c r="O55" i="19"/>
  <c r="O49" i="19"/>
  <c r="H23" i="14"/>
  <c r="G23" i="14"/>
  <c r="P130" i="19" l="1"/>
  <c r="I213" i="19"/>
  <c r="I235" i="19"/>
  <c r="I224" i="19"/>
  <c r="I266" i="19"/>
  <c r="I271" i="19"/>
  <c r="I239" i="19"/>
  <c r="I228" i="19"/>
  <c r="I217" i="19"/>
  <c r="I55" i="19"/>
  <c r="I330" i="19"/>
  <c r="P96" i="19"/>
  <c r="L96" i="19"/>
  <c r="I184" i="19"/>
  <c r="I173" i="19"/>
  <c r="I171" i="19"/>
  <c r="I182" i="19"/>
  <c r="I186" i="19"/>
  <c r="I175" i="19"/>
  <c r="I238" i="19"/>
  <c r="I227" i="19"/>
  <c r="I216" i="19"/>
  <c r="P131" i="19"/>
  <c r="L131" i="19"/>
  <c r="I47" i="19"/>
  <c r="P136" i="19"/>
  <c r="L136" i="19"/>
  <c r="I54" i="19"/>
  <c r="I329" i="19"/>
  <c r="P95" i="19"/>
  <c r="L95" i="19"/>
  <c r="P135" i="19"/>
  <c r="L135" i="19"/>
  <c r="I254" i="19"/>
  <c r="I249" i="19"/>
  <c r="I178" i="19"/>
  <c r="I189" i="19"/>
  <c r="I256" i="19"/>
  <c r="I251" i="19"/>
  <c r="I211" i="19"/>
  <c r="I233" i="19"/>
  <c r="I222" i="19"/>
  <c r="I226" i="19"/>
  <c r="I215" i="19"/>
  <c r="I237" i="19"/>
  <c r="I50" i="19"/>
  <c r="P91" i="19"/>
  <c r="I325" i="19"/>
  <c r="L91" i="19"/>
  <c r="I99" i="19"/>
  <c r="I185" i="19"/>
  <c r="I174" i="19"/>
  <c r="O47" i="19"/>
  <c r="O36" i="19"/>
  <c r="O58" i="19"/>
  <c r="I58" i="19" l="1"/>
  <c r="I250" i="19"/>
  <c r="I255" i="19"/>
  <c r="I172" i="19"/>
  <c r="I183" i="19"/>
  <c r="I177" i="19"/>
  <c r="I188" i="19"/>
  <c r="I176" i="19"/>
  <c r="I187" i="19"/>
  <c r="G101" i="25"/>
  <c r="F101" i="25"/>
  <c r="F103" i="25"/>
  <c r="K18" i="25" l="1"/>
  <c r="L18" i="25"/>
  <c r="M98" i="25"/>
  <c r="L98" i="25"/>
  <c r="K98" i="25"/>
  <c r="M97" i="25"/>
  <c r="L97" i="25"/>
  <c r="K97" i="25"/>
  <c r="M96" i="25"/>
  <c r="L96" i="25"/>
  <c r="K96" i="25"/>
  <c r="M93" i="25"/>
  <c r="L93" i="25"/>
  <c r="K93" i="25"/>
  <c r="M92" i="25"/>
  <c r="L92" i="25"/>
  <c r="K92" i="25"/>
  <c r="M91" i="25"/>
  <c r="L91" i="25"/>
  <c r="K91" i="25"/>
  <c r="M81" i="25"/>
  <c r="L81" i="25"/>
  <c r="K81" i="25"/>
  <c r="M80" i="25"/>
  <c r="L80" i="25"/>
  <c r="K80" i="25"/>
  <c r="M79" i="25"/>
  <c r="L79" i="25"/>
  <c r="K79" i="25"/>
  <c r="M76" i="25"/>
  <c r="L76" i="25"/>
  <c r="K76" i="25"/>
  <c r="M75" i="25"/>
  <c r="L75" i="25"/>
  <c r="K75" i="25"/>
  <c r="M74" i="25"/>
  <c r="L74" i="25"/>
  <c r="K74" i="25"/>
  <c r="K70" i="25"/>
  <c r="L70" i="25"/>
  <c r="M70" i="25"/>
  <c r="K71" i="25"/>
  <c r="L71" i="25"/>
  <c r="M71" i="25"/>
  <c r="M69" i="25"/>
  <c r="L69" i="25"/>
  <c r="K69" i="25"/>
  <c r="K66" i="25"/>
  <c r="K54" i="25"/>
  <c r="L54" i="25"/>
  <c r="M54" i="25"/>
  <c r="K55" i="25"/>
  <c r="L55" i="25"/>
  <c r="M55" i="25"/>
  <c r="K56" i="25"/>
  <c r="L56" i="25"/>
  <c r="M56" i="25"/>
  <c r="K57" i="25"/>
  <c r="L57" i="25"/>
  <c r="M57" i="25"/>
  <c r="K58" i="25"/>
  <c r="L58" i="25"/>
  <c r="M58" i="25"/>
  <c r="K59" i="25"/>
  <c r="L59" i="25"/>
  <c r="M59" i="25"/>
  <c r="K60" i="25"/>
  <c r="L60" i="25"/>
  <c r="M60" i="25"/>
  <c r="K53" i="25"/>
  <c r="L53" i="25"/>
  <c r="M53" i="25"/>
  <c r="M52" i="25"/>
  <c r="L52" i="25"/>
  <c r="K52" i="25"/>
  <c r="K49" i="25"/>
  <c r="K38" i="25"/>
  <c r="L38" i="25"/>
  <c r="M38" i="25"/>
  <c r="K39" i="25"/>
  <c r="L39" i="25"/>
  <c r="M39" i="25"/>
  <c r="K40" i="25"/>
  <c r="L40" i="25"/>
  <c r="M40" i="25"/>
  <c r="K41" i="25"/>
  <c r="L41" i="25"/>
  <c r="M41" i="25"/>
  <c r="K42" i="25"/>
  <c r="L42" i="25"/>
  <c r="M42" i="25"/>
  <c r="K43" i="25"/>
  <c r="L43" i="25"/>
  <c r="M43" i="25"/>
  <c r="K36" i="25"/>
  <c r="L36" i="25"/>
  <c r="M36" i="25"/>
  <c r="K37" i="25"/>
  <c r="L37" i="25"/>
  <c r="M37" i="25"/>
  <c r="M35" i="25"/>
  <c r="L35" i="25"/>
  <c r="K35" i="25"/>
  <c r="K32" i="25"/>
  <c r="K19" i="25"/>
  <c r="L19" i="25"/>
  <c r="M19" i="25"/>
  <c r="K20" i="25"/>
  <c r="L20" i="25"/>
  <c r="M20" i="25"/>
  <c r="K21" i="25"/>
  <c r="L21" i="25"/>
  <c r="M21" i="25"/>
  <c r="K22" i="25"/>
  <c r="L22" i="25"/>
  <c r="M22" i="25"/>
  <c r="K23" i="25"/>
  <c r="L23" i="25"/>
  <c r="M23" i="25"/>
  <c r="K24" i="25"/>
  <c r="L24" i="25"/>
  <c r="M24" i="25"/>
  <c r="K25" i="25"/>
  <c r="L25" i="25"/>
  <c r="M25" i="25"/>
  <c r="K26" i="25"/>
  <c r="L26" i="25"/>
  <c r="M26" i="25"/>
  <c r="G22" i="14"/>
  <c r="G15" i="14"/>
  <c r="H15" i="14" s="1"/>
  <c r="E16" i="14"/>
  <c r="F15" i="14"/>
  <c r="J284" i="19" l="1"/>
  <c r="J247" i="19"/>
  <c r="J208" i="19"/>
  <c r="J169" i="19"/>
  <c r="M146" i="19"/>
  <c r="M145" i="19"/>
  <c r="M106" i="19"/>
  <c r="M105" i="19"/>
  <c r="M66" i="19" l="1"/>
  <c r="M65" i="19"/>
  <c r="B21" i="33" l="1"/>
  <c r="K64" i="19" l="1"/>
  <c r="G20" i="33" l="1"/>
  <c r="F148" i="19" l="1"/>
  <c r="AB117" i="24" l="1"/>
  <c r="AB77" i="24"/>
  <c r="AC76" i="24" l="1"/>
  <c r="AC77" i="24"/>
  <c r="AC15" i="24"/>
  <c r="AB15" i="24"/>
  <c r="H15" i="33" l="1"/>
  <c r="H16" i="33"/>
  <c r="H14" i="33"/>
  <c r="H283" i="19" l="1"/>
  <c r="I283" i="19"/>
  <c r="C274" i="19"/>
  <c r="C269" i="19"/>
  <c r="C264" i="19"/>
  <c r="C258" i="19"/>
  <c r="C253" i="19"/>
  <c r="C248" i="19"/>
  <c r="C231" i="19"/>
  <c r="C220" i="19"/>
  <c r="C209" i="19"/>
  <c r="C192" i="19"/>
  <c r="C181" i="19"/>
  <c r="C170" i="19"/>
  <c r="G145" i="19"/>
  <c r="G105" i="19"/>
  <c r="G65" i="19"/>
  <c r="I246" i="19"/>
  <c r="H246" i="19"/>
  <c r="I207" i="19"/>
  <c r="H207" i="19"/>
  <c r="C60" i="33" l="1"/>
  <c r="B60" i="33"/>
  <c r="C59" i="33"/>
  <c r="B59" i="33"/>
  <c r="C58" i="33"/>
  <c r="B58" i="33"/>
  <c r="C55" i="33"/>
  <c r="B55" i="33"/>
  <c r="C54" i="33"/>
  <c r="B54" i="33"/>
  <c r="C53" i="33"/>
  <c r="B53" i="33"/>
  <c r="C50" i="33"/>
  <c r="B50" i="33"/>
  <c r="C49" i="33"/>
  <c r="B49" i="33"/>
  <c r="C48" i="33"/>
  <c r="B48" i="33"/>
  <c r="C45" i="33"/>
  <c r="B45" i="33"/>
  <c r="C44" i="33"/>
  <c r="B44" i="33"/>
  <c r="C43" i="33"/>
  <c r="B43" i="33"/>
  <c r="B40" i="33"/>
  <c r="C32" i="33"/>
  <c r="B32" i="33"/>
  <c r="C31" i="33"/>
  <c r="B31" i="33"/>
  <c r="C30" i="33"/>
  <c r="B30" i="33"/>
  <c r="C27" i="33"/>
  <c r="B27" i="33"/>
  <c r="C26" i="33"/>
  <c r="B26" i="33"/>
  <c r="C25" i="33"/>
  <c r="B25" i="33"/>
  <c r="H22" i="33"/>
  <c r="G22" i="33"/>
  <c r="F22" i="33"/>
  <c r="C22" i="33"/>
  <c r="B22" i="33"/>
  <c r="H21" i="33"/>
  <c r="G21" i="33"/>
  <c r="F21" i="33"/>
  <c r="C21" i="33"/>
  <c r="H20" i="33"/>
  <c r="F20" i="33"/>
  <c r="B20" i="33"/>
  <c r="G16" i="33"/>
  <c r="F16" i="33"/>
  <c r="C16" i="33"/>
  <c r="B16" i="33"/>
  <c r="G15" i="33"/>
  <c r="F15" i="33"/>
  <c r="C15" i="33"/>
  <c r="B15" i="33"/>
  <c r="G14" i="33"/>
  <c r="F14" i="33"/>
  <c r="C14" i="33"/>
  <c r="B14" i="33"/>
  <c r="B11" i="33"/>
  <c r="E7" i="33"/>
  <c r="B7" i="33"/>
  <c r="E6" i="33"/>
  <c r="B6" i="33"/>
  <c r="H210" i="17"/>
  <c r="G210" i="17"/>
  <c r="F210" i="17"/>
  <c r="C210" i="17"/>
  <c r="B210" i="17"/>
  <c r="H209" i="17"/>
  <c r="G209" i="17"/>
  <c r="F209" i="17"/>
  <c r="C209" i="17"/>
  <c r="B209" i="17"/>
  <c r="H208" i="17"/>
  <c r="G208" i="17"/>
  <c r="F208" i="17"/>
  <c r="C208" i="17"/>
  <c r="B208" i="17"/>
  <c r="H207" i="17"/>
  <c r="G207" i="17"/>
  <c r="F207" i="17"/>
  <c r="C207" i="17"/>
  <c r="B207" i="17"/>
  <c r="H206" i="17"/>
  <c r="G206" i="17"/>
  <c r="F206" i="17"/>
  <c r="C206" i="17"/>
  <c r="B206" i="17"/>
  <c r="H205" i="17"/>
  <c r="G205" i="17"/>
  <c r="F205" i="17"/>
  <c r="C205" i="17"/>
  <c r="B205" i="17"/>
  <c r="H204" i="17"/>
  <c r="G204" i="17"/>
  <c r="F204" i="17"/>
  <c r="C204" i="17"/>
  <c r="B204" i="17"/>
  <c r="H203" i="17"/>
  <c r="G203" i="17"/>
  <c r="F203" i="17"/>
  <c r="C203" i="17"/>
  <c r="B203" i="17"/>
  <c r="H202" i="17"/>
  <c r="G202" i="17"/>
  <c r="F202" i="17"/>
  <c r="C202" i="17"/>
  <c r="B202" i="17"/>
  <c r="H198" i="17"/>
  <c r="G198" i="17"/>
  <c r="F198" i="17"/>
  <c r="C198" i="17"/>
  <c r="B198" i="17"/>
  <c r="H197" i="17"/>
  <c r="G197" i="17"/>
  <c r="F197" i="17"/>
  <c r="C197" i="17"/>
  <c r="B197" i="17"/>
  <c r="H196" i="17"/>
  <c r="G196" i="17"/>
  <c r="F196" i="17"/>
  <c r="C196" i="17"/>
  <c r="B196" i="17"/>
  <c r="H195" i="17"/>
  <c r="G195" i="17"/>
  <c r="F195" i="17"/>
  <c r="C195" i="17"/>
  <c r="B195" i="17"/>
  <c r="H194" i="17"/>
  <c r="G194" i="17"/>
  <c r="F194" i="17"/>
  <c r="C194" i="17"/>
  <c r="B194" i="17"/>
  <c r="H193" i="17"/>
  <c r="G193" i="17"/>
  <c r="F193" i="17"/>
  <c r="C193" i="17"/>
  <c r="B193" i="17"/>
  <c r="H192" i="17"/>
  <c r="G192" i="17"/>
  <c r="F192" i="17"/>
  <c r="C192" i="17"/>
  <c r="B192" i="17"/>
  <c r="H191" i="17"/>
  <c r="G191" i="17"/>
  <c r="F191" i="17"/>
  <c r="C191" i="17"/>
  <c r="B191" i="17"/>
  <c r="H190" i="17"/>
  <c r="G190" i="17"/>
  <c r="F190" i="17"/>
  <c r="C190" i="17"/>
  <c r="B190" i="17"/>
  <c r="C187" i="17"/>
  <c r="B187" i="17"/>
  <c r="C180" i="17"/>
  <c r="B180" i="17"/>
  <c r="C179" i="17"/>
  <c r="B179" i="17"/>
  <c r="C178" i="17"/>
  <c r="B178" i="17"/>
  <c r="C177" i="17"/>
  <c r="B177" i="17"/>
  <c r="C176" i="17"/>
  <c r="B176" i="17"/>
  <c r="C175" i="17"/>
  <c r="B175" i="17"/>
  <c r="C174" i="17"/>
  <c r="B174" i="17"/>
  <c r="C173" i="17"/>
  <c r="B173" i="17"/>
  <c r="C172" i="17"/>
  <c r="B172" i="17"/>
  <c r="C168" i="17"/>
  <c r="B168" i="17"/>
  <c r="C167" i="17"/>
  <c r="B167" i="17"/>
  <c r="C166" i="17"/>
  <c r="B166" i="17"/>
  <c r="C165" i="17"/>
  <c r="B165" i="17"/>
  <c r="C164" i="17"/>
  <c r="B164" i="17"/>
  <c r="C163" i="17"/>
  <c r="B163" i="17"/>
  <c r="C162" i="17"/>
  <c r="B162" i="17"/>
  <c r="C161" i="17"/>
  <c r="B161" i="17"/>
  <c r="C160" i="17"/>
  <c r="B160" i="17"/>
  <c r="H156" i="17"/>
  <c r="G156" i="17"/>
  <c r="G180" i="17" s="1"/>
  <c r="F156" i="17"/>
  <c r="C156" i="17"/>
  <c r="B156" i="17"/>
  <c r="H155" i="17"/>
  <c r="G155" i="17"/>
  <c r="F155" i="17"/>
  <c r="C155" i="17"/>
  <c r="B155" i="17"/>
  <c r="H154" i="17"/>
  <c r="G154" i="17"/>
  <c r="F154" i="17"/>
  <c r="C154" i="17"/>
  <c r="B154" i="17"/>
  <c r="H153" i="17"/>
  <c r="G153" i="17"/>
  <c r="F153" i="17"/>
  <c r="C153" i="17"/>
  <c r="B153" i="17"/>
  <c r="H152" i="17"/>
  <c r="G152" i="17"/>
  <c r="F152" i="17"/>
  <c r="C152" i="17"/>
  <c r="B152" i="17"/>
  <c r="H151" i="17"/>
  <c r="G151" i="17"/>
  <c r="F151" i="17"/>
  <c r="C151" i="17"/>
  <c r="B151" i="17"/>
  <c r="H150" i="17"/>
  <c r="G150" i="17"/>
  <c r="F150" i="17"/>
  <c r="C150" i="17"/>
  <c r="B150" i="17"/>
  <c r="H149" i="17"/>
  <c r="G149" i="17"/>
  <c r="F149" i="17"/>
  <c r="F161" i="17" s="1"/>
  <c r="C149" i="17"/>
  <c r="B149" i="17"/>
  <c r="H148" i="17"/>
  <c r="G148" i="17"/>
  <c r="F148" i="17"/>
  <c r="C148" i="17"/>
  <c r="B148" i="17"/>
  <c r="C145" i="17"/>
  <c r="B145" i="17"/>
  <c r="C139" i="17"/>
  <c r="B139" i="17"/>
  <c r="C138" i="17"/>
  <c r="B138" i="17"/>
  <c r="C137" i="17"/>
  <c r="B137" i="17"/>
  <c r="C136" i="17"/>
  <c r="B136" i="17"/>
  <c r="C135" i="17"/>
  <c r="B135" i="17"/>
  <c r="C134" i="17"/>
  <c r="B134" i="17"/>
  <c r="C133" i="17"/>
  <c r="B133" i="17"/>
  <c r="C132" i="17"/>
  <c r="B132" i="17"/>
  <c r="C131" i="17"/>
  <c r="B131" i="17"/>
  <c r="C128" i="17"/>
  <c r="B128" i="17"/>
  <c r="C122" i="17"/>
  <c r="B122" i="17"/>
  <c r="C121" i="17"/>
  <c r="B121" i="17"/>
  <c r="C120" i="17"/>
  <c r="B120" i="17"/>
  <c r="C119" i="17"/>
  <c r="B119" i="17"/>
  <c r="C118" i="17"/>
  <c r="B118" i="17"/>
  <c r="C117" i="17"/>
  <c r="B117" i="17"/>
  <c r="C116" i="17"/>
  <c r="B116" i="17"/>
  <c r="C115" i="17"/>
  <c r="B115" i="17"/>
  <c r="C114" i="17"/>
  <c r="B114" i="17"/>
  <c r="C110" i="17"/>
  <c r="B110" i="17"/>
  <c r="C109" i="17"/>
  <c r="B109" i="17"/>
  <c r="C108" i="17"/>
  <c r="B108" i="17"/>
  <c r="C107" i="17"/>
  <c r="B107" i="17"/>
  <c r="C106" i="17"/>
  <c r="B106" i="17"/>
  <c r="C105" i="17"/>
  <c r="B105" i="17"/>
  <c r="C104" i="17"/>
  <c r="B104" i="17"/>
  <c r="C103" i="17"/>
  <c r="B103" i="17"/>
  <c r="B102" i="17"/>
  <c r="C98" i="17"/>
  <c r="B98" i="17"/>
  <c r="H92" i="17"/>
  <c r="G92" i="17"/>
  <c r="F92" i="17"/>
  <c r="B92" i="17"/>
  <c r="H91" i="17"/>
  <c r="G91" i="17"/>
  <c r="F91" i="17"/>
  <c r="B91" i="17"/>
  <c r="H90" i="17"/>
  <c r="G90" i="17"/>
  <c r="F90" i="17"/>
  <c r="B90" i="17"/>
  <c r="H89" i="17"/>
  <c r="G89" i="17"/>
  <c r="F89" i="17"/>
  <c r="B89" i="17"/>
  <c r="H88" i="17"/>
  <c r="G88" i="17"/>
  <c r="F88" i="17"/>
  <c r="B88" i="17"/>
  <c r="H87" i="17"/>
  <c r="G87" i="17"/>
  <c r="F87" i="17"/>
  <c r="B87" i="17"/>
  <c r="H86" i="17"/>
  <c r="G86" i="17"/>
  <c r="F86" i="17"/>
  <c r="B86" i="17"/>
  <c r="H85" i="17"/>
  <c r="G85" i="17"/>
  <c r="F85" i="17"/>
  <c r="B85" i="17"/>
  <c r="H84" i="17"/>
  <c r="G84" i="17"/>
  <c r="F84" i="17"/>
  <c r="B84" i="17"/>
  <c r="B83" i="17"/>
  <c r="H81" i="17"/>
  <c r="G81" i="17"/>
  <c r="F81" i="17"/>
  <c r="B81" i="17"/>
  <c r="H80" i="17"/>
  <c r="G80" i="17"/>
  <c r="F80" i="17"/>
  <c r="B80" i="17"/>
  <c r="H79" i="17"/>
  <c r="G79" i="17"/>
  <c r="F79" i="17"/>
  <c r="B79" i="17"/>
  <c r="H78" i="17"/>
  <c r="G78" i="17"/>
  <c r="F78" i="17"/>
  <c r="B78" i="17"/>
  <c r="H77" i="17"/>
  <c r="G77" i="17"/>
  <c r="F77" i="17"/>
  <c r="B77" i="17"/>
  <c r="H76" i="17"/>
  <c r="G76" i="17"/>
  <c r="F76" i="17"/>
  <c r="B76" i="17"/>
  <c r="H75" i="17"/>
  <c r="G75" i="17"/>
  <c r="F75" i="17"/>
  <c r="B75" i="17"/>
  <c r="H74" i="17"/>
  <c r="G74" i="17"/>
  <c r="F74" i="17"/>
  <c r="B74" i="17"/>
  <c r="H73" i="17"/>
  <c r="G73" i="17"/>
  <c r="F73" i="17"/>
  <c r="B73" i="17"/>
  <c r="B72" i="17"/>
  <c r="B70" i="17"/>
  <c r="H69" i="17"/>
  <c r="G69" i="17"/>
  <c r="F69" i="17"/>
  <c r="B69" i="17"/>
  <c r="H68" i="17"/>
  <c r="G68" i="17"/>
  <c r="F68" i="17"/>
  <c r="B68" i="17"/>
  <c r="H67" i="17"/>
  <c r="G67" i="17"/>
  <c r="F67" i="17"/>
  <c r="B67" i="17"/>
  <c r="H66" i="17"/>
  <c r="G66" i="17"/>
  <c r="F66" i="17"/>
  <c r="B66" i="17"/>
  <c r="H65" i="17"/>
  <c r="G65" i="17"/>
  <c r="F65" i="17"/>
  <c r="B65" i="17"/>
  <c r="H64" i="17"/>
  <c r="G64" i="17"/>
  <c r="F64" i="17"/>
  <c r="B64" i="17"/>
  <c r="H63" i="17"/>
  <c r="G63" i="17"/>
  <c r="F63" i="17"/>
  <c r="B63" i="17"/>
  <c r="H62" i="17"/>
  <c r="G62" i="17"/>
  <c r="F62" i="17"/>
  <c r="B62" i="17"/>
  <c r="B61" i="17"/>
  <c r="C58" i="17"/>
  <c r="B58" i="17"/>
  <c r="H53" i="17"/>
  <c r="G53" i="17"/>
  <c r="F53" i="17"/>
  <c r="C53" i="17"/>
  <c r="B53" i="17"/>
  <c r="H52" i="17"/>
  <c r="G52" i="17"/>
  <c r="F52" i="17"/>
  <c r="C52" i="17"/>
  <c r="B52" i="17"/>
  <c r="H51" i="17"/>
  <c r="G51" i="17"/>
  <c r="F51" i="17"/>
  <c r="C51" i="17"/>
  <c r="B51" i="17"/>
  <c r="H50" i="17"/>
  <c r="G50" i="17"/>
  <c r="F50" i="17"/>
  <c r="C50" i="17"/>
  <c r="B50" i="17"/>
  <c r="H49" i="17"/>
  <c r="G49" i="17"/>
  <c r="F49" i="17"/>
  <c r="C49" i="17"/>
  <c r="B49" i="17"/>
  <c r="H48" i="17"/>
  <c r="G48" i="17"/>
  <c r="F48" i="17"/>
  <c r="C48" i="17"/>
  <c r="B48" i="17"/>
  <c r="H47" i="17"/>
  <c r="G47" i="17"/>
  <c r="F47" i="17"/>
  <c r="C47" i="17"/>
  <c r="B47" i="17"/>
  <c r="H46" i="17"/>
  <c r="G46" i="17"/>
  <c r="F46" i="17"/>
  <c r="C46" i="17"/>
  <c r="B46" i="17"/>
  <c r="H45" i="17"/>
  <c r="G45" i="17"/>
  <c r="F45" i="17"/>
  <c r="C45" i="17"/>
  <c r="B45" i="17"/>
  <c r="B43" i="17"/>
  <c r="H41" i="17"/>
  <c r="G41" i="17"/>
  <c r="F41" i="17"/>
  <c r="C41" i="17"/>
  <c r="B41" i="17"/>
  <c r="H40" i="17"/>
  <c r="G40" i="17"/>
  <c r="F40" i="17"/>
  <c r="C40" i="17"/>
  <c r="B40" i="17"/>
  <c r="H39" i="17"/>
  <c r="G39" i="17"/>
  <c r="F39" i="17"/>
  <c r="C39" i="17"/>
  <c r="B39" i="17"/>
  <c r="H38" i="17"/>
  <c r="G38" i="17"/>
  <c r="F38" i="17"/>
  <c r="C38" i="17"/>
  <c r="B38" i="17"/>
  <c r="H37" i="17"/>
  <c r="G37" i="17"/>
  <c r="F37" i="17"/>
  <c r="C37" i="17"/>
  <c r="B37" i="17"/>
  <c r="H36" i="17"/>
  <c r="G36" i="17"/>
  <c r="F36" i="17"/>
  <c r="C36" i="17"/>
  <c r="B36" i="17"/>
  <c r="H35" i="17"/>
  <c r="G35" i="17"/>
  <c r="F35" i="17"/>
  <c r="C35" i="17"/>
  <c r="B35" i="17"/>
  <c r="H34" i="17"/>
  <c r="G34" i="17"/>
  <c r="F34" i="17"/>
  <c r="C34" i="17"/>
  <c r="B34" i="17"/>
  <c r="H33" i="17"/>
  <c r="G33" i="17"/>
  <c r="F33" i="17"/>
  <c r="C33" i="17"/>
  <c r="B33" i="17"/>
  <c r="H29" i="17"/>
  <c r="G29" i="17"/>
  <c r="F29" i="17"/>
  <c r="C29" i="17"/>
  <c r="B29" i="17"/>
  <c r="H28" i="17"/>
  <c r="G28" i="17"/>
  <c r="F28" i="17"/>
  <c r="C28" i="17"/>
  <c r="B28" i="17"/>
  <c r="H27" i="17"/>
  <c r="G27" i="17"/>
  <c r="F27" i="17"/>
  <c r="C27" i="17"/>
  <c r="B27" i="17"/>
  <c r="H26" i="17"/>
  <c r="G26" i="17"/>
  <c r="F26" i="17"/>
  <c r="C26" i="17"/>
  <c r="B26" i="17"/>
  <c r="H25" i="17"/>
  <c r="G25" i="17"/>
  <c r="F25" i="17"/>
  <c r="C25" i="17"/>
  <c r="B25" i="17"/>
  <c r="H24" i="17"/>
  <c r="H111" i="19" s="1"/>
  <c r="G24" i="17"/>
  <c r="F24" i="17"/>
  <c r="C24" i="17"/>
  <c r="B24" i="17"/>
  <c r="H23" i="17"/>
  <c r="G23" i="17"/>
  <c r="F23" i="17"/>
  <c r="C23" i="17"/>
  <c r="B23" i="17"/>
  <c r="H22" i="17"/>
  <c r="G22" i="17"/>
  <c r="F22" i="17"/>
  <c r="C22" i="17"/>
  <c r="B22" i="17"/>
  <c r="H21" i="17"/>
  <c r="H108" i="19" s="1"/>
  <c r="G21" i="17"/>
  <c r="G108" i="19" s="1"/>
  <c r="F21" i="17"/>
  <c r="C21" i="17"/>
  <c r="B21" i="17"/>
  <c r="C17" i="17"/>
  <c r="B17" i="17"/>
  <c r="G11" i="17"/>
  <c r="B11" i="17"/>
  <c r="G10" i="17"/>
  <c r="B10" i="17"/>
  <c r="G9" i="17"/>
  <c r="B9" i="17"/>
  <c r="G8" i="17"/>
  <c r="B8" i="17"/>
  <c r="G7" i="17"/>
  <c r="B7" i="17"/>
  <c r="G6" i="17"/>
  <c r="B6" i="17"/>
  <c r="C366" i="19"/>
  <c r="B366" i="19"/>
  <c r="C365" i="19"/>
  <c r="B365" i="19"/>
  <c r="C364" i="19"/>
  <c r="B364" i="19"/>
  <c r="C361" i="19"/>
  <c r="B361" i="19"/>
  <c r="C360" i="19"/>
  <c r="B360" i="19"/>
  <c r="C359" i="19"/>
  <c r="B359" i="19"/>
  <c r="C356" i="19"/>
  <c r="B356" i="19"/>
  <c r="C355" i="19"/>
  <c r="B355" i="19"/>
  <c r="C354" i="19"/>
  <c r="B354" i="19"/>
  <c r="C351" i="19"/>
  <c r="B351" i="19"/>
  <c r="C350" i="19"/>
  <c r="B350" i="19"/>
  <c r="C349" i="19"/>
  <c r="B349" i="19"/>
  <c r="C344" i="19"/>
  <c r="B344" i="19"/>
  <c r="C343" i="19"/>
  <c r="B343" i="19"/>
  <c r="C342" i="19"/>
  <c r="B342" i="19"/>
  <c r="C341" i="19"/>
  <c r="B341" i="19"/>
  <c r="C340" i="19"/>
  <c r="B340" i="19"/>
  <c r="C339" i="19"/>
  <c r="B339" i="19"/>
  <c r="C338" i="19"/>
  <c r="B338" i="19"/>
  <c r="C337" i="19"/>
  <c r="B337" i="19"/>
  <c r="C336" i="19"/>
  <c r="B336" i="19"/>
  <c r="C332" i="19"/>
  <c r="B332" i="19"/>
  <c r="C331" i="19"/>
  <c r="B331" i="19"/>
  <c r="C330" i="19"/>
  <c r="B330" i="19"/>
  <c r="C329" i="19"/>
  <c r="B329" i="19"/>
  <c r="C328" i="19"/>
  <c r="B328" i="19"/>
  <c r="C327" i="19"/>
  <c r="B327" i="19"/>
  <c r="C326" i="19"/>
  <c r="B326" i="19"/>
  <c r="C325" i="19"/>
  <c r="B325" i="19"/>
  <c r="C324" i="19"/>
  <c r="B324" i="19"/>
  <c r="C321" i="19"/>
  <c r="B321" i="19"/>
  <c r="C320" i="19"/>
  <c r="B320" i="19"/>
  <c r="C319" i="19"/>
  <c r="B319" i="19"/>
  <c r="C318" i="19"/>
  <c r="B318" i="19"/>
  <c r="C317" i="19"/>
  <c r="B317" i="19"/>
  <c r="C316" i="19"/>
  <c r="B316" i="19"/>
  <c r="C315" i="19"/>
  <c r="B315" i="19"/>
  <c r="C314" i="19"/>
  <c r="B314" i="19"/>
  <c r="C313" i="19"/>
  <c r="B313" i="19"/>
  <c r="C310" i="19"/>
  <c r="B310" i="19"/>
  <c r="C309" i="19"/>
  <c r="B309" i="19"/>
  <c r="C308" i="19"/>
  <c r="B308" i="19"/>
  <c r="C307" i="19"/>
  <c r="B307" i="19"/>
  <c r="C306" i="19"/>
  <c r="B306" i="19"/>
  <c r="C305" i="19"/>
  <c r="B305" i="19"/>
  <c r="C304" i="19"/>
  <c r="B304" i="19"/>
  <c r="C303" i="19"/>
  <c r="B303" i="19"/>
  <c r="C302" i="19"/>
  <c r="B302" i="19"/>
  <c r="C295" i="19"/>
  <c r="B295" i="19"/>
  <c r="C288" i="19"/>
  <c r="C287" i="19"/>
  <c r="C286" i="19"/>
  <c r="J283" i="19"/>
  <c r="C282" i="19"/>
  <c r="B282" i="19"/>
  <c r="C277" i="19"/>
  <c r="B277" i="19"/>
  <c r="C276" i="19"/>
  <c r="B276" i="19"/>
  <c r="C275" i="19"/>
  <c r="B275" i="19"/>
  <c r="B274" i="19"/>
  <c r="C272" i="19"/>
  <c r="B272" i="19"/>
  <c r="C271" i="19"/>
  <c r="B271" i="19"/>
  <c r="C270" i="19"/>
  <c r="B270" i="19"/>
  <c r="B269" i="19"/>
  <c r="C267" i="19"/>
  <c r="B267" i="19"/>
  <c r="C266" i="19"/>
  <c r="B266" i="19"/>
  <c r="C265" i="19"/>
  <c r="B265" i="19"/>
  <c r="B264" i="19"/>
  <c r="C261" i="19"/>
  <c r="B261" i="19"/>
  <c r="C260" i="19"/>
  <c r="B260" i="19"/>
  <c r="C259" i="19"/>
  <c r="B259" i="19"/>
  <c r="B258" i="19"/>
  <c r="C256" i="19"/>
  <c r="B256" i="19"/>
  <c r="C255" i="19"/>
  <c r="B255" i="19"/>
  <c r="C254" i="19"/>
  <c r="B254" i="19"/>
  <c r="B253" i="19"/>
  <c r="C251" i="19"/>
  <c r="B251" i="19"/>
  <c r="C250" i="19"/>
  <c r="B250" i="19"/>
  <c r="C249" i="19"/>
  <c r="B249" i="19"/>
  <c r="B248" i="19"/>
  <c r="J246" i="19"/>
  <c r="C245" i="19"/>
  <c r="B245" i="19"/>
  <c r="C240" i="19"/>
  <c r="B240" i="19"/>
  <c r="C239" i="19"/>
  <c r="B239" i="19"/>
  <c r="C238" i="19"/>
  <c r="B238" i="19"/>
  <c r="C237" i="19"/>
  <c r="B237" i="19"/>
  <c r="C236" i="19"/>
  <c r="B236" i="19"/>
  <c r="C235" i="19"/>
  <c r="B235" i="19"/>
  <c r="C234" i="19"/>
  <c r="B234" i="19"/>
  <c r="C233" i="19"/>
  <c r="B233" i="19"/>
  <c r="C232" i="19"/>
  <c r="B232" i="19"/>
  <c r="B231" i="19"/>
  <c r="C229" i="19"/>
  <c r="B229" i="19"/>
  <c r="C228" i="19"/>
  <c r="B228" i="19"/>
  <c r="C227" i="19"/>
  <c r="B227" i="19"/>
  <c r="C226" i="19"/>
  <c r="B226" i="19"/>
  <c r="C225" i="19"/>
  <c r="B225" i="19"/>
  <c r="C224" i="19"/>
  <c r="B224" i="19"/>
  <c r="C223" i="19"/>
  <c r="B223" i="19"/>
  <c r="C222" i="19"/>
  <c r="B222" i="19"/>
  <c r="C221" i="19"/>
  <c r="B221" i="19"/>
  <c r="B220" i="19"/>
  <c r="C218" i="19"/>
  <c r="B218" i="19"/>
  <c r="C217" i="19"/>
  <c r="B217" i="19"/>
  <c r="C216" i="19"/>
  <c r="B216" i="19"/>
  <c r="C215" i="19"/>
  <c r="B215" i="19"/>
  <c r="C214" i="19"/>
  <c r="B214" i="19"/>
  <c r="C213" i="19"/>
  <c r="B213" i="19"/>
  <c r="C212" i="19"/>
  <c r="B212" i="19"/>
  <c r="C211" i="19"/>
  <c r="B211" i="19"/>
  <c r="C210" i="19"/>
  <c r="B210" i="19"/>
  <c r="B209" i="19"/>
  <c r="C206" i="19"/>
  <c r="B206" i="19"/>
  <c r="C201" i="19"/>
  <c r="B201" i="19"/>
  <c r="C200" i="19"/>
  <c r="B200" i="19"/>
  <c r="C199" i="19"/>
  <c r="B199" i="19"/>
  <c r="C198" i="19"/>
  <c r="B198" i="19"/>
  <c r="C197" i="19"/>
  <c r="B197" i="19"/>
  <c r="C196" i="19"/>
  <c r="B196" i="19"/>
  <c r="C195" i="19"/>
  <c r="B195" i="19"/>
  <c r="C194" i="19"/>
  <c r="B194" i="19"/>
  <c r="C193" i="19"/>
  <c r="B193" i="19"/>
  <c r="B192" i="19"/>
  <c r="C190" i="19"/>
  <c r="B190" i="19"/>
  <c r="C189" i="19"/>
  <c r="B189" i="19"/>
  <c r="C188" i="19"/>
  <c r="B188" i="19"/>
  <c r="C187" i="19"/>
  <c r="B187" i="19"/>
  <c r="C186" i="19"/>
  <c r="B186" i="19"/>
  <c r="C185" i="19"/>
  <c r="B185" i="19"/>
  <c r="C184" i="19"/>
  <c r="B184" i="19"/>
  <c r="C183" i="19"/>
  <c r="B183" i="19"/>
  <c r="C182" i="19"/>
  <c r="B182" i="19"/>
  <c r="B181" i="19"/>
  <c r="C179" i="19"/>
  <c r="B179" i="19"/>
  <c r="C178" i="19"/>
  <c r="B178" i="19"/>
  <c r="C177" i="19"/>
  <c r="B177" i="19"/>
  <c r="C176" i="19"/>
  <c r="B176" i="19"/>
  <c r="C175" i="19"/>
  <c r="B175" i="19"/>
  <c r="C174" i="19"/>
  <c r="B174" i="19"/>
  <c r="C173" i="19"/>
  <c r="B173" i="19"/>
  <c r="C172" i="19"/>
  <c r="B172" i="19"/>
  <c r="B171" i="19"/>
  <c r="B170" i="19"/>
  <c r="C167" i="19"/>
  <c r="B167" i="19"/>
  <c r="C160" i="19"/>
  <c r="B160" i="19"/>
  <c r="C159" i="19"/>
  <c r="B159" i="19"/>
  <c r="C158" i="19"/>
  <c r="B158" i="19"/>
  <c r="F155" i="19"/>
  <c r="C155" i="19"/>
  <c r="B155" i="19"/>
  <c r="F154" i="19"/>
  <c r="C154" i="19"/>
  <c r="B154" i="19"/>
  <c r="F153" i="19"/>
  <c r="C153" i="19"/>
  <c r="B153" i="19"/>
  <c r="F150" i="19"/>
  <c r="C150" i="19"/>
  <c r="B150" i="19"/>
  <c r="F149" i="19"/>
  <c r="C149" i="19"/>
  <c r="B149" i="19"/>
  <c r="B148" i="19"/>
  <c r="L146" i="19"/>
  <c r="H146" i="19"/>
  <c r="G146" i="19"/>
  <c r="F146" i="19"/>
  <c r="L145" i="19"/>
  <c r="H145" i="19"/>
  <c r="F145" i="19"/>
  <c r="K144" i="19"/>
  <c r="C144" i="19"/>
  <c r="B144" i="19"/>
  <c r="M138" i="19"/>
  <c r="C138" i="19"/>
  <c r="B138" i="19"/>
  <c r="F137" i="19"/>
  <c r="C137" i="19"/>
  <c r="B137" i="19"/>
  <c r="F136" i="19"/>
  <c r="C136" i="19"/>
  <c r="B136" i="19"/>
  <c r="M135" i="19"/>
  <c r="C135" i="19"/>
  <c r="B135" i="19"/>
  <c r="M134" i="19"/>
  <c r="C134" i="19"/>
  <c r="B134" i="19"/>
  <c r="M133" i="19"/>
  <c r="C133" i="19"/>
  <c r="B133" i="19"/>
  <c r="M132" i="19"/>
  <c r="C132" i="19"/>
  <c r="B132" i="19"/>
  <c r="M131" i="19"/>
  <c r="C131" i="19"/>
  <c r="B131" i="19"/>
  <c r="F130" i="19"/>
  <c r="C130" i="19"/>
  <c r="B130" i="19"/>
  <c r="B129" i="19"/>
  <c r="M127" i="19"/>
  <c r="C127" i="19"/>
  <c r="B127" i="19"/>
  <c r="F126" i="19"/>
  <c r="C126" i="19"/>
  <c r="B126" i="19"/>
  <c r="F125" i="19"/>
  <c r="C125" i="19"/>
  <c r="B125" i="19"/>
  <c r="M124" i="19"/>
  <c r="C124" i="19"/>
  <c r="B124" i="19"/>
  <c r="M123" i="19"/>
  <c r="C123" i="19"/>
  <c r="B123" i="19"/>
  <c r="M122" i="19"/>
  <c r="C122" i="19"/>
  <c r="B122" i="19"/>
  <c r="M121" i="19"/>
  <c r="C121" i="19"/>
  <c r="B121" i="19"/>
  <c r="M120" i="19"/>
  <c r="C120" i="19"/>
  <c r="B120" i="19"/>
  <c r="F119" i="19"/>
  <c r="C119" i="19"/>
  <c r="B119" i="19"/>
  <c r="B118" i="19"/>
  <c r="K116" i="19"/>
  <c r="M116" i="19" s="1"/>
  <c r="G116" i="19"/>
  <c r="C116" i="19"/>
  <c r="B116" i="19"/>
  <c r="F115" i="19"/>
  <c r="C115" i="19"/>
  <c r="B115" i="19"/>
  <c r="F114" i="19"/>
  <c r="C114" i="19"/>
  <c r="B114" i="19"/>
  <c r="M113" i="19"/>
  <c r="C113" i="19"/>
  <c r="B113" i="19"/>
  <c r="M112" i="19"/>
  <c r="C112" i="19"/>
  <c r="B112" i="19"/>
  <c r="M111" i="19"/>
  <c r="C111" i="19"/>
  <c r="B111" i="19"/>
  <c r="M110" i="19"/>
  <c r="C110" i="19"/>
  <c r="B110" i="19"/>
  <c r="M109" i="19"/>
  <c r="C109" i="19"/>
  <c r="B109" i="19"/>
  <c r="F108" i="19"/>
  <c r="C108" i="19"/>
  <c r="B108" i="19"/>
  <c r="B107" i="19"/>
  <c r="L106" i="19"/>
  <c r="H106" i="19"/>
  <c r="G106" i="19"/>
  <c r="F106" i="19"/>
  <c r="L105" i="19"/>
  <c r="H105" i="19"/>
  <c r="F105" i="19"/>
  <c r="K105" i="19" s="1"/>
  <c r="K104" i="19"/>
  <c r="C104" i="19"/>
  <c r="B104" i="19"/>
  <c r="C98" i="19"/>
  <c r="B98" i="19"/>
  <c r="F97" i="19"/>
  <c r="C97" i="19"/>
  <c r="B97" i="19"/>
  <c r="F96" i="19"/>
  <c r="C96" i="19"/>
  <c r="B96" i="19"/>
  <c r="F95" i="19"/>
  <c r="F54" i="19" s="1"/>
  <c r="C95" i="19"/>
  <c r="B95" i="19"/>
  <c r="F94" i="19"/>
  <c r="F53" i="19" s="1"/>
  <c r="C94" i="19"/>
  <c r="B94" i="19"/>
  <c r="F93" i="19"/>
  <c r="F52" i="19" s="1"/>
  <c r="C93" i="19"/>
  <c r="B93" i="19"/>
  <c r="F92" i="19"/>
  <c r="F51" i="19" s="1"/>
  <c r="C92" i="19"/>
  <c r="B92" i="19"/>
  <c r="F91" i="19"/>
  <c r="F50" i="19" s="1"/>
  <c r="C91" i="19"/>
  <c r="B91" i="19"/>
  <c r="F90" i="19"/>
  <c r="C90" i="19"/>
  <c r="B90" i="19"/>
  <c r="B89" i="19"/>
  <c r="F87" i="19"/>
  <c r="F46" i="19" s="1"/>
  <c r="C87" i="19"/>
  <c r="B87" i="19"/>
  <c r="F86" i="19"/>
  <c r="C86" i="19"/>
  <c r="B86" i="19"/>
  <c r="F85" i="19"/>
  <c r="C85" i="19"/>
  <c r="B85" i="19"/>
  <c r="F84" i="19"/>
  <c r="F43" i="19" s="1"/>
  <c r="C84" i="19"/>
  <c r="B84" i="19"/>
  <c r="F83" i="19"/>
  <c r="F42" i="19" s="1"/>
  <c r="C83" i="19"/>
  <c r="B83" i="19"/>
  <c r="F82" i="19"/>
  <c r="F41" i="19" s="1"/>
  <c r="C82" i="19"/>
  <c r="B82" i="19"/>
  <c r="F81" i="19"/>
  <c r="F40" i="19" s="1"/>
  <c r="C81" i="19"/>
  <c r="B81" i="19"/>
  <c r="F80" i="19"/>
  <c r="F39" i="19" s="1"/>
  <c r="C80" i="19"/>
  <c r="B80" i="19"/>
  <c r="F79" i="19"/>
  <c r="C79" i="19"/>
  <c r="B79" i="19"/>
  <c r="B78" i="19"/>
  <c r="C76" i="19"/>
  <c r="B76" i="19"/>
  <c r="F75" i="19"/>
  <c r="C75" i="19"/>
  <c r="B75" i="19"/>
  <c r="F74" i="19"/>
  <c r="C74" i="19"/>
  <c r="B74" i="19"/>
  <c r="F73" i="19"/>
  <c r="F32" i="19" s="1"/>
  <c r="C73" i="19"/>
  <c r="B73" i="19"/>
  <c r="F72" i="19"/>
  <c r="F31" i="19" s="1"/>
  <c r="C72" i="19"/>
  <c r="B72" i="19"/>
  <c r="F71" i="19"/>
  <c r="F30" i="19" s="1"/>
  <c r="C71" i="19"/>
  <c r="B71" i="19"/>
  <c r="F70" i="19"/>
  <c r="F29" i="19" s="1"/>
  <c r="C70" i="19"/>
  <c r="B70" i="19"/>
  <c r="F69" i="19"/>
  <c r="F28" i="19" s="1"/>
  <c r="C69" i="19"/>
  <c r="B69" i="19"/>
  <c r="F68" i="19"/>
  <c r="C68" i="19"/>
  <c r="B68" i="19"/>
  <c r="B67" i="19"/>
  <c r="L66" i="19"/>
  <c r="H66" i="19"/>
  <c r="G66" i="19"/>
  <c r="F66" i="19"/>
  <c r="L65" i="19"/>
  <c r="H65" i="19"/>
  <c r="F65" i="19"/>
  <c r="K65" i="19" s="1"/>
  <c r="C64" i="19"/>
  <c r="B64" i="19"/>
  <c r="F57" i="19"/>
  <c r="C57" i="19"/>
  <c r="B57" i="19"/>
  <c r="C56" i="19"/>
  <c r="B56" i="19"/>
  <c r="C55" i="19"/>
  <c r="B55" i="19"/>
  <c r="C54" i="19"/>
  <c r="B54" i="19"/>
  <c r="C53" i="19"/>
  <c r="B53" i="19"/>
  <c r="C52" i="19"/>
  <c r="B52" i="19"/>
  <c r="C51" i="19"/>
  <c r="B51" i="19"/>
  <c r="C50" i="19"/>
  <c r="B50" i="19"/>
  <c r="C49" i="19"/>
  <c r="B49" i="19"/>
  <c r="C46" i="19"/>
  <c r="B46" i="19"/>
  <c r="C45" i="19"/>
  <c r="B45" i="19"/>
  <c r="C44" i="19"/>
  <c r="B44" i="19"/>
  <c r="C43" i="19"/>
  <c r="B43" i="19"/>
  <c r="C42" i="19"/>
  <c r="B42" i="19"/>
  <c r="C41" i="19"/>
  <c r="B41" i="19"/>
  <c r="C40" i="19"/>
  <c r="B40" i="19"/>
  <c r="C39" i="19"/>
  <c r="B39" i="19"/>
  <c r="C38" i="19"/>
  <c r="B38" i="19"/>
  <c r="F35" i="19"/>
  <c r="C35" i="19"/>
  <c r="B35" i="19"/>
  <c r="C34" i="19"/>
  <c r="B34" i="19"/>
  <c r="C33" i="19"/>
  <c r="B33" i="19"/>
  <c r="C32" i="19"/>
  <c r="B32" i="19"/>
  <c r="C31" i="19"/>
  <c r="B31" i="19"/>
  <c r="C30" i="19"/>
  <c r="B30" i="19"/>
  <c r="C29" i="19"/>
  <c r="B29" i="19"/>
  <c r="C28" i="19"/>
  <c r="B28" i="19"/>
  <c r="B27" i="19"/>
  <c r="H25" i="19"/>
  <c r="G25" i="19"/>
  <c r="F25" i="19"/>
  <c r="O25" i="19" s="1"/>
  <c r="L24" i="19"/>
  <c r="P24" i="19" s="1"/>
  <c r="P65" i="19" s="1"/>
  <c r="P105" i="19" s="1"/>
  <c r="P145" i="19" s="1"/>
  <c r="K24" i="19"/>
  <c r="O24" i="19" s="1"/>
  <c r="O65" i="19" s="1"/>
  <c r="O105" i="19" s="1"/>
  <c r="O145" i="19" s="1"/>
  <c r="C23" i="19"/>
  <c r="B23" i="19"/>
  <c r="J17" i="19"/>
  <c r="B17" i="19"/>
  <c r="B16" i="19"/>
  <c r="J15" i="19"/>
  <c r="B15" i="19"/>
  <c r="J14" i="19"/>
  <c r="B14" i="19"/>
  <c r="J13" i="19"/>
  <c r="B13" i="19"/>
  <c r="J12" i="19"/>
  <c r="B12" i="19"/>
  <c r="B11" i="19"/>
  <c r="J10" i="19"/>
  <c r="B10" i="19"/>
  <c r="J9" i="19"/>
  <c r="B9" i="19"/>
  <c r="J8" i="19"/>
  <c r="B8" i="19"/>
  <c r="J7" i="19"/>
  <c r="B7" i="19"/>
  <c r="B6" i="19"/>
  <c r="H103" i="25"/>
  <c r="G103" i="25"/>
  <c r="C103" i="25"/>
  <c r="B103" i="25"/>
  <c r="H102" i="25"/>
  <c r="G102" i="25"/>
  <c r="F102" i="25"/>
  <c r="C102" i="25"/>
  <c r="B102" i="25"/>
  <c r="H101" i="25"/>
  <c r="C101" i="25"/>
  <c r="B101" i="25"/>
  <c r="C98" i="25"/>
  <c r="B98" i="25"/>
  <c r="C97" i="25"/>
  <c r="B97" i="25"/>
  <c r="C96" i="25"/>
  <c r="B96" i="25"/>
  <c r="C93" i="25"/>
  <c r="B93" i="25"/>
  <c r="C92" i="25"/>
  <c r="B92" i="25"/>
  <c r="C91" i="25"/>
  <c r="B91" i="25"/>
  <c r="M88" i="25"/>
  <c r="L88" i="25"/>
  <c r="H88" i="25"/>
  <c r="G88" i="25"/>
  <c r="F88" i="25"/>
  <c r="C87" i="25"/>
  <c r="B87" i="25"/>
  <c r="C81" i="25"/>
  <c r="B81" i="25"/>
  <c r="C80" i="25"/>
  <c r="B80" i="25"/>
  <c r="C79" i="25"/>
  <c r="B79" i="25"/>
  <c r="C76" i="25"/>
  <c r="B76" i="25"/>
  <c r="C75" i="25"/>
  <c r="B75" i="25"/>
  <c r="C74" i="25"/>
  <c r="B74" i="25"/>
  <c r="C71" i="25"/>
  <c r="B71" i="25"/>
  <c r="C70" i="25"/>
  <c r="B70" i="25"/>
  <c r="C69" i="25"/>
  <c r="B69" i="25"/>
  <c r="M66" i="25"/>
  <c r="L66" i="25"/>
  <c r="H66" i="25"/>
  <c r="G66" i="25"/>
  <c r="F66" i="25"/>
  <c r="C65" i="25"/>
  <c r="B65" i="25"/>
  <c r="C60" i="25"/>
  <c r="B60" i="25"/>
  <c r="C59" i="25"/>
  <c r="B59" i="25"/>
  <c r="C58" i="25"/>
  <c r="B58" i="25"/>
  <c r="C57" i="25"/>
  <c r="B57" i="25"/>
  <c r="C56" i="25"/>
  <c r="B56" i="25"/>
  <c r="C55" i="25"/>
  <c r="B55" i="25"/>
  <c r="C54" i="25"/>
  <c r="B54" i="25"/>
  <c r="C53" i="25"/>
  <c r="B53" i="25"/>
  <c r="C52" i="25"/>
  <c r="B52" i="25"/>
  <c r="M49" i="25"/>
  <c r="L49" i="25"/>
  <c r="H49" i="25"/>
  <c r="G49" i="25"/>
  <c r="F49" i="25"/>
  <c r="C48" i="25"/>
  <c r="B48" i="25"/>
  <c r="C43" i="25"/>
  <c r="B43" i="25"/>
  <c r="C42" i="25"/>
  <c r="B42" i="25"/>
  <c r="C41" i="25"/>
  <c r="B41" i="25"/>
  <c r="C40" i="25"/>
  <c r="B40" i="25"/>
  <c r="C39" i="25"/>
  <c r="B39" i="25"/>
  <c r="C38" i="25"/>
  <c r="B38" i="25"/>
  <c r="C37" i="25"/>
  <c r="B37" i="25"/>
  <c r="C36" i="25"/>
  <c r="B36" i="25"/>
  <c r="C35" i="25"/>
  <c r="B35" i="25"/>
  <c r="M32" i="25"/>
  <c r="L32" i="25"/>
  <c r="H32" i="25"/>
  <c r="G32" i="25"/>
  <c r="F32" i="25"/>
  <c r="C31" i="25"/>
  <c r="B31" i="25"/>
  <c r="C26" i="25"/>
  <c r="B26" i="25"/>
  <c r="C25" i="25"/>
  <c r="B25" i="25"/>
  <c r="C24" i="25"/>
  <c r="B24" i="25"/>
  <c r="C23" i="25"/>
  <c r="B23" i="25"/>
  <c r="C22" i="25"/>
  <c r="B22" i="25"/>
  <c r="C21" i="25"/>
  <c r="B21" i="25"/>
  <c r="C20" i="25"/>
  <c r="B20" i="25"/>
  <c r="C19" i="25"/>
  <c r="B19" i="25"/>
  <c r="C18" i="25"/>
  <c r="B18" i="25"/>
  <c r="F15" i="25"/>
  <c r="G15" i="25" s="1"/>
  <c r="H15" i="25" s="1"/>
  <c r="I15" i="25" s="1"/>
  <c r="C14" i="25"/>
  <c r="B14" i="25"/>
  <c r="E10" i="25"/>
  <c r="B10" i="25"/>
  <c r="E9" i="25"/>
  <c r="B9" i="25"/>
  <c r="E8" i="25"/>
  <c r="B8" i="25"/>
  <c r="E7" i="25"/>
  <c r="B7" i="25"/>
  <c r="E6" i="25"/>
  <c r="B6" i="25"/>
  <c r="C147" i="14"/>
  <c r="B147" i="14"/>
  <c r="C146" i="14"/>
  <c r="B146" i="14"/>
  <c r="C145" i="14"/>
  <c r="B145" i="14"/>
  <c r="C142" i="14"/>
  <c r="B142" i="14"/>
  <c r="C141" i="14"/>
  <c r="B141" i="14"/>
  <c r="C140" i="14"/>
  <c r="B140" i="14"/>
  <c r="C137" i="14"/>
  <c r="B137" i="14"/>
  <c r="C136" i="14"/>
  <c r="B136" i="14"/>
  <c r="C135" i="14"/>
  <c r="B135" i="14"/>
  <c r="C132" i="14"/>
  <c r="C131" i="14"/>
  <c r="C130" i="14"/>
  <c r="C125" i="14"/>
  <c r="B125" i="14"/>
  <c r="C119" i="14"/>
  <c r="B119" i="14"/>
  <c r="C118" i="14"/>
  <c r="B118" i="14"/>
  <c r="C117" i="14"/>
  <c r="B117" i="14"/>
  <c r="C116" i="14"/>
  <c r="B116" i="14"/>
  <c r="C115" i="14"/>
  <c r="B115" i="14"/>
  <c r="C114" i="14"/>
  <c r="B114" i="14"/>
  <c r="C113" i="14"/>
  <c r="B113" i="14"/>
  <c r="C112" i="14"/>
  <c r="B112" i="14"/>
  <c r="B111" i="14"/>
  <c r="C106" i="14"/>
  <c r="B106" i="14"/>
  <c r="C100" i="14"/>
  <c r="B100" i="14"/>
  <c r="C99" i="14"/>
  <c r="B99" i="14"/>
  <c r="C98" i="14"/>
  <c r="B98" i="14"/>
  <c r="C97" i="14"/>
  <c r="B97" i="14"/>
  <c r="C96" i="14"/>
  <c r="B96" i="14"/>
  <c r="C95" i="14"/>
  <c r="B95" i="14"/>
  <c r="C94" i="14"/>
  <c r="B94" i="14"/>
  <c r="C93" i="14"/>
  <c r="B93" i="14"/>
  <c r="C92" i="14"/>
  <c r="B92" i="14"/>
  <c r="C88" i="14"/>
  <c r="B88" i="14"/>
  <c r="C87" i="14"/>
  <c r="B87" i="14"/>
  <c r="C86" i="14"/>
  <c r="B86" i="14"/>
  <c r="C85" i="14"/>
  <c r="B85" i="14"/>
  <c r="C84" i="14"/>
  <c r="B84" i="14"/>
  <c r="C83" i="14"/>
  <c r="B83" i="14"/>
  <c r="C82" i="14"/>
  <c r="B82" i="14"/>
  <c r="C81" i="14"/>
  <c r="B81" i="14"/>
  <c r="C80" i="14"/>
  <c r="B80" i="14"/>
  <c r="H77" i="14"/>
  <c r="G77" i="14"/>
  <c r="F77" i="14"/>
  <c r="C76" i="14"/>
  <c r="B76" i="14"/>
  <c r="C71" i="14"/>
  <c r="B71" i="14"/>
  <c r="C70" i="14"/>
  <c r="B70" i="14"/>
  <c r="C69" i="14"/>
  <c r="B69" i="14"/>
  <c r="C65" i="14"/>
  <c r="B65" i="14"/>
  <c r="C64" i="14"/>
  <c r="B64" i="14"/>
  <c r="C63" i="14"/>
  <c r="B63" i="14"/>
  <c r="C62" i="14"/>
  <c r="B62" i="14"/>
  <c r="C61" i="14"/>
  <c r="B61" i="14"/>
  <c r="C60" i="14"/>
  <c r="B60" i="14"/>
  <c r="C59" i="14"/>
  <c r="B59" i="14"/>
  <c r="C58" i="14"/>
  <c r="B58" i="14"/>
  <c r="C57" i="14"/>
  <c r="B57" i="14"/>
  <c r="C53" i="14"/>
  <c r="B53" i="14"/>
  <c r="C52" i="14"/>
  <c r="B52" i="14"/>
  <c r="C51" i="14"/>
  <c r="B51" i="14"/>
  <c r="C50" i="14"/>
  <c r="B50" i="14"/>
  <c r="C49" i="14"/>
  <c r="B49" i="14"/>
  <c r="C48" i="14"/>
  <c r="B48" i="14"/>
  <c r="C47" i="14"/>
  <c r="B47" i="14"/>
  <c r="C46" i="14"/>
  <c r="B46" i="14"/>
  <c r="C45" i="14"/>
  <c r="B45" i="14"/>
  <c r="C41" i="14"/>
  <c r="C40" i="14"/>
  <c r="C39" i="14"/>
  <c r="C38" i="14"/>
  <c r="C37" i="14"/>
  <c r="C36" i="14"/>
  <c r="C35" i="14"/>
  <c r="C34" i="14"/>
  <c r="H29" i="14"/>
  <c r="G29" i="14"/>
  <c r="B28" i="14"/>
  <c r="H16" i="14"/>
  <c r="G16" i="14"/>
  <c r="F16" i="14"/>
  <c r="C15" i="14"/>
  <c r="C40" i="33" s="1"/>
  <c r="F10" i="14"/>
  <c r="B10" i="14"/>
  <c r="F9" i="14"/>
  <c r="B9" i="14"/>
  <c r="F8" i="14"/>
  <c r="B8" i="14"/>
  <c r="F7" i="14"/>
  <c r="B7" i="14"/>
  <c r="F6" i="14"/>
  <c r="B6" i="14"/>
  <c r="C126" i="24"/>
  <c r="B126" i="24"/>
  <c r="C125" i="24"/>
  <c r="B125" i="24"/>
  <c r="C124" i="24"/>
  <c r="B124" i="24"/>
  <c r="C121" i="24"/>
  <c r="B121" i="24"/>
  <c r="C120" i="24"/>
  <c r="B120" i="24"/>
  <c r="AA117" i="24"/>
  <c r="C116" i="24"/>
  <c r="B116" i="24"/>
  <c r="C110" i="24"/>
  <c r="B110" i="24"/>
  <c r="C109" i="24"/>
  <c r="B109" i="24"/>
  <c r="C108" i="24"/>
  <c r="B108" i="24"/>
  <c r="C107" i="24"/>
  <c r="B107" i="24"/>
  <c r="C106" i="24"/>
  <c r="B106" i="24"/>
  <c r="C105" i="24"/>
  <c r="B105" i="24"/>
  <c r="C104" i="24"/>
  <c r="B104" i="24"/>
  <c r="C103" i="24"/>
  <c r="B103" i="24"/>
  <c r="C102" i="24"/>
  <c r="B102" i="24"/>
  <c r="C99" i="24"/>
  <c r="B99" i="24"/>
  <c r="C98" i="24"/>
  <c r="B98" i="24"/>
  <c r="C97" i="24"/>
  <c r="B97" i="24"/>
  <c r="C96" i="24"/>
  <c r="B96" i="24"/>
  <c r="C95" i="24"/>
  <c r="B95" i="24"/>
  <c r="C94" i="24"/>
  <c r="B94" i="24"/>
  <c r="C93" i="24"/>
  <c r="B93" i="24"/>
  <c r="C92" i="24"/>
  <c r="B92" i="24"/>
  <c r="C91" i="24"/>
  <c r="B91" i="24"/>
  <c r="C88" i="24"/>
  <c r="B88" i="24"/>
  <c r="C87" i="24"/>
  <c r="B87" i="24"/>
  <c r="C86" i="24"/>
  <c r="B86" i="24"/>
  <c r="C85" i="24"/>
  <c r="B85" i="24"/>
  <c r="C84" i="24"/>
  <c r="B84" i="24"/>
  <c r="C83" i="24"/>
  <c r="B83" i="24"/>
  <c r="C82" i="24"/>
  <c r="B82" i="24"/>
  <c r="C81" i="24"/>
  <c r="B81" i="24"/>
  <c r="C80" i="24"/>
  <c r="C91" i="17" s="1"/>
  <c r="B80" i="24"/>
  <c r="AB76" i="24"/>
  <c r="C76" i="24"/>
  <c r="B76" i="24"/>
  <c r="C71" i="24"/>
  <c r="B71" i="24"/>
  <c r="C70" i="24"/>
  <c r="B70" i="24"/>
  <c r="C69" i="24"/>
  <c r="B69" i="24"/>
  <c r="C68" i="24"/>
  <c r="B68" i="24"/>
  <c r="C67" i="24"/>
  <c r="B67" i="24"/>
  <c r="C66" i="24"/>
  <c r="B66" i="24"/>
  <c r="C65" i="24"/>
  <c r="B65" i="24"/>
  <c r="C64" i="24"/>
  <c r="B64" i="24"/>
  <c r="C63" i="24"/>
  <c r="B63" i="24"/>
  <c r="C60" i="24"/>
  <c r="B60" i="24"/>
  <c r="C59" i="24"/>
  <c r="B59" i="24"/>
  <c r="C58" i="24"/>
  <c r="B58" i="24"/>
  <c r="C57" i="24"/>
  <c r="B57" i="24"/>
  <c r="C56" i="24"/>
  <c r="B56" i="24"/>
  <c r="C55" i="24"/>
  <c r="B55" i="24"/>
  <c r="C54" i="24"/>
  <c r="B54" i="24"/>
  <c r="C53" i="24"/>
  <c r="B53" i="24"/>
  <c r="C52" i="24"/>
  <c r="B52" i="24"/>
  <c r="C49" i="24"/>
  <c r="B49" i="24"/>
  <c r="C48" i="24"/>
  <c r="B48" i="24"/>
  <c r="C47" i="24"/>
  <c r="B47" i="24"/>
  <c r="C46" i="24"/>
  <c r="B46" i="24"/>
  <c r="C45" i="24"/>
  <c r="B45" i="24"/>
  <c r="C44" i="24"/>
  <c r="B44" i="24"/>
  <c r="C43" i="24"/>
  <c r="B43" i="24"/>
  <c r="C42" i="24"/>
  <c r="B42" i="24"/>
  <c r="C41" i="24"/>
  <c r="B41" i="24"/>
  <c r="AA39" i="24"/>
  <c r="AA77" i="24" s="1"/>
  <c r="N39" i="24"/>
  <c r="N77" i="24" s="1"/>
  <c r="F39" i="24"/>
  <c r="F77" i="24" s="1"/>
  <c r="C38" i="24"/>
  <c r="B38" i="24"/>
  <c r="C33" i="24"/>
  <c r="C32" i="24"/>
  <c r="C28" i="24"/>
  <c r="B28" i="24"/>
  <c r="C27" i="24"/>
  <c r="B27" i="24"/>
  <c r="C26" i="24"/>
  <c r="B26" i="24"/>
  <c r="C25" i="24"/>
  <c r="B25" i="24"/>
  <c r="C24" i="24"/>
  <c r="B24" i="24"/>
  <c r="C23" i="24"/>
  <c r="B23" i="24"/>
  <c r="C22" i="24"/>
  <c r="B22" i="24"/>
  <c r="C21" i="24"/>
  <c r="B21" i="24"/>
  <c r="B20" i="24"/>
  <c r="Z17" i="24"/>
  <c r="Z39" i="24" s="1"/>
  <c r="Z77" i="24" s="1"/>
  <c r="Y17" i="24"/>
  <c r="Y39" i="24" s="1"/>
  <c r="Y77" i="24" s="1"/>
  <c r="X17" i="24"/>
  <c r="X39" i="24" s="1"/>
  <c r="X77" i="24" s="1"/>
  <c r="W17" i="24"/>
  <c r="W39" i="24" s="1"/>
  <c r="W77" i="24" s="1"/>
  <c r="V17" i="24"/>
  <c r="V39" i="24" s="1"/>
  <c r="V77" i="24" s="1"/>
  <c r="U17" i="24"/>
  <c r="U39" i="24" s="1"/>
  <c r="U77" i="24" s="1"/>
  <c r="T17" i="24"/>
  <c r="T39" i="24" s="1"/>
  <c r="T77" i="24" s="1"/>
  <c r="S17" i="24"/>
  <c r="S39" i="24" s="1"/>
  <c r="S77" i="24" s="1"/>
  <c r="R17" i="24"/>
  <c r="R39" i="24" s="1"/>
  <c r="R77" i="24" s="1"/>
  <c r="Q17" i="24"/>
  <c r="Q39" i="24" s="1"/>
  <c r="Q77" i="24" s="1"/>
  <c r="P17" i="24"/>
  <c r="P39" i="24" s="1"/>
  <c r="P77" i="24" s="1"/>
  <c r="O17" i="24"/>
  <c r="O39" i="24" s="1"/>
  <c r="O77" i="24" s="1"/>
  <c r="N17" i="24"/>
  <c r="M17" i="24"/>
  <c r="M39" i="24" s="1"/>
  <c r="M77" i="24" s="1"/>
  <c r="L17" i="24"/>
  <c r="L39" i="24" s="1"/>
  <c r="L77" i="24" s="1"/>
  <c r="K17" i="24"/>
  <c r="K39" i="24" s="1"/>
  <c r="K77" i="24" s="1"/>
  <c r="J17" i="24"/>
  <c r="J39" i="24" s="1"/>
  <c r="J77" i="24" s="1"/>
  <c r="I17" i="24"/>
  <c r="I39" i="24" s="1"/>
  <c r="I77" i="24" s="1"/>
  <c r="H17" i="24"/>
  <c r="H39" i="24" s="1"/>
  <c r="H77" i="24" s="1"/>
  <c r="G17" i="24"/>
  <c r="G39" i="24" s="1"/>
  <c r="G77" i="24" s="1"/>
  <c r="AA15" i="24"/>
  <c r="Z15" i="24" s="1"/>
  <c r="Z11" i="24"/>
  <c r="B11" i="24"/>
  <c r="Z10" i="24"/>
  <c r="B10" i="24"/>
  <c r="Z9" i="24"/>
  <c r="B9" i="24"/>
  <c r="Z8" i="24"/>
  <c r="B8" i="24"/>
  <c r="F44" i="33" l="1"/>
  <c r="G44" i="33" s="1"/>
  <c r="P25" i="19"/>
  <c r="O66" i="19"/>
  <c r="O146" i="19"/>
  <c r="O106" i="19"/>
  <c r="G109" i="19"/>
  <c r="L111" i="19"/>
  <c r="K146" i="19"/>
  <c r="Q108" i="19"/>
  <c r="H144" i="19"/>
  <c r="AC116" i="24"/>
  <c r="F44" i="19"/>
  <c r="H211" i="17"/>
  <c r="H112" i="19"/>
  <c r="F55" i="19"/>
  <c r="F23" i="19"/>
  <c r="F64" i="19"/>
  <c r="H125" i="14"/>
  <c r="K29" i="19"/>
  <c r="K31" i="19"/>
  <c r="M76" i="19"/>
  <c r="K50" i="19"/>
  <c r="K52" i="19"/>
  <c r="K54" i="19"/>
  <c r="G76" i="19"/>
  <c r="F172" i="17"/>
  <c r="G175" i="17"/>
  <c r="G71" i="19" s="1"/>
  <c r="H166" i="17"/>
  <c r="F180" i="17"/>
  <c r="G23" i="19"/>
  <c r="G64" i="19"/>
  <c r="H48" i="25"/>
  <c r="G160" i="17"/>
  <c r="H163" i="17"/>
  <c r="F165" i="17"/>
  <c r="G168" i="17"/>
  <c r="H128" i="17"/>
  <c r="H64" i="19"/>
  <c r="H23" i="19"/>
  <c r="H76" i="14"/>
  <c r="K39" i="19"/>
  <c r="H172" i="17"/>
  <c r="H68" i="19" s="1"/>
  <c r="F174" i="17"/>
  <c r="G165" i="17"/>
  <c r="H168" i="17"/>
  <c r="H31" i="25"/>
  <c r="G162" i="17"/>
  <c r="H165" i="17"/>
  <c r="F167" i="17"/>
  <c r="H106" i="14"/>
  <c r="K28" i="19"/>
  <c r="K30" i="19"/>
  <c r="K32" i="19"/>
  <c r="K51" i="19"/>
  <c r="K53" i="19"/>
  <c r="K57" i="19"/>
  <c r="M57" i="19" s="1"/>
  <c r="H162" i="17"/>
  <c r="F176" i="17"/>
  <c r="G167" i="17"/>
  <c r="H87" i="25"/>
  <c r="F173" i="17"/>
  <c r="G164" i="17"/>
  <c r="H167" i="17"/>
  <c r="K40" i="19"/>
  <c r="K44" i="19"/>
  <c r="K46" i="19"/>
  <c r="K42" i="19"/>
  <c r="G173" i="17"/>
  <c r="G69" i="19" s="1"/>
  <c r="H164" i="17"/>
  <c r="F178" i="17"/>
  <c r="H65" i="25"/>
  <c r="F163" i="17"/>
  <c r="G166" i="17"/>
  <c r="F49" i="33"/>
  <c r="G49" i="33" s="1"/>
  <c r="AA16" i="24"/>
  <c r="AA38" i="24" s="1"/>
  <c r="H116" i="19"/>
  <c r="H113" i="19"/>
  <c r="H110" i="19"/>
  <c r="G114" i="19"/>
  <c r="H114" i="19"/>
  <c r="G110" i="19"/>
  <c r="F45" i="33"/>
  <c r="G45" i="33" s="1"/>
  <c r="F48" i="33"/>
  <c r="G48" i="33" s="1"/>
  <c r="G111" i="19"/>
  <c r="G113" i="19"/>
  <c r="F32" i="33"/>
  <c r="F50" i="33"/>
  <c r="G50" i="33" s="1"/>
  <c r="F104" i="17"/>
  <c r="F106" i="17"/>
  <c r="F108" i="17"/>
  <c r="F139" i="17"/>
  <c r="G26" i="33"/>
  <c r="F102" i="17"/>
  <c r="G104" i="17"/>
  <c r="G106" i="17"/>
  <c r="G108" i="17"/>
  <c r="G139" i="17"/>
  <c r="H25" i="33"/>
  <c r="F30" i="33"/>
  <c r="H32" i="33"/>
  <c r="H139" i="17"/>
  <c r="F26" i="33"/>
  <c r="G30" i="33"/>
  <c r="G115" i="19"/>
  <c r="F103" i="17"/>
  <c r="F105" i="17"/>
  <c r="F107" i="17"/>
  <c r="F109" i="17"/>
  <c r="G32" i="33"/>
  <c r="G102" i="17"/>
  <c r="G103" i="17"/>
  <c r="G105" i="17"/>
  <c r="G107" i="17"/>
  <c r="G109" i="17"/>
  <c r="F27" i="33"/>
  <c r="F31" i="33"/>
  <c r="F53" i="33"/>
  <c r="H102" i="17"/>
  <c r="H104" i="17"/>
  <c r="H106" i="17"/>
  <c r="H108" i="17"/>
  <c r="G112" i="19"/>
  <c r="H26" i="33"/>
  <c r="F25" i="33"/>
  <c r="H27" i="33"/>
  <c r="G25" i="33"/>
  <c r="G27" i="33"/>
  <c r="G31" i="33"/>
  <c r="H103" i="17"/>
  <c r="H105" i="17"/>
  <c r="H107" i="17"/>
  <c r="H109" i="17"/>
  <c r="Y15" i="24"/>
  <c r="Z16" i="24"/>
  <c r="F17" i="17"/>
  <c r="F144" i="19"/>
  <c r="F28" i="14"/>
  <c r="F106" i="14"/>
  <c r="F87" i="25"/>
  <c r="F65" i="25"/>
  <c r="F48" i="25"/>
  <c r="F31" i="25"/>
  <c r="F125" i="14"/>
  <c r="F128" i="17"/>
  <c r="F98" i="17"/>
  <c r="F40" i="33"/>
  <c r="F11" i="33"/>
  <c r="F58" i="17"/>
  <c r="F76" i="14"/>
  <c r="F145" i="17"/>
  <c r="F104" i="19"/>
  <c r="F14" i="25"/>
  <c r="K14" i="25" s="1"/>
  <c r="F187" i="17"/>
  <c r="G144" i="19"/>
  <c r="G104" i="19"/>
  <c r="G17" i="17"/>
  <c r="G106" i="14"/>
  <c r="H17" i="17"/>
  <c r="G161" i="17"/>
  <c r="G176" i="17"/>
  <c r="G199" i="17"/>
  <c r="F168" i="17"/>
  <c r="F179" i="17"/>
  <c r="G187" i="17"/>
  <c r="G14" i="25"/>
  <c r="L14" i="25" s="1"/>
  <c r="H104" i="19"/>
  <c r="H115" i="19"/>
  <c r="H187" i="17"/>
  <c r="F211" i="17"/>
  <c r="C11" i="33"/>
  <c r="G28" i="14"/>
  <c r="H14" i="25"/>
  <c r="M14" i="25" s="1"/>
  <c r="G145" i="17"/>
  <c r="G174" i="17"/>
  <c r="H28" i="14"/>
  <c r="G76" i="14"/>
  <c r="G58" i="17"/>
  <c r="H145" i="17"/>
  <c r="F160" i="17"/>
  <c r="F166" i="17"/>
  <c r="G11" i="33"/>
  <c r="G40" i="33"/>
  <c r="AB116" i="24"/>
  <c r="H58" i="17"/>
  <c r="G98" i="17"/>
  <c r="G128" i="17"/>
  <c r="G163" i="17"/>
  <c r="G172" i="17"/>
  <c r="F199" i="17"/>
  <c r="G211" i="17"/>
  <c r="H11" i="33"/>
  <c r="H40" i="33"/>
  <c r="G125" i="14"/>
  <c r="G31" i="25"/>
  <c r="G48" i="25"/>
  <c r="G65" i="25"/>
  <c r="G87" i="25"/>
  <c r="H98" i="17"/>
  <c r="G178" i="17"/>
  <c r="C63" i="17"/>
  <c r="C75" i="17"/>
  <c r="C88" i="17"/>
  <c r="F162" i="17"/>
  <c r="F164" i="17"/>
  <c r="F175" i="17"/>
  <c r="F177" i="17"/>
  <c r="C68" i="17"/>
  <c r="C80" i="17"/>
  <c r="C85" i="17"/>
  <c r="G177" i="17"/>
  <c r="G179" i="17"/>
  <c r="C65" i="17"/>
  <c r="C77" i="17"/>
  <c r="C90" i="17"/>
  <c r="C62" i="17"/>
  <c r="C70" i="17"/>
  <c r="C74" i="17"/>
  <c r="C87" i="17"/>
  <c r="K43" i="19"/>
  <c r="F45" i="19"/>
  <c r="H87" i="19"/>
  <c r="C67" i="17"/>
  <c r="C79" i="17"/>
  <c r="C84" i="17"/>
  <c r="C92" i="17"/>
  <c r="F157" i="17"/>
  <c r="C64" i="17"/>
  <c r="C76" i="17"/>
  <c r="C89" i="17"/>
  <c r="G157" i="17"/>
  <c r="H199" i="17"/>
  <c r="C69" i="17"/>
  <c r="C73" i="17"/>
  <c r="C81" i="17"/>
  <c r="C86" i="17"/>
  <c r="H180" i="17"/>
  <c r="K41" i="19"/>
  <c r="C66" i="17"/>
  <c r="C78" i="17"/>
  <c r="H30" i="33"/>
  <c r="H31" i="33"/>
  <c r="H109" i="19"/>
  <c r="H175" i="17"/>
  <c r="H177" i="17"/>
  <c r="H178" i="17"/>
  <c r="H157" i="17"/>
  <c r="H161" i="17"/>
  <c r="H174" i="17"/>
  <c r="H179" i="17"/>
  <c r="H176" i="17"/>
  <c r="H160" i="17"/>
  <c r="H173" i="17"/>
  <c r="F158" i="19"/>
  <c r="F27" i="19"/>
  <c r="F49" i="19"/>
  <c r="F38" i="19"/>
  <c r="F33" i="19"/>
  <c r="F34" i="19"/>
  <c r="K145" i="19"/>
  <c r="F160" i="19"/>
  <c r="F55" i="33" s="1"/>
  <c r="F56" i="19"/>
  <c r="K66" i="19"/>
  <c r="K106" i="19"/>
  <c r="F43" i="33"/>
  <c r="F159" i="19"/>
  <c r="F54" i="33" s="1"/>
  <c r="L48" i="25" l="1"/>
  <c r="L87" i="25" s="1"/>
  <c r="L31" i="25"/>
  <c r="L65" i="25"/>
  <c r="K48" i="25"/>
  <c r="K87" i="25" s="1"/>
  <c r="K65" i="25"/>
  <c r="K31" i="25"/>
  <c r="M31" i="25"/>
  <c r="M87" i="25"/>
  <c r="M65" i="25"/>
  <c r="M48" i="25"/>
  <c r="H336" i="19"/>
  <c r="K33" i="19"/>
  <c r="K34" i="19"/>
  <c r="P106" i="19"/>
  <c r="P66" i="19"/>
  <c r="P146" i="19"/>
  <c r="L113" i="19"/>
  <c r="Q115" i="19"/>
  <c r="L116" i="19"/>
  <c r="Q87" i="19"/>
  <c r="L110" i="19"/>
  <c r="L112" i="19"/>
  <c r="L109" i="19"/>
  <c r="Q114" i="19"/>
  <c r="AA116" i="24"/>
  <c r="AA76" i="24"/>
  <c r="M98" i="19"/>
  <c r="K27" i="19"/>
  <c r="K35" i="19"/>
  <c r="M35" i="19" s="1"/>
  <c r="K38" i="19"/>
  <c r="M108" i="19"/>
  <c r="K45" i="19"/>
  <c r="K49" i="19"/>
  <c r="K55" i="19"/>
  <c r="K56" i="19"/>
  <c r="G35" i="19"/>
  <c r="H71" i="19"/>
  <c r="H76" i="19"/>
  <c r="P35" i="19" s="1"/>
  <c r="G75" i="19"/>
  <c r="G34" i="19" s="1"/>
  <c r="H72" i="19"/>
  <c r="G73" i="19"/>
  <c r="G32" i="19" s="1"/>
  <c r="H75" i="19"/>
  <c r="G68" i="19"/>
  <c r="G72" i="19"/>
  <c r="G31" i="19" s="1"/>
  <c r="G74" i="19"/>
  <c r="G70" i="19"/>
  <c r="G29" i="19" s="1"/>
  <c r="H70" i="19"/>
  <c r="H74" i="19"/>
  <c r="H69" i="19"/>
  <c r="H73" i="19"/>
  <c r="H127" i="19"/>
  <c r="F47" i="19"/>
  <c r="G28" i="19"/>
  <c r="H343" i="19"/>
  <c r="J343" i="19" s="1"/>
  <c r="H45" i="33"/>
  <c r="G30" i="19"/>
  <c r="G117" i="19"/>
  <c r="G150" i="19"/>
  <c r="H338" i="19"/>
  <c r="F34" i="33"/>
  <c r="G127" i="19"/>
  <c r="G87" i="19"/>
  <c r="H120" i="17"/>
  <c r="G114" i="17"/>
  <c r="H49" i="33"/>
  <c r="I49" i="33" s="1"/>
  <c r="G120" i="17"/>
  <c r="H35" i="33"/>
  <c r="H121" i="17"/>
  <c r="G118" i="17"/>
  <c r="F120" i="17"/>
  <c r="H340" i="19"/>
  <c r="J340" i="19" s="1"/>
  <c r="G55" i="33"/>
  <c r="H33" i="33"/>
  <c r="H119" i="17"/>
  <c r="F33" i="33"/>
  <c r="H118" i="17"/>
  <c r="F121" i="17"/>
  <c r="F35" i="33"/>
  <c r="H342" i="19"/>
  <c r="J342" i="19" s="1"/>
  <c r="G116" i="17"/>
  <c r="F118" i="17"/>
  <c r="H366" i="19"/>
  <c r="H117" i="17"/>
  <c r="G121" i="17"/>
  <c r="F119" i="17"/>
  <c r="H344" i="19"/>
  <c r="J344" i="19" s="1"/>
  <c r="H34" i="33"/>
  <c r="F114" i="17"/>
  <c r="H337" i="19"/>
  <c r="F116" i="17"/>
  <c r="G54" i="33"/>
  <c r="H115" i="17"/>
  <c r="H116" i="17"/>
  <c r="G119" i="17"/>
  <c r="F117" i="17"/>
  <c r="H48" i="33"/>
  <c r="I48" i="33" s="1"/>
  <c r="G33" i="33"/>
  <c r="G53" i="33"/>
  <c r="G117" i="17"/>
  <c r="F115" i="17"/>
  <c r="H114" i="17"/>
  <c r="G115" i="17"/>
  <c r="H341" i="19"/>
  <c r="J341" i="19" s="1"/>
  <c r="H339" i="19"/>
  <c r="J339" i="19" s="1"/>
  <c r="H50" i="33"/>
  <c r="I50" i="33" s="1"/>
  <c r="G34" i="33"/>
  <c r="J365" i="19"/>
  <c r="G35" i="33"/>
  <c r="H27" i="19"/>
  <c r="F181" i="17"/>
  <c r="H117" i="19"/>
  <c r="Z116" i="24"/>
  <c r="Z76" i="24"/>
  <c r="Z38" i="24"/>
  <c r="X15" i="24"/>
  <c r="Y16" i="24"/>
  <c r="H33" i="19"/>
  <c r="G181" i="17"/>
  <c r="F36" i="19"/>
  <c r="H181" i="17"/>
  <c r="F60" i="33"/>
  <c r="F58" i="19"/>
  <c r="F59" i="33"/>
  <c r="F58" i="33"/>
  <c r="G43" i="33"/>
  <c r="G149" i="19"/>
  <c r="H44" i="33"/>
  <c r="I44" i="33" s="1"/>
  <c r="I149" i="19" s="1"/>
  <c r="J366" i="19" l="1"/>
  <c r="H369" i="19"/>
  <c r="L149" i="19"/>
  <c r="P149" i="19"/>
  <c r="I350" i="19"/>
  <c r="H150" i="19"/>
  <c r="I45" i="33"/>
  <c r="I150" i="19" s="1"/>
  <c r="H28" i="19"/>
  <c r="P34" i="19"/>
  <c r="Q34" i="19" s="1"/>
  <c r="Q75" i="19"/>
  <c r="P27" i="19"/>
  <c r="Q27" i="19" s="1"/>
  <c r="Q68" i="19"/>
  <c r="P29" i="19"/>
  <c r="Q29" i="19" s="1"/>
  <c r="Q70" i="19"/>
  <c r="M73" i="19"/>
  <c r="L46" i="19"/>
  <c r="P46" i="19"/>
  <c r="Q46" i="19" s="1"/>
  <c r="H35" i="19"/>
  <c r="H34" i="19"/>
  <c r="H29" i="19"/>
  <c r="K36" i="19"/>
  <c r="K47" i="19"/>
  <c r="K58" i="19"/>
  <c r="L27" i="19"/>
  <c r="M115" i="19"/>
  <c r="M114" i="19"/>
  <c r="H77" i="19"/>
  <c r="I344" i="19"/>
  <c r="K344" i="19" s="1"/>
  <c r="J369" i="19"/>
  <c r="H30" i="19"/>
  <c r="H32" i="19"/>
  <c r="G33" i="19"/>
  <c r="G27" i="19"/>
  <c r="G77" i="19"/>
  <c r="H31" i="19"/>
  <c r="H46" i="19"/>
  <c r="H138" i="19"/>
  <c r="M87" i="19"/>
  <c r="F135" i="17"/>
  <c r="G136" i="17"/>
  <c r="F133" i="17"/>
  <c r="F136" i="17"/>
  <c r="H137" i="17"/>
  <c r="H53" i="33"/>
  <c r="I53" i="33" s="1"/>
  <c r="H54" i="33"/>
  <c r="I54" i="33" s="1"/>
  <c r="G133" i="17"/>
  <c r="H135" i="17"/>
  <c r="G137" i="17"/>
  <c r="G60" i="33"/>
  <c r="G155" i="19" s="1"/>
  <c r="G132" i="17"/>
  <c r="F132" i="17"/>
  <c r="G138" i="17"/>
  <c r="G46" i="19"/>
  <c r="H133" i="17"/>
  <c r="F131" i="17"/>
  <c r="H55" i="33"/>
  <c r="I55" i="33" s="1"/>
  <c r="G138" i="19"/>
  <c r="G134" i="17"/>
  <c r="G135" i="17"/>
  <c r="G59" i="33"/>
  <c r="G63" i="33" s="1"/>
  <c r="H131" i="17"/>
  <c r="H132" i="17"/>
  <c r="H134" i="17"/>
  <c r="H136" i="17"/>
  <c r="F137" i="17"/>
  <c r="F134" i="17"/>
  <c r="F138" i="17"/>
  <c r="H138" i="17"/>
  <c r="G131" i="17"/>
  <c r="M68" i="19"/>
  <c r="F62" i="33"/>
  <c r="Y116" i="24"/>
  <c r="Y76" i="24"/>
  <c r="Y38" i="24"/>
  <c r="X16" i="24"/>
  <c r="W15" i="24"/>
  <c r="F63" i="33"/>
  <c r="G58" i="33"/>
  <c r="F61" i="33"/>
  <c r="H43" i="33"/>
  <c r="I43" i="33" s="1"/>
  <c r="I148" i="19" s="1"/>
  <c r="G148" i="19"/>
  <c r="H149" i="19"/>
  <c r="P148" i="19" l="1"/>
  <c r="L148" i="19"/>
  <c r="I349" i="19"/>
  <c r="L150" i="19"/>
  <c r="M150" i="19" s="1"/>
  <c r="P150" i="19"/>
  <c r="Q150" i="19" s="1"/>
  <c r="I351" i="19"/>
  <c r="J229" i="19"/>
  <c r="J218" i="19"/>
  <c r="P31" i="19"/>
  <c r="Q31" i="19" s="1"/>
  <c r="Q72" i="19"/>
  <c r="P28" i="19"/>
  <c r="Q28" i="19" s="1"/>
  <c r="Q69" i="19"/>
  <c r="P30" i="19"/>
  <c r="Q30" i="19" s="1"/>
  <c r="Q71" i="19"/>
  <c r="P33" i="19"/>
  <c r="Q33" i="19" s="1"/>
  <c r="Q74" i="19"/>
  <c r="P32" i="19"/>
  <c r="Q32" i="19" s="1"/>
  <c r="Q73" i="19"/>
  <c r="M71" i="19"/>
  <c r="L30" i="19"/>
  <c r="M69" i="19"/>
  <c r="L28" i="19"/>
  <c r="M28" i="19" s="1"/>
  <c r="M72" i="19"/>
  <c r="L57" i="19"/>
  <c r="P57" i="19"/>
  <c r="L31" i="19"/>
  <c r="L33" i="19"/>
  <c r="L32" i="19"/>
  <c r="M70" i="19"/>
  <c r="M74" i="19"/>
  <c r="Q149" i="19"/>
  <c r="L29" i="19"/>
  <c r="J240" i="19"/>
  <c r="M27" i="19"/>
  <c r="J179" i="19"/>
  <c r="J201" i="19"/>
  <c r="J190" i="19"/>
  <c r="L35" i="19"/>
  <c r="J364" i="19"/>
  <c r="M46" i="19"/>
  <c r="L34" i="19"/>
  <c r="M75" i="19"/>
  <c r="G36" i="19"/>
  <c r="H57" i="19"/>
  <c r="H36" i="19"/>
  <c r="G62" i="33"/>
  <c r="G154" i="19"/>
  <c r="H86" i="19"/>
  <c r="H126" i="19"/>
  <c r="G121" i="19"/>
  <c r="G81" i="19"/>
  <c r="H124" i="19"/>
  <c r="H84" i="19"/>
  <c r="H59" i="33"/>
  <c r="G126" i="19"/>
  <c r="G86" i="19"/>
  <c r="H119" i="19"/>
  <c r="H79" i="19"/>
  <c r="H60" i="33"/>
  <c r="I60" i="33" s="1"/>
  <c r="H122" i="19"/>
  <c r="H82" i="19"/>
  <c r="G123" i="19"/>
  <c r="G83" i="19"/>
  <c r="G125" i="19"/>
  <c r="G85" i="19"/>
  <c r="G84" i="19"/>
  <c r="G124" i="19"/>
  <c r="H120" i="19"/>
  <c r="H80" i="19"/>
  <c r="G122" i="19"/>
  <c r="G82" i="19"/>
  <c r="H121" i="19"/>
  <c r="H81" i="19"/>
  <c r="G119" i="19"/>
  <c r="G79" i="19"/>
  <c r="G57" i="19"/>
  <c r="G120" i="19"/>
  <c r="G80" i="19"/>
  <c r="H123" i="19"/>
  <c r="H83" i="19"/>
  <c r="H125" i="19"/>
  <c r="H85" i="19"/>
  <c r="G160" i="19"/>
  <c r="X116" i="24"/>
  <c r="X76" i="24"/>
  <c r="X38" i="24"/>
  <c r="V15" i="24"/>
  <c r="W16" i="24"/>
  <c r="G153" i="19"/>
  <c r="G158" i="19" s="1"/>
  <c r="H58" i="33"/>
  <c r="I58" i="33" s="1"/>
  <c r="G61" i="33"/>
  <c r="H148" i="19"/>
  <c r="I61" i="33" l="1"/>
  <c r="I153" i="19"/>
  <c r="I62" i="33"/>
  <c r="I155" i="19"/>
  <c r="H154" i="19"/>
  <c r="H159" i="19" s="1"/>
  <c r="I59" i="33"/>
  <c r="P36" i="19"/>
  <c r="M30" i="19"/>
  <c r="M31" i="19"/>
  <c r="M33" i="19"/>
  <c r="L36" i="19"/>
  <c r="Q80" i="19"/>
  <c r="Q82" i="19"/>
  <c r="Q84" i="19"/>
  <c r="Q85" i="19"/>
  <c r="Q125" i="19"/>
  <c r="Q81" i="19"/>
  <c r="Q119" i="19"/>
  <c r="Q126" i="19"/>
  <c r="M29" i="19"/>
  <c r="Q148" i="19"/>
  <c r="Q83" i="19"/>
  <c r="Q86" i="19"/>
  <c r="M32" i="19"/>
  <c r="M34" i="19"/>
  <c r="G159" i="19"/>
  <c r="H131" i="19"/>
  <c r="H135" i="19"/>
  <c r="H132" i="19"/>
  <c r="H133" i="19"/>
  <c r="H134" i="19"/>
  <c r="H42" i="19"/>
  <c r="H94" i="19"/>
  <c r="H39" i="19"/>
  <c r="H91" i="19"/>
  <c r="G136" i="19"/>
  <c r="H62" i="33"/>
  <c r="H155" i="19"/>
  <c r="H63" i="33"/>
  <c r="G130" i="19"/>
  <c r="G94" i="19"/>
  <c r="G42" i="19"/>
  <c r="H90" i="19"/>
  <c r="H38" i="19"/>
  <c r="H95" i="19"/>
  <c r="H43" i="19"/>
  <c r="G90" i="19"/>
  <c r="G38" i="19"/>
  <c r="G91" i="19"/>
  <c r="G39" i="19"/>
  <c r="H40" i="19"/>
  <c r="H92" i="19"/>
  <c r="H130" i="19"/>
  <c r="G135" i="19"/>
  <c r="G134" i="19"/>
  <c r="H44" i="19"/>
  <c r="H96" i="19"/>
  <c r="G131" i="19"/>
  <c r="G43" i="19"/>
  <c r="G95" i="19"/>
  <c r="H93" i="19"/>
  <c r="H41" i="19"/>
  <c r="G45" i="19"/>
  <c r="G97" i="19"/>
  <c r="G40" i="19"/>
  <c r="G92" i="19"/>
  <c r="H45" i="19"/>
  <c r="H137" i="19"/>
  <c r="H61" i="33"/>
  <c r="G93" i="19"/>
  <c r="G41" i="19"/>
  <c r="H136" i="19"/>
  <c r="G133" i="19"/>
  <c r="G96" i="19"/>
  <c r="G44" i="19"/>
  <c r="G137" i="19"/>
  <c r="G132" i="19"/>
  <c r="H97" i="19"/>
  <c r="W116" i="24"/>
  <c r="W38" i="24"/>
  <c r="W76" i="24"/>
  <c r="U15" i="24"/>
  <c r="V16" i="24"/>
  <c r="H153" i="19"/>
  <c r="M149" i="19"/>
  <c r="I158" i="19" l="1"/>
  <c r="P153" i="19"/>
  <c r="Q153" i="19" s="1"/>
  <c r="L153" i="19"/>
  <c r="I354" i="19"/>
  <c r="I160" i="19"/>
  <c r="P155" i="19"/>
  <c r="Q155" i="19" s="1"/>
  <c r="L155" i="19"/>
  <c r="I356" i="19"/>
  <c r="I63" i="33"/>
  <c r="I154" i="19"/>
  <c r="P38" i="19"/>
  <c r="Q38" i="19" s="1"/>
  <c r="Q79" i="19"/>
  <c r="P45" i="19"/>
  <c r="Q45" i="19" s="1"/>
  <c r="P40" i="19"/>
  <c r="Q40" i="19" s="1"/>
  <c r="P41" i="19"/>
  <c r="Q41" i="19" s="1"/>
  <c r="P42" i="19"/>
  <c r="Q42" i="19" s="1"/>
  <c r="P39" i="19"/>
  <c r="Q39" i="19" s="1"/>
  <c r="Q130" i="19"/>
  <c r="Q95" i="19"/>
  <c r="Q97" i="19"/>
  <c r="Q90" i="19"/>
  <c r="Q91" i="19"/>
  <c r="P44" i="19"/>
  <c r="Q44" i="19" s="1"/>
  <c r="Q96" i="19"/>
  <c r="Q92" i="19"/>
  <c r="Q136" i="19"/>
  <c r="Q93" i="19"/>
  <c r="Q137" i="19"/>
  <c r="P43" i="19"/>
  <c r="Q43" i="19" s="1"/>
  <c r="L41" i="19"/>
  <c r="M82" i="19"/>
  <c r="G50" i="19"/>
  <c r="H49" i="19"/>
  <c r="I339" i="19"/>
  <c r="K339" i="19" s="1"/>
  <c r="H52" i="19"/>
  <c r="I342" i="19"/>
  <c r="K342" i="19" s="1"/>
  <c r="H55" i="19"/>
  <c r="H139" i="19"/>
  <c r="M80" i="19"/>
  <c r="L39" i="19"/>
  <c r="G51" i="19"/>
  <c r="M119" i="19"/>
  <c r="H54" i="19"/>
  <c r="I341" i="19"/>
  <c r="K341" i="19" s="1"/>
  <c r="H160" i="19"/>
  <c r="G52" i="19"/>
  <c r="G56" i="19"/>
  <c r="L44" i="19"/>
  <c r="M85" i="19"/>
  <c r="H51" i="19"/>
  <c r="I338" i="19"/>
  <c r="K338" i="19" s="1"/>
  <c r="G99" i="19"/>
  <c r="L43" i="19"/>
  <c r="M84" i="19"/>
  <c r="I340" i="19"/>
  <c r="K340" i="19" s="1"/>
  <c r="H53" i="19"/>
  <c r="M125" i="19"/>
  <c r="G54" i="19"/>
  <c r="G47" i="19"/>
  <c r="H99" i="19"/>
  <c r="G53" i="19"/>
  <c r="L42" i="19"/>
  <c r="M83" i="19"/>
  <c r="I337" i="19"/>
  <c r="K337" i="19" s="1"/>
  <c r="H50" i="19"/>
  <c r="I343" i="19"/>
  <c r="K343" i="19" s="1"/>
  <c r="H56" i="19"/>
  <c r="M126" i="19"/>
  <c r="L38" i="19"/>
  <c r="M79" i="19"/>
  <c r="G139" i="19"/>
  <c r="M86" i="19"/>
  <c r="L45" i="19"/>
  <c r="G55" i="19"/>
  <c r="L40" i="19"/>
  <c r="M81" i="19"/>
  <c r="G49" i="19"/>
  <c r="H47" i="19"/>
  <c r="V38" i="24"/>
  <c r="V76" i="24"/>
  <c r="V116" i="24"/>
  <c r="T15" i="24"/>
  <c r="U16" i="24"/>
  <c r="H158" i="19"/>
  <c r="M148" i="19"/>
  <c r="P160" i="19" l="1"/>
  <c r="Q160" i="19" s="1"/>
  <c r="L160" i="19"/>
  <c r="I288" i="19" s="1"/>
  <c r="I361" i="19"/>
  <c r="I159" i="19"/>
  <c r="P154" i="19"/>
  <c r="Q154" i="19" s="1"/>
  <c r="L154" i="19"/>
  <c r="I355" i="19"/>
  <c r="L158" i="19"/>
  <c r="I286" i="19" s="1"/>
  <c r="P158" i="19"/>
  <c r="Q158" i="19" s="1"/>
  <c r="I359" i="19"/>
  <c r="I364" i="19" s="1"/>
  <c r="P53" i="19"/>
  <c r="Q53" i="19" s="1"/>
  <c r="Q94" i="19"/>
  <c r="P52" i="19"/>
  <c r="Q52" i="19" s="1"/>
  <c r="P50" i="19"/>
  <c r="Q50" i="19" s="1"/>
  <c r="J277" i="19"/>
  <c r="J212" i="19"/>
  <c r="J267" i="19"/>
  <c r="J215" i="19"/>
  <c r="J227" i="19"/>
  <c r="J222" i="19"/>
  <c r="J228" i="19"/>
  <c r="J266" i="19"/>
  <c r="J221" i="19"/>
  <c r="J225" i="19"/>
  <c r="J276" i="19"/>
  <c r="J265" i="19"/>
  <c r="P55" i="19"/>
  <c r="Q55" i="19" s="1"/>
  <c r="P47" i="19"/>
  <c r="J226" i="19"/>
  <c r="J211" i="19"/>
  <c r="J232" i="19"/>
  <c r="J271" i="19"/>
  <c r="P49" i="19"/>
  <c r="Q49" i="19" s="1"/>
  <c r="J214" i="19"/>
  <c r="J270" i="19"/>
  <c r="J210" i="19"/>
  <c r="J275" i="19"/>
  <c r="J235" i="19"/>
  <c r="J234" i="19"/>
  <c r="J272" i="19"/>
  <c r="J216" i="19"/>
  <c r="J239" i="19"/>
  <c r="J213" i="19"/>
  <c r="P56" i="19"/>
  <c r="Q56" i="19" s="1"/>
  <c r="P54" i="19"/>
  <c r="Q54" i="19" s="1"/>
  <c r="J236" i="19"/>
  <c r="J223" i="19"/>
  <c r="J217" i="19"/>
  <c r="J237" i="19"/>
  <c r="J238" i="19"/>
  <c r="J233" i="19"/>
  <c r="J224" i="19"/>
  <c r="P51" i="19"/>
  <c r="Q51" i="19" s="1"/>
  <c r="M41" i="19"/>
  <c r="M45" i="19"/>
  <c r="M153" i="19"/>
  <c r="M42" i="19"/>
  <c r="M43" i="19"/>
  <c r="M39" i="19"/>
  <c r="M40" i="19"/>
  <c r="M155" i="19"/>
  <c r="M44" i="19"/>
  <c r="M136" i="19"/>
  <c r="M137" i="19"/>
  <c r="G58" i="19"/>
  <c r="L53" i="19"/>
  <c r="M94" i="19"/>
  <c r="L52" i="19"/>
  <c r="M93" i="19"/>
  <c r="M91" i="19"/>
  <c r="L50" i="19"/>
  <c r="M38" i="19"/>
  <c r="L47" i="19"/>
  <c r="M130" i="19"/>
  <c r="L51" i="19"/>
  <c r="M92" i="19"/>
  <c r="I366" i="19"/>
  <c r="K366" i="19" s="1"/>
  <c r="H58" i="19"/>
  <c r="L54" i="19"/>
  <c r="M95" i="19"/>
  <c r="L55" i="19"/>
  <c r="M96" i="19"/>
  <c r="L49" i="19"/>
  <c r="M90" i="19"/>
  <c r="J171" i="19"/>
  <c r="M97" i="19"/>
  <c r="L56" i="19"/>
  <c r="U76" i="24"/>
  <c r="U116" i="24"/>
  <c r="U38" i="24"/>
  <c r="S15" i="24"/>
  <c r="T16" i="24"/>
  <c r="K364" i="19" l="1"/>
  <c r="I369" i="19"/>
  <c r="P159" i="19"/>
  <c r="Q159" i="19" s="1"/>
  <c r="L159" i="19"/>
  <c r="M159" i="19" s="1"/>
  <c r="I360" i="19"/>
  <c r="I365" i="19" s="1"/>
  <c r="K365" i="19" s="1"/>
  <c r="M154" i="19"/>
  <c r="J197" i="19"/>
  <c r="J189" i="19"/>
  <c r="J249" i="19"/>
  <c r="J172" i="19"/>
  <c r="J175" i="19"/>
  <c r="J186" i="19"/>
  <c r="J200" i="19"/>
  <c r="J188" i="19"/>
  <c r="J196" i="19"/>
  <c r="J260" i="19"/>
  <c r="J255" i="19"/>
  <c r="J199" i="19"/>
  <c r="J250" i="19"/>
  <c r="J259" i="19"/>
  <c r="J184" i="19"/>
  <c r="J185" i="19"/>
  <c r="J256" i="19"/>
  <c r="J178" i="19"/>
  <c r="J187" i="19"/>
  <c r="J193" i="19"/>
  <c r="J182" i="19"/>
  <c r="J195" i="19"/>
  <c r="J194" i="19"/>
  <c r="J174" i="19"/>
  <c r="J261" i="19"/>
  <c r="J177" i="19"/>
  <c r="J173" i="19"/>
  <c r="J198" i="19"/>
  <c r="J176" i="19"/>
  <c r="J183" i="19"/>
  <c r="J251" i="19"/>
  <c r="J254" i="19"/>
  <c r="P58" i="19"/>
  <c r="M54" i="19"/>
  <c r="M50" i="19"/>
  <c r="M55" i="19"/>
  <c r="M52" i="19"/>
  <c r="M53" i="19"/>
  <c r="M158" i="19"/>
  <c r="M56" i="19"/>
  <c r="M51" i="19"/>
  <c r="M49" i="19"/>
  <c r="L58" i="19"/>
  <c r="J288" i="19"/>
  <c r="M160" i="19"/>
  <c r="T76" i="24"/>
  <c r="T38" i="24"/>
  <c r="T116" i="24"/>
  <c r="R15" i="24"/>
  <c r="S16" i="24"/>
  <c r="J286" i="19"/>
  <c r="I287" i="19" l="1"/>
  <c r="J287" i="19" s="1"/>
  <c r="K369" i="19"/>
  <c r="S76" i="24"/>
  <c r="S116" i="24"/>
  <c r="S38" i="24"/>
  <c r="Q15" i="24"/>
  <c r="R16" i="24"/>
  <c r="R76" i="24" l="1"/>
  <c r="R116" i="24"/>
  <c r="R38" i="24"/>
  <c r="Q16" i="24"/>
  <c r="P15" i="24"/>
  <c r="Q116" i="24" l="1"/>
  <c r="Q38" i="24"/>
  <c r="Q76" i="24"/>
  <c r="O15" i="24"/>
  <c r="P16" i="24"/>
  <c r="P38" i="24" l="1"/>
  <c r="P116" i="24"/>
  <c r="P76" i="24"/>
  <c r="N15" i="24"/>
  <c r="O16" i="24"/>
  <c r="O38" i="24" l="1"/>
  <c r="O116" i="24"/>
  <c r="O76" i="24"/>
  <c r="N16" i="24"/>
  <c r="M15" i="24"/>
  <c r="M16" i="24" l="1"/>
  <c r="L15" i="24"/>
  <c r="N38" i="24"/>
  <c r="N76" i="24"/>
  <c r="N116" i="24"/>
  <c r="K15" i="24" l="1"/>
  <c r="L16" i="24"/>
  <c r="M116" i="24"/>
  <c r="M38" i="24"/>
  <c r="M76" i="24"/>
  <c r="L76" i="24" l="1"/>
  <c r="L38" i="24"/>
  <c r="L116" i="24"/>
  <c r="K16" i="24"/>
  <c r="J15" i="24"/>
  <c r="K76" i="24" l="1"/>
  <c r="K116" i="24"/>
  <c r="K38" i="24"/>
  <c r="I15" i="24"/>
  <c r="J16" i="24"/>
  <c r="J38" i="24" l="1"/>
  <c r="J76" i="24"/>
  <c r="J116" i="24"/>
  <c r="H15" i="24"/>
  <c r="I16" i="24"/>
  <c r="G15" i="24" l="1"/>
  <c r="H16" i="24"/>
  <c r="I38" i="24"/>
  <c r="I116" i="24"/>
  <c r="I76" i="24"/>
  <c r="H38" i="24" l="1"/>
  <c r="H116" i="24"/>
  <c r="H76" i="24"/>
  <c r="F15" i="24"/>
  <c r="F16" i="24" s="1"/>
  <c r="G16" i="24"/>
  <c r="G38" i="24" l="1"/>
  <c r="G116" i="24"/>
  <c r="G76" i="24"/>
  <c r="F76" i="24"/>
  <c r="F116" i="24"/>
  <c r="F38" i="24"/>
</calcChain>
</file>

<file path=xl/comments1.xml><?xml version="1.0" encoding="utf-8"?>
<comments xmlns="http://schemas.openxmlformats.org/spreadsheetml/2006/main">
  <authors>
    <author>Maricar Horbino</author>
  </authors>
  <commentList>
    <comment ref="H21" authorId="0" shapeId="0">
      <text>
        <r>
          <rPr>
            <b/>
            <sz val="9"/>
            <color indexed="81"/>
            <rFont val="Tahoma"/>
            <family val="2"/>
          </rPr>
          <t>Maricar Horbino:</t>
        </r>
        <r>
          <rPr>
            <sz val="9"/>
            <color indexed="81"/>
            <rFont val="Tahoma"/>
            <family val="2"/>
          </rPr>
          <t xml:space="preserve">
Forecast based on Bloomberg 5/02/2020</t>
        </r>
      </text>
    </comment>
  </commentList>
</comments>
</file>

<file path=xl/sharedStrings.xml><?xml version="1.0" encoding="utf-8"?>
<sst xmlns="http://schemas.openxmlformats.org/spreadsheetml/2006/main" count="491" uniqueCount="290">
  <si>
    <t>Key outputs</t>
  </si>
  <si>
    <t>%</t>
  </si>
  <si>
    <t>MODELLER:</t>
  </si>
  <si>
    <t>email</t>
  </si>
  <si>
    <t>WHAT IS THE PURPOSE OF MODEL?</t>
  </si>
  <si>
    <t>This model uses standard IPART colour coding:</t>
  </si>
  <si>
    <t>Blue cells indicate inputs</t>
  </si>
  <si>
    <t>Blue font indicates IPART hard-coded values used that should not be changed</t>
  </si>
  <si>
    <t>Pink font indicates calculation checks</t>
  </si>
  <si>
    <t>Red indicates assumptions made in calculations</t>
  </si>
  <si>
    <t>red double line means formula changes across row</t>
  </si>
  <si>
    <t>$/ML</t>
  </si>
  <si>
    <t>Revenue requirement</t>
  </si>
  <si>
    <t>$'000</t>
  </si>
  <si>
    <t>Misc revenue</t>
  </si>
  <si>
    <t>ML</t>
  </si>
  <si>
    <t>#</t>
  </si>
  <si>
    <t>Border</t>
  </si>
  <si>
    <t>Gwydir</t>
  </si>
  <si>
    <t>Namoi</t>
  </si>
  <si>
    <t>Peel</t>
  </si>
  <si>
    <t>Lachlan</t>
  </si>
  <si>
    <t>Macquarie</t>
  </si>
  <si>
    <t>Murray</t>
  </si>
  <si>
    <t>Murrumbidgee</t>
  </si>
  <si>
    <t>Financial year ending 30 June</t>
  </si>
  <si>
    <t>Financial year</t>
  </si>
  <si>
    <t>Units</t>
  </si>
  <si>
    <t>List of tables</t>
  </si>
  <si>
    <t>Row number</t>
  </si>
  <si>
    <t>General security entitlements</t>
  </si>
  <si>
    <t>High security entitlements</t>
  </si>
  <si>
    <t>Supplementary entitlements</t>
  </si>
  <si>
    <t>Revenue to be recovered from entitlement charges</t>
  </si>
  <si>
    <t>Check=0</t>
  </si>
  <si>
    <t>Revenue recovered from entitlement charges</t>
  </si>
  <si>
    <t>Usage Volume</t>
  </si>
  <si>
    <t>High Security Premium</t>
  </si>
  <si>
    <t>This worksheet produces the model outputs ie. Water tariffs for usage and entitlements.</t>
  </si>
  <si>
    <t>$/KL</t>
  </si>
  <si>
    <t>Fish River Water Supply Scheme</t>
  </si>
  <si>
    <t xml:space="preserve">High Security Entitlement (fixed) </t>
  </si>
  <si>
    <t>General Security Entitlement (fixed)</t>
  </si>
  <si>
    <t xml:space="preserve">Usage Charge </t>
  </si>
  <si>
    <t xml:space="preserve">Energy Australia </t>
  </si>
  <si>
    <t xml:space="preserve">MAQ </t>
  </si>
  <si>
    <t xml:space="preserve">Usage up to MAQ </t>
  </si>
  <si>
    <t xml:space="preserve">Usage in excess of MAQ </t>
  </si>
  <si>
    <t>Lowbidgee</t>
  </si>
  <si>
    <t>Revenue to be recovered from MAQ (fixed) charge</t>
  </si>
  <si>
    <t>Revenue to be recovered from Usage up to MAQ</t>
  </si>
  <si>
    <t>Revenue to be recovered in excess of MAQ</t>
  </si>
  <si>
    <t>Total usage</t>
  </si>
  <si>
    <t xml:space="preserve">Minor customers (raw) </t>
  </si>
  <si>
    <t>Fish River revenue requirement</t>
  </si>
  <si>
    <t>Usage Volume (20-yr average)</t>
  </si>
  <si>
    <t>MAQ Level</t>
  </si>
  <si>
    <t>Total revenue to be recovered</t>
  </si>
  <si>
    <t xml:space="preserve">Minor customers (filtered) </t>
  </si>
  <si>
    <t>3  2017 DETERMINATION CHARGES</t>
  </si>
  <si>
    <t>$2016-17</t>
  </si>
  <si>
    <t>TABLE 1.1 - USAGE VOLUMES</t>
  </si>
  <si>
    <t>TABLE 1.2 - ENTITLEMENT VOLUMES</t>
  </si>
  <si>
    <t xml:space="preserve">TABLE 2.2 - REVENUE REQUIREMENT EXCLUDING MDBA/BRC REVENUE </t>
  </si>
  <si>
    <t xml:space="preserve">COLOUR CODE  </t>
  </si>
  <si>
    <t>General security and supplementary entitlements</t>
  </si>
  <si>
    <t xml:space="preserve">MODEL STRUCTURE  </t>
  </si>
  <si>
    <t xml:space="preserve">HOW DOES THE MODEL WORK? </t>
  </si>
  <si>
    <t>Small consumption customers</t>
  </si>
  <si>
    <t>Medium consumption customers</t>
  </si>
  <si>
    <t>Large consumption customers</t>
  </si>
  <si>
    <t>High Security entitlement level</t>
  </si>
  <si>
    <t>High security usage rate</t>
  </si>
  <si>
    <t>General Security entitlement level</t>
  </si>
  <si>
    <t>General Security usage rate</t>
  </si>
  <si>
    <t>Usage up to MAQ</t>
  </si>
  <si>
    <t>Usage In excess of MAQ</t>
  </si>
  <si>
    <t>$</t>
  </si>
  <si>
    <t>HIGH SECURITY</t>
  </si>
  <si>
    <t>GENERAL SECURITY</t>
  </si>
  <si>
    <t>Forecast revenue from usage charges</t>
  </si>
  <si>
    <t>Forecast revenue from GS entitlement charges</t>
  </si>
  <si>
    <t>Forecast revenue from HS entitlement charges</t>
  </si>
  <si>
    <t>Forecast revenue for MAQ charges</t>
  </si>
  <si>
    <t>Forecast revenue for usage &lt; MAQ charges</t>
  </si>
  <si>
    <t>Forecast revenue for usage &gt; MAQ charges</t>
  </si>
  <si>
    <t>General security entitlement</t>
  </si>
  <si>
    <t>High security entitlement</t>
  </si>
  <si>
    <t>Usage charges</t>
  </si>
  <si>
    <t>TABLE 3.4 - MDBA AND BRC USAGE AND ENTITLEMENT CHARGES</t>
  </si>
  <si>
    <t>$2018-19</t>
  </si>
  <si>
    <t>2018-19</t>
  </si>
  <si>
    <t>Raw water - major customer</t>
  </si>
  <si>
    <t>Raw water - minor customer</t>
  </si>
  <si>
    <t>Filtered water - minor customer</t>
  </si>
  <si>
    <t>Note: these annual figures are lagged by two years.</t>
  </si>
  <si>
    <t>Page intentionally left blank</t>
  </si>
  <si>
    <t>Inputs</t>
  </si>
  <si>
    <t>Outputs</t>
  </si>
  <si>
    <t xml:space="preserve">CHARGES </t>
  </si>
  <si>
    <t xml:space="preserve">CUSTOMER BILLS </t>
  </si>
  <si>
    <t>1  UPDATED VOLUMES PROVIDED BY WaterNSW</t>
  </si>
  <si>
    <t>Actual</t>
  </si>
  <si>
    <t>Forecast</t>
  </si>
  <si>
    <t xml:space="preserve">In the 2017 Determination, the forecast usage for each year of the determination period was calculated as the 20 year historical average to 2015-16 (ie, the  historical average to 2015-16).  </t>
  </si>
  <si>
    <t xml:space="preserve">WaterNSW entitlement and usage charges </t>
  </si>
  <si>
    <t>FRWS access and usage charges</t>
  </si>
  <si>
    <t xml:space="preserve">In essence, the model calculates the entitlement and usage charges that would recover the allowed revenue for each of these charges, using the updated demand forecasts. </t>
  </si>
  <si>
    <t>The re-calculated charges include</t>
  </si>
  <si>
    <t>The model comprises three sections</t>
  </si>
  <si>
    <t>-</t>
  </si>
  <si>
    <t>2017 Determination charges</t>
  </si>
  <si>
    <t xml:space="preserve">(i) </t>
  </si>
  <si>
    <t>(ii)</t>
  </si>
  <si>
    <t>(iii)</t>
  </si>
  <si>
    <t>REVENUE FORECASTS</t>
  </si>
  <si>
    <t>Detailed calculations</t>
  </si>
  <si>
    <t>All other inputs, assumptions and calculation methodologies are consistent with the 2017 Determination.</t>
  </si>
  <si>
    <t>showing calculated charges, indicative customer bills and revenue comparisons*.</t>
  </si>
  <si>
    <t>kL</t>
  </si>
  <si>
    <t>TABLE 1.3 - ACTUAL WATER ALLOCATIONS</t>
  </si>
  <si>
    <t>FRWS MAQ</t>
  </si>
  <si>
    <t>TABLE 3.2 - GENERAL SECURITY ENTITLEMENT CHARGES</t>
  </si>
  <si>
    <t>TABLE 6.1 - FISH RIVER USAGE AND MAQ VALUES</t>
  </si>
  <si>
    <t>6  FISH RIVER WATER SUPPLY SCHEME (FRWS) CALCULATIONS</t>
  </si>
  <si>
    <t>This worksheet calculates the usage, MAQ and required revenue components needed to calculate the FRWS charges for each customer type and each water type.</t>
  </si>
  <si>
    <t>TABLE 3.5 - FISH RIVER WATER SUPPLY SCHEME CHARGES</t>
  </si>
  <si>
    <t>4  OUTPUTS</t>
  </si>
  <si>
    <t>TABLE 4.4 - FISH RIVER WATER SUPPLY SCHEME CHARGES</t>
  </si>
  <si>
    <t xml:space="preserve">TABLE 5.2 - TWENTY YEAR AVERAGE ACTUAL ALLOCATIONS </t>
  </si>
  <si>
    <t>TABLE 5.3 - RELIABILITY RATIO AND HIGH SECURITY ENTITLEMENT PREMIUM</t>
  </si>
  <si>
    <t>na</t>
  </si>
  <si>
    <t>TABLE 4.8 - INDICATIVE BILLS FOR CUSTOMERS IN THE FRWS</t>
  </si>
  <si>
    <t>TABLE 4.6 - INDICATIVE BILLS FOR GENERAL SECURITY CUSTOMERS  - WaterNSW CHARGES</t>
  </si>
  <si>
    <t>TABLE 4.5 - INDICATIVE BILLS FOR HIGH SECURITY CUSTOMERS  - WaterNSW CHARGES</t>
  </si>
  <si>
    <t xml:space="preserve">Reliability Ratio </t>
  </si>
  <si>
    <t>Reliability Ratio = 20-year average HS allocations / 20-year average GS allocations</t>
  </si>
  <si>
    <t>TABLE 2.3 - MDBA/BRC REVENUE REQUIREMENT</t>
  </si>
  <si>
    <t>TABLE 5.6 - REVENUE TO BE RECOVERED FROM CHARGES (ONLY MDBA/BRC REVENUE)</t>
  </si>
  <si>
    <t>TABLE 5.5 - REVENUE TO BE RECOVERED FROM CHARGES (EXCLUDING MDBA/BRC REVENUE)</t>
  </si>
  <si>
    <t>TABLE 5.4 - TOTAL NUMBER OF 'GS ENTITLEMENT EQUIVALENTS'</t>
  </si>
  <si>
    <t>GS entitlement equivalents' are used to calculate entitlement charges.  GS entitlement equivalents = GS entitlements + HS entitlements * HS entitlement premium</t>
  </si>
  <si>
    <t>Note: these 20-year averages are lagged by 2 years.</t>
  </si>
  <si>
    <t>Note: the 20-year averages in this table are lagged by 2 years.</t>
  </si>
  <si>
    <t>TABLE 1.4 - FISH RIVER WATER SUPPLY SCHEME (FRWS) MINOR CUSTOMER NUMBERS AND MAQ ENTITLEMENT LEVELS</t>
  </si>
  <si>
    <t>Minor customer numbers</t>
  </si>
  <si>
    <t>MDBA/BRC Revenue requirement</t>
  </si>
  <si>
    <t>MDBA/BRC Revenue recovered from entitlement charges</t>
  </si>
  <si>
    <t>MDB Valleys</t>
  </si>
  <si>
    <t>TABLE 4.7 - INDICATIVE BILLS FOR HIGH SECURITY AND GENERAL SECURITY CUSTOMERS - MDBA/BRC CHARGES</t>
  </si>
  <si>
    <t>Revenue to be recovered from entitlement charges (MDBA/BRC)</t>
  </si>
  <si>
    <t>5  MDB VALLEY CALCULATIONS</t>
  </si>
  <si>
    <t>NB: do not place data in columns F to I of row below</t>
  </si>
  <si>
    <t>TABLE 2.5 - CUSTOMER USAGE VOLUMES FOR CALCULATION OF BILLS</t>
  </si>
  <si>
    <t>Note: indicative bills for FRWS customers based on total usage in each customer class / customers within class.</t>
  </si>
  <si>
    <t>This worksheet calculates the usage volumes, entitlement numbers, entitlement premiums and revenue to be recovered from charges in the MDB valleys.</t>
  </si>
  <si>
    <t>High Security Premium = Reliability Ratio * Security Factor</t>
  </si>
  <si>
    <t>TABLE 6.2 - FISH RIVER REQUIRED REVENUE CALCULATIONS</t>
  </si>
  <si>
    <r>
      <t>Maximum allowed revenue and other inputs assumptions consistent with the 2017 Determination (</t>
    </r>
    <r>
      <rPr>
        <sz val="9"/>
        <rFont val="Arial"/>
        <family val="2"/>
      </rPr>
      <t>'2017 Determination - revenue')</t>
    </r>
  </si>
  <si>
    <r>
      <t>Usage and entitlement volumes, required revenue and entitlement premiums for the MDB valleys (</t>
    </r>
    <r>
      <rPr>
        <sz val="9"/>
        <rFont val="Arial"/>
        <family val="2"/>
      </rPr>
      <t>MDB calcs)</t>
    </r>
  </si>
  <si>
    <r>
      <t>Usage volumes, MAQ levels and required revenue for FRWS customers (</t>
    </r>
    <r>
      <rPr>
        <sz val="9"/>
        <rFont val="Arial"/>
        <family val="2"/>
      </rPr>
      <t>FRWS calcs)</t>
    </r>
  </si>
  <si>
    <t>2  ALLOWED REVENUE, SECURITY FACTORS AND VOLUMES FOR INDICATIVE CUSTOMER BILLS</t>
  </si>
  <si>
    <t>Note: This ratio reflects the relative security of supply between HS and GS entitlements and is used to calculate the high security premium.</t>
  </si>
  <si>
    <t>Note: Inputs in this table are assumptions that we use to calculate indicative customer bills.</t>
  </si>
  <si>
    <t>This worksheet records the charges under the 2017 Determination.</t>
  </si>
  <si>
    <t>Revenue to be recovered from charges (total)</t>
  </si>
  <si>
    <t>Revenue to be recovered from usage charges</t>
  </si>
  <si>
    <t>Revenue to be recovered from usage charges (MDBA/BRC)</t>
  </si>
  <si>
    <t>TABLE 5.1 - USAGE AND ENTITLEMENT VOLUMES FOR CALCULATIONS</t>
  </si>
  <si>
    <t>TABLE 2.4 - SECURITY FACTORS</t>
  </si>
  <si>
    <t>This worksheet records the updated usage and entitlement volumes that are used to calculate updated prices for the Annual Review.  WaterNSW provides the updated  volumes.</t>
  </si>
  <si>
    <t>This worksheet records the required revenue that was calculated as part of our 2017 review of prices, as well as other inputs consistent with that review.</t>
  </si>
  <si>
    <t xml:space="preserve">Data sourced from 2017 review  model, Prices &amp; Revenue worksheet, Table C2.4, N485-O492.  </t>
  </si>
  <si>
    <t>Data sourced from 2017 review  model, Cost Scenario worksheet, Table 10.6, Column W, row 270-283.  The smoothed NPV of costs over the determination period.</t>
  </si>
  <si>
    <t xml:space="preserve">Data sourced from 2017 review  model, Price Scenario worksheet, Table 11.3, row 294-302. </t>
  </si>
  <si>
    <t>Data sourced from 2017 review  model, Price Scenario worksheet, Table 11.3, Column N-Q, row 206. (Same proportion for all valleys).</t>
  </si>
  <si>
    <t>Data sourced from 2017 review  model, Pricing inputs worksheet, Table 7.4, row 203-211</t>
  </si>
  <si>
    <t>Data sourced from 2017 review  model, Prices &amp; Revenue worksheet, Table C2.4, Column N-Q, row 529-536.</t>
  </si>
  <si>
    <t>Data sourced from 2017 review  model, Pricing inputs worksheet, Table 7.1, Column I, row 24-31.  (The Security Factor is held constant over the Determination period)</t>
  </si>
  <si>
    <t>Note: 'Water allocations' refer to the proportion of their entitlement volumes that licence holders are permitted to extract each year</t>
  </si>
  <si>
    <t>General security entitlement charges</t>
  </si>
  <si>
    <t>High security entitlement charges</t>
  </si>
  <si>
    <t>TABLE 4.1 - TOTAL CHARGES FOR MDB CUSTOMERS</t>
  </si>
  <si>
    <t>TABLE 3.1 - USAGE CHARGES</t>
  </si>
  <si>
    <t xml:space="preserve">TABLE 3.3 - HIGH SECURITY ENTITLEMENT CHARGES </t>
  </si>
  <si>
    <t>A</t>
  </si>
  <si>
    <t>B</t>
  </si>
  <si>
    <t>C</t>
  </si>
  <si>
    <t>C/A</t>
  </si>
  <si>
    <t>B/A</t>
  </si>
  <si>
    <t>Total forecast revenue</t>
  </si>
  <si>
    <t>Total revenue from MDB and FRWS customers</t>
  </si>
  <si>
    <t>WaterNSW revenue from MDB valley customers (ie, excluding MDBA/BRC revenue)</t>
  </si>
  <si>
    <t>Revenue from FRWS customers</t>
  </si>
  <si>
    <t>Charges entered or calculated in $2016-17 are rounded to two decimal places. The rounded $2016-17 charges are inflated to $2017-18 and these $2017-18 charges are then rounded to two decimal places (the nearest cent).</t>
  </si>
  <si>
    <t>The rounded $2017-18 charges calculated in step 1 are inflated to $2018-19 and these $2018-19 charges are then rounded to two decimal places (the nearest cent).</t>
  </si>
  <si>
    <t>The model uses this method of indexation to maintain consistency with the 2017 determination, which published prices in $2017-18 and to the nearest cent.</t>
  </si>
  <si>
    <t xml:space="preserve">MDBA/BRC entitlement and usage charges, and </t>
  </si>
  <si>
    <t>Step 1</t>
  </si>
  <si>
    <t>Step 2</t>
  </si>
  <si>
    <t>Maricar Horbino</t>
  </si>
  <si>
    <t>maricar_horbino@ipart.nsw.gov.au</t>
  </si>
  <si>
    <t>Inflation to $2019-20</t>
  </si>
  <si>
    <t>Step 3</t>
  </si>
  <si>
    <t>The rounded $2018-19 charges calculated in step 2 are inflated to $2019-20 and these $2019-20 charges are then rounded to two decimal places (the nearest cent).</t>
  </si>
  <si>
    <t>$2019-20</t>
  </si>
  <si>
    <t>2019-20</t>
  </si>
  <si>
    <t>Estimate</t>
  </si>
  <si>
    <t>Note: these averages are lagged by 2 years.</t>
  </si>
  <si>
    <t>Index</t>
  </si>
  <si>
    <t>$2017-18</t>
  </si>
  <si>
    <t>CPI used to convert $2016-17 prices to $2017-18 prices</t>
  </si>
  <si>
    <t>CPI calculations to convert $2017-18 prices</t>
  </si>
  <si>
    <t>Year-on-year change</t>
  </si>
  <si>
    <t>Change in Index (CPI) from $2017-18</t>
  </si>
  <si>
    <t>TABLE 2.1 - INFLATION AS PER 2017 DETERMINATION</t>
  </si>
  <si>
    <t>TABLE 4.2 - WaterNSW CHARGES</t>
  </si>
  <si>
    <t>TABLE 4.3 - MDBA/BRC CHARGES</t>
  </si>
  <si>
    <t>WaterNSW - Rural water pricing annual update 2020-21</t>
  </si>
  <si>
    <t>Volumetric data, including actual 2016-17, 2017-18 and 2018-19 volumes provided by WaterNSW ('Updated volumes') as part of Annual Review process</t>
  </si>
  <si>
    <t>* Comparisons of revenue using the 2017 Determination charges versus the re-calculated charges (and the updated 2020-21 demand forecasts).</t>
  </si>
  <si>
    <t>This model uses a three step process to inflate $2016-17 charges into $2020-21:</t>
  </si>
  <si>
    <t>Step 4</t>
  </si>
  <si>
    <t>2020-21</t>
  </si>
  <si>
    <t>$2020-21</t>
  </si>
  <si>
    <t>Re-calculated using updated demand</t>
  </si>
  <si>
    <t>As per 2017 Price Review</t>
  </si>
  <si>
    <t>Difference</t>
  </si>
  <si>
    <r>
      <t xml:space="preserve">Analysis of 2020-21 Charges based on </t>
    </r>
    <r>
      <rPr>
        <b/>
        <sz val="9"/>
        <rFont val="Calibri"/>
        <family val="2"/>
      </rPr>
      <t>∆</t>
    </r>
    <r>
      <rPr>
        <b/>
        <sz val="9"/>
        <rFont val="Arial"/>
        <family val="2"/>
      </rPr>
      <t xml:space="preserve"> in demand 
(expressed in $2016-17)</t>
    </r>
  </si>
  <si>
    <t xml:space="preserve"> Difference </t>
  </si>
  <si>
    <r>
      <t xml:space="preserve">Analysis of 2020-21 Charges based on </t>
    </r>
    <r>
      <rPr>
        <b/>
        <sz val="9"/>
        <rFont val="Calibri"/>
        <family val="2"/>
      </rPr>
      <t>∆</t>
    </r>
    <r>
      <rPr>
        <b/>
        <sz val="9"/>
        <rFont val="Arial"/>
        <family val="2"/>
      </rPr>
      <t xml:space="preserve"> in demand and CPI 
(expressed in $2020-21)</t>
    </r>
  </si>
  <si>
    <t xml:space="preserve">Difference </t>
  </si>
  <si>
    <t>Bill analysis of based on ∆ in demand and CPI</t>
  </si>
  <si>
    <t>TABLE 4.9 - Comparison of WaterNSW'S Forecast Revenue in 2020-21 under different scenarios (2016-17 $'000)</t>
  </si>
  <si>
    <t>Forecast revenue using updated demand (but charges are per 2017 Price Review)</t>
  </si>
  <si>
    <r>
      <t xml:space="preserve">Difference between A and B
(Revenue analysis based on </t>
    </r>
    <r>
      <rPr>
        <b/>
        <sz val="9"/>
        <rFont val="Calibri"/>
        <family val="2"/>
      </rPr>
      <t>∆</t>
    </r>
    <r>
      <rPr>
        <b/>
        <sz val="9"/>
        <rFont val="Arial"/>
        <family val="2"/>
      </rPr>
      <t xml:space="preserve"> in demand only)</t>
    </r>
  </si>
  <si>
    <r>
      <t xml:space="preserve">Forecast revenue using updated demand and charges (based on </t>
    </r>
    <r>
      <rPr>
        <b/>
        <sz val="9"/>
        <rFont val="Calibri"/>
        <family val="2"/>
      </rPr>
      <t>∆</t>
    </r>
    <r>
      <rPr>
        <b/>
        <sz val="9"/>
        <rFont val="Arial"/>
        <family val="2"/>
      </rPr>
      <t xml:space="preserve"> in demand)</t>
    </r>
  </si>
  <si>
    <t>Difference between A and C
(Revenue analysis based on ∆ in demand and updated charges)</t>
  </si>
  <si>
    <t>This model updates the 20-year historical average for 2020-21 by using  data from 1999-2000 to 2018-19.  It then uses these updated forecasts to calculate new 2020-21  charges.</t>
  </si>
  <si>
    <t>IPART colour codes for models, spreadsheets and information requests</t>
  </si>
  <si>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</si>
  <si>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</si>
  <si>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</si>
  <si>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</si>
  <si>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 and spreadsheets</t>
  </si>
  <si>
    <t>numbers</t>
  </si>
  <si>
    <t xml:space="preserve">Inputs with default values, default values are shown in italics next to or below </t>
  </si>
  <si>
    <t>Hard-coded values used that should not be changed, eg credit ratings or '1' at the start of an index series.</t>
  </si>
  <si>
    <t>Links from other files (green)</t>
  </si>
  <si>
    <t>Error check (check =0)</t>
  </si>
  <si>
    <t>Error warnings, messages and unusual calculation assumptions</t>
  </si>
  <si>
    <t>Indicate change in formula across row with a double red line</t>
  </si>
  <si>
    <t>Note:  You can combine options for inputs, eg:</t>
  </si>
  <si>
    <t xml:space="preserve">Inputs can be links to other files </t>
  </si>
  <si>
    <t xml:space="preserve">You can drawn attention to unusual inputs </t>
  </si>
  <si>
    <t>Information Requests</t>
  </si>
  <si>
    <t>Inputs for historical years (actual values)</t>
  </si>
  <si>
    <t>Forecast inputs</t>
  </si>
  <si>
    <t>Error warnings and messages</t>
  </si>
  <si>
    <t>QA notes - annotation or documenation by QA staff</t>
  </si>
  <si>
    <t>User Instructions - IPART CHARTS</t>
  </si>
  <si>
    <t>Blue</t>
  </si>
  <si>
    <t>Mid Grey</t>
  </si>
  <si>
    <t>Pale Blue</t>
  </si>
  <si>
    <t>Green</t>
  </si>
  <si>
    <t>Charcoal</t>
  </si>
  <si>
    <t>Orange</t>
  </si>
  <si>
    <t>Purple</t>
  </si>
  <si>
    <t>Pink</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</si>
  <si>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</si>
  <si>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</si>
  <si>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</si>
  <si>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</si>
  <si>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</si>
  <si>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</si>
  <si>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</si>
  <si>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</si>
  <si>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</si>
  <si>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</si>
  <si>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</si>
  <si>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</si>
  <si>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</si>
  <si>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</si>
  <si>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</si>
  <si>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</si>
  <si>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This model calculates 2020-21 water entitlement and usage charges for the Murray Darling Basin (MDB) and the Fish River Water Supply Scheme (Fish River) based on updated demand forecasts.</t>
  </si>
  <si>
    <t>The rounded $2019-20 charges calculated in step 3 are inflated to $2020-21 and these $2020-21 charges are then rounded to two decimal places (the nearest cent).</t>
  </si>
  <si>
    <t xml:space="preserve">   -  Entitlement charges are calculated using single year volumes with the same two year lag, eg. 2010-21 entitlement charges are calculated using 2018-19 entitlement volumes.</t>
  </si>
  <si>
    <t xml:space="preserve">   - Variable usage charges are calculated using rolling 20-year historical average volumes with a two year lag, eg, 2020-21 usage charges are calculated using 1999-00 to 2018-19 volumes.</t>
  </si>
  <si>
    <t>Notional revenue requirement for 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</si>
</sst>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
    <numFmt numFmtId="167" formatCode="#,##0.0"/>
    <numFmt numFmtId="168" formatCode="_(* #,##0.0_);_(* \(#,##0.0\);_(* &quot;-&quot;??_);_(@_)"/>
    <numFmt numFmtId="169" formatCode="_-* #,##0.0000_-;\-* #,##0.0000_-;_-* &quot;-&quot;??_-;_-@_-"/>
    <numFmt numFmtId="170" formatCode="0.000"/>
    <numFmt numFmtId="171" formatCode="_-* #,##0_-;\-* #,##0_-;_-* &quot;-&quot;??_-;_-@_-"/>
    <numFmt numFmtId="172" formatCode="_-\ #,##0.0_-;\-\ #,##0.0_-;_-\ &quot;ok&quot;_-;_-@_-"/>
    <numFmt numFmtId="173" formatCode="_-\ #,##0_-;\-\ #,##0_-;_-\ &quot;-&quot;_-;_-@_-"/>
    <numFmt numFmtId="174" formatCode="mmm\ yy"/>
    <numFmt numFmtId="175" formatCode="_-&quot;$&quot;#,##0.0_-;\-&quot;$&quot;#,##0.0_-;_ &quot;-&quot;_-;_-@_-"/>
    <numFmt numFmtId="176" formatCode="0%_);\(0%\);\-_);@_)"/>
    <numFmt numFmtId="177" formatCode="&quot;[&quot;@&quot;]&quot;_)"/>
    <numFmt numFmtId="178" formatCode="0_ ;\-0\ "/>
    <numFmt numFmtId="179" formatCode="_-\ #,##0.0_-;\-\ #,##0.0_-;_-\ &quot;-&quot;_-;_-@_-"/>
    <numFmt numFmtId="180" formatCode="#,##0.00000"/>
    <numFmt numFmtId="181" formatCode="_(* #,##0_);_(* \(#,##0\);_(* &quot;-&quot;??_);_(@_)"/>
    <numFmt numFmtId="182" formatCode="_-\ &quot;ERROR&quot;_-;\-\ &quot;ERROR&quot;_-;_-\ &quot;ok&quot;_-;\-&quot;ERROR&quot;"/>
    <numFmt numFmtId="183" formatCode="_-\ &quot;YES&quot;_-;\-\ &quot;YES2&quot;_-;_-\ &quot;NO&quot;_-;_-@_-"/>
    <numFmt numFmtId="184" formatCode="_-\ #,##0.0_-;\-\ #,##0.0_-;_ &quot;-&quot;_-;_-@_-"/>
    <numFmt numFmtId="185" formatCode="mmm\ yyyy"/>
    <numFmt numFmtId="186" formatCode="_-dd/mm/yy_-;\-\ &quot;Error&quot;_-;_-\ &quot;-&quot;_-;_-@_-"/>
    <numFmt numFmtId="187" formatCode="_-&quot;$&quot;#,##0_-;[Red]\-&quot;$&quot;#,##0_-;_ &quot;-&quot;_-;_-@_-"/>
    <numFmt numFmtId="188" formatCode="_-&quot;$&quot;#,##0.00_-;[Red]\-&quot;$&quot;#,##0.00_-;_ &quot;-&quot;_-;_-@_-"/>
    <numFmt numFmtId="189" formatCode="_-\ #,##0.000_-;\-\ #,##0.000_-;_-\ &quot;-&quot;_-;_-@_-"/>
    <numFmt numFmtId="190" formatCode="0.000%_);\(0.000%\);\-_);@_)"/>
    <numFmt numFmtId="191" formatCode="0.000%"/>
  </numFmts>
  <fonts count="61">
    <font>
      <sz val="9"/>
      <name val="Arial"/>
      <family val="2"/>
    </font>
    <font>
      <sz val="11"/>
      <color theme="1"/>
      <name val="Book Antiqua"/>
      <family val="2"/>
      <scheme val="minor"/>
    </font>
    <font>
      <sz val="11"/>
      <color theme="1"/>
      <name val="Book Antiqua"/>
      <family val="2"/>
      <scheme val="minor"/>
    </font>
    <font>
      <sz val="11"/>
      <color theme="1"/>
      <name val="Book Antiqua"/>
      <family val="2"/>
      <scheme val="minor"/>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i/>
      <sz val="8"/>
      <name val="Arial"/>
      <family val="2"/>
    </font>
    <font>
      <b/>
      <sz val="15"/>
      <color theme="3"/>
      <name val="Book Antiqua"/>
      <family val="2"/>
      <scheme val="minor"/>
    </font>
    <font>
      <b/>
      <sz val="13"/>
      <color theme="3"/>
      <name val="Book Antiqua"/>
      <family val="2"/>
      <scheme val="minor"/>
    </font>
    <font>
      <b/>
      <sz val="11"/>
      <color theme="3"/>
      <name val="Book Antiqua"/>
      <family val="2"/>
      <scheme val="minor"/>
    </font>
    <font>
      <b/>
      <sz val="11"/>
      <color theme="1"/>
      <name val="Book Antiqua"/>
      <family val="2"/>
      <scheme val="minor"/>
    </font>
    <font>
      <b/>
      <sz val="9"/>
      <color theme="0"/>
      <name val="Arial"/>
      <family val="2"/>
    </font>
    <font>
      <sz val="9"/>
      <color theme="1"/>
      <name val="Arial"/>
      <family val="2"/>
    </font>
    <font>
      <sz val="9"/>
      <color rgb="FF0070C0"/>
      <name val="Arial"/>
      <family val="2"/>
    </font>
    <font>
      <sz val="9"/>
      <color theme="1" tint="0.34998626667073579"/>
      <name val="Arial"/>
      <family val="2"/>
    </font>
    <font>
      <sz val="10"/>
      <color theme="1"/>
      <name val="Calibri"/>
      <family val="2"/>
    </font>
    <font>
      <i/>
      <sz val="9"/>
      <color theme="5" tint="-0.24994659260841701"/>
      <name val="Arial"/>
      <family val="2"/>
    </font>
    <font>
      <u/>
      <sz val="10"/>
      <color theme="10"/>
      <name val="Arial"/>
      <family val="2"/>
    </font>
    <font>
      <i/>
      <sz val="9"/>
      <color rgb="FFC00000"/>
      <name val="Arial"/>
      <family val="2"/>
    </font>
    <font>
      <sz val="9"/>
      <color theme="1" tint="0.499984740745262"/>
      <name val="Arial"/>
      <family val="2"/>
    </font>
    <font>
      <b/>
      <sz val="10"/>
      <color theme="1"/>
      <name val="Arial"/>
      <family val="2"/>
    </font>
    <font>
      <sz val="8"/>
      <name val="Arial"/>
      <family val="2"/>
    </font>
    <font>
      <sz val="8"/>
      <color indexed="14"/>
      <name val="Arial"/>
      <family val="2"/>
    </font>
    <font>
      <b/>
      <sz val="9"/>
      <color theme="0" tint="-0.499984740745262"/>
      <name val="Arial"/>
      <family val="2"/>
    </font>
    <font>
      <b/>
      <u/>
      <sz val="9"/>
      <name val="Arial"/>
      <family val="2"/>
    </font>
    <font>
      <sz val="9"/>
      <color rgb="FFFF0000"/>
      <name val="Arial"/>
      <family val="2"/>
    </font>
    <font>
      <b/>
      <sz val="11"/>
      <color rgb="FF3F3F3F"/>
      <name val="Book Antiqua"/>
      <family val="2"/>
      <scheme val="minor"/>
    </font>
    <font>
      <b/>
      <sz val="9"/>
      <color theme="1"/>
      <name val="Arial"/>
      <family val="2"/>
    </font>
    <font>
      <sz val="10"/>
      <name val="Courier New"/>
      <family val="3"/>
    </font>
    <font>
      <b/>
      <sz val="12"/>
      <color theme="1"/>
      <name val="Calibri"/>
      <family val="2"/>
    </font>
    <font>
      <b/>
      <sz val="12"/>
      <color theme="0"/>
      <name val="Arial"/>
      <family val="2"/>
    </font>
    <font>
      <sz val="10"/>
      <name val="Verdana"/>
      <family val="2"/>
    </font>
    <font>
      <sz val="10"/>
      <color theme="1"/>
      <name val="Arial"/>
      <family val="2"/>
    </font>
    <font>
      <b/>
      <sz val="8"/>
      <color rgb="FFFF0000"/>
      <name val="Calibri"/>
      <family val="2"/>
    </font>
    <font>
      <sz val="12"/>
      <color theme="1"/>
      <name val="Book Antiqua"/>
      <family val="2"/>
      <charset val="128"/>
      <scheme val="minor"/>
    </font>
    <font>
      <sz val="9"/>
      <color theme="0"/>
      <name val="Arial"/>
      <family val="2"/>
    </font>
    <font>
      <b/>
      <sz val="9"/>
      <name val="Calibri"/>
      <family val="2"/>
    </font>
    <font>
      <b/>
      <sz val="9"/>
      <color indexed="12"/>
      <name val="Arial"/>
      <family val="2"/>
    </font>
    <font>
      <sz val="9"/>
      <color indexed="81"/>
      <name val="Tahoma"/>
      <family val="2"/>
    </font>
    <font>
      <b/>
      <sz val="9"/>
      <color indexed="81"/>
      <name val="Tahoma"/>
      <family val="2"/>
    </font>
    <font>
      <sz val="10"/>
      <name val="Arial Narrow"/>
      <family val="2"/>
    </font>
    <font>
      <b/>
      <sz val="10"/>
      <color indexed="10"/>
      <name val="Arial"/>
      <family val="2"/>
    </font>
    <font>
      <b/>
      <sz val="10"/>
      <name val="Arial"/>
      <family val="2"/>
    </font>
    <font>
      <b/>
      <sz val="12"/>
      <color indexed="10"/>
      <name val="Arial"/>
      <family val="2"/>
    </font>
    <font>
      <sz val="10"/>
      <color indexed="12"/>
      <name val="Arial"/>
      <family val="2"/>
    </font>
    <font>
      <b/>
      <sz val="10"/>
      <color indexed="57"/>
      <name val="Arial"/>
      <family val="2"/>
    </font>
  </fonts>
  <fills count="4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6"/>
        <bgColor indexed="64"/>
      </patternFill>
    </fill>
    <fill>
      <patternFill patternType="solid">
        <fgColor indexed="22"/>
        <bgColor indexed="64"/>
      </patternFill>
    </fill>
    <fill>
      <patternFill patternType="solid">
        <fgColor indexed="41"/>
        <bgColor indexed="30"/>
      </patternFill>
    </fill>
    <fill>
      <patternFill patternType="solid">
        <fgColor indexed="20"/>
        <bgColor indexed="64"/>
      </patternFill>
    </fill>
    <fill>
      <patternFill patternType="solid">
        <fgColor indexed="31"/>
        <bgColor indexed="15"/>
      </patternFill>
    </fill>
    <fill>
      <patternFill patternType="solid">
        <fgColor theme="5" tint="0.79998168889431442"/>
        <bgColor indexed="64"/>
      </patternFill>
    </fill>
    <fill>
      <patternFill patternType="solid">
        <fgColor rgb="FFFFFFCC"/>
        <bgColor indexed="64"/>
      </patternFill>
    </fill>
    <fill>
      <patternFill patternType="solid">
        <fgColor indexed="26"/>
        <bgColor indexed="13"/>
      </patternFill>
    </fill>
    <fill>
      <patternFill patternType="solid">
        <fgColor rgb="FF0A419B"/>
        <bgColor indexed="64"/>
      </patternFill>
    </fill>
    <fill>
      <patternFill patternType="solid">
        <fgColor indexed="27"/>
        <bgColor indexed="64"/>
      </patternFill>
    </fill>
    <fill>
      <patternFill patternType="solid">
        <fgColor theme="7" tint="0.59996337778862885"/>
        <bgColor indexed="64"/>
      </patternFill>
    </fill>
    <fill>
      <patternFill patternType="solid">
        <fgColor rgb="FFE7FFE7"/>
        <bgColor indexed="64"/>
      </patternFill>
    </fill>
    <fill>
      <patternFill patternType="solid">
        <fgColor indexed="55"/>
        <bgColor indexed="64"/>
      </patternFill>
    </fill>
    <fill>
      <patternFill patternType="solid">
        <fgColor rgb="FF9BD7EB"/>
        <bgColor indexed="64"/>
      </patternFill>
    </fill>
    <fill>
      <patternFill patternType="solid">
        <fgColor rgb="FF75F1F1"/>
        <bgColor indexed="64"/>
      </patternFill>
    </fill>
    <fill>
      <patternFill patternType="solid">
        <fgColor rgb="FF00FF00"/>
        <bgColor indexed="64"/>
      </patternFill>
    </fill>
    <fill>
      <patternFill patternType="solid">
        <fgColor theme="0" tint="-0.249977111117893"/>
        <bgColor indexed="64"/>
      </patternFill>
    </fill>
    <fill>
      <patternFill patternType="solid">
        <fgColor rgb="FFF2F2F2"/>
      </patternFill>
    </fill>
    <fill>
      <patternFill patternType="solid">
        <fgColor theme="5" tint="0.59999389629810485"/>
        <bgColor indexed="65"/>
      </patternFill>
    </fill>
    <fill>
      <patternFill patternType="solid">
        <fgColor theme="7" tint="0.79998168889431442"/>
        <bgColor indexed="65"/>
      </patternFill>
    </fill>
    <fill>
      <patternFill patternType="solid">
        <fgColor theme="3" tint="0.79998168889431442"/>
        <bgColor indexed="64"/>
      </patternFill>
    </fill>
    <fill>
      <patternFill patternType="solid">
        <fgColor rgb="FF009BCD"/>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rgb="FFE7E4D5"/>
        <bgColor indexed="64"/>
      </patternFill>
    </fill>
    <fill>
      <patternFill patternType="solid">
        <fgColor rgb="FF82A0CD"/>
        <bgColor indexed="64"/>
      </patternFill>
    </fill>
    <fill>
      <patternFill patternType="solid">
        <fgColor rgb="FFC3D7F0"/>
        <bgColor indexed="64"/>
      </patternFill>
    </fill>
    <fill>
      <patternFill patternType="solid">
        <fgColor rgb="FFF2F2F2"/>
        <bgColor indexed="64"/>
      </patternFill>
    </fill>
    <fill>
      <patternFill patternType="solid">
        <fgColor rgb="FFCCFFCC"/>
        <bgColor indexed="64"/>
      </patternFill>
    </fill>
    <fill>
      <patternFill patternType="solid">
        <fgColor rgb="FF4BACC6"/>
        <bgColor indexed="64"/>
      </patternFill>
    </fill>
    <fill>
      <patternFill patternType="solid">
        <fgColor rgb="FFFFC000"/>
        <bgColor indexed="64"/>
      </patternFill>
    </fill>
    <fill>
      <patternFill patternType="solid">
        <fgColor rgb="FF0000FF"/>
        <bgColor indexed="64"/>
      </patternFill>
    </fill>
    <fill>
      <patternFill patternType="lightVertical">
        <bgColor rgb="FFFFC000"/>
      </patternFill>
    </fill>
    <fill>
      <patternFill patternType="lightHorizontal">
        <bgColor rgb="FFFFC000"/>
      </patternFill>
    </fill>
    <fill>
      <patternFill patternType="solid">
        <fgColor theme="0"/>
        <bgColor rgb="FF00FFFF"/>
      </patternFill>
    </fill>
    <fill>
      <patternFill patternType="solid">
        <fgColor indexed="18"/>
        <bgColor rgb="FF00FFFF"/>
      </patternFill>
    </fill>
    <fill>
      <patternFill patternType="solid">
        <fgColor indexed="9"/>
        <bgColor indexed="64"/>
      </patternFill>
    </fill>
    <fill>
      <patternFill patternType="solid">
        <fgColor indexed="8"/>
        <bgColor indexed="64"/>
      </patternFill>
    </fill>
  </fills>
  <borders count="37">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double">
        <color indexed="10"/>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bottom style="double">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double">
        <color rgb="FFFF0000"/>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right style="double">
        <color theme="6"/>
      </right>
      <top/>
      <bottom/>
      <diagonal/>
    </border>
  </borders>
  <cellStyleXfs count="285">
    <xf numFmtId="0" fontId="0" fillId="0" borderId="0"/>
    <xf numFmtId="43" fontId="4" fillId="0" borderId="0" applyFont="0" applyFill="0" applyBorder="0" applyAlignment="0" applyProtection="0"/>
    <xf numFmtId="41" fontId="4" fillId="0" borderId="0" applyFont="0" applyFill="0" applyBorder="0" applyAlignment="0" applyProtection="0"/>
    <xf numFmtId="0" fontId="4" fillId="0" borderId="18" applyNumberFormat="0" applyFont="0" applyFill="0" applyAlignment="0" applyProtection="0"/>
    <xf numFmtId="165" fontId="37" fillId="0" borderId="0" applyNumberFormat="0" applyFill="0" applyBorder="0" applyAlignment="0">
      <alignment horizontal="left"/>
    </xf>
    <xf numFmtId="0" fontId="6" fillId="0" borderId="0" applyNumberFormat="0" applyFill="0" applyBorder="0" applyAlignment="0"/>
    <xf numFmtId="4" fontId="4" fillId="4" borderId="0" applyBorder="0" applyAlignment="0">
      <alignment horizontal="right"/>
      <protection locked="0"/>
    </xf>
    <xf numFmtId="166" fontId="4" fillId="4" borderId="0" applyBorder="0" applyAlignment="0">
      <alignment horizontal="right"/>
      <protection locked="0"/>
    </xf>
    <xf numFmtId="3" fontId="8" fillId="0" borderId="0" applyNumberFormat="0" applyFill="0" applyBorder="0" applyAlignment="0" applyProtection="0">
      <protection locked="0"/>
    </xf>
    <xf numFmtId="41" fontId="9" fillId="5" borderId="0" applyNumberFormat="0" applyBorder="0" applyAlignment="0"/>
    <xf numFmtId="0" fontId="10" fillId="0" borderId="0" applyNumberFormat="0" applyFill="0" applyBorder="0" applyAlignment="0" applyProtection="0"/>
    <xf numFmtId="0" fontId="15" fillId="0" borderId="0" applyNumberFormat="0" applyFill="0" applyBorder="0" applyAlignment="0" applyProtection="0"/>
    <xf numFmtId="167" fontId="4" fillId="2" borderId="0" applyBorder="0" applyAlignment="0">
      <alignment horizontal="right"/>
      <protection locked="0"/>
    </xf>
    <xf numFmtId="166" fontId="4" fillId="3" borderId="0" applyBorder="0" applyAlignment="0">
      <protection locked="0"/>
    </xf>
    <xf numFmtId="0" fontId="17" fillId="7" borderId="0" applyNumberFormat="0" applyBorder="0" applyAlignment="0" applyProtection="0"/>
    <xf numFmtId="166" fontId="4" fillId="2" borderId="0" applyBorder="0" applyAlignment="0">
      <alignment horizontal="left"/>
      <protection locked="0"/>
    </xf>
    <xf numFmtId="167" fontId="4" fillId="3" borderId="1" applyBorder="0" applyAlignment="0">
      <alignment horizontal="right"/>
      <protection locked="0"/>
    </xf>
    <xf numFmtId="10" fontId="4" fillId="4" borderId="0" applyBorder="0" applyAlignment="0">
      <alignment horizontal="right"/>
      <protection locked="0"/>
    </xf>
    <xf numFmtId="9" fontId="18" fillId="0" borderId="0" applyFont="0" applyBorder="0" applyAlignment="0" applyProtection="0"/>
    <xf numFmtId="9" fontId="18" fillId="0" borderId="0" applyFont="0" applyBorder="0" applyAlignment="0" applyProtection="0"/>
    <xf numFmtId="9" fontId="4" fillId="0" borderId="0" applyFon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0" borderId="17" applyNumberFormat="0" applyFill="0" applyAlignment="0" applyProtection="0"/>
    <xf numFmtId="167" fontId="4" fillId="9" borderId="0" applyBorder="0">
      <alignment horizontal="right"/>
    </xf>
    <xf numFmtId="166" fontId="4" fillId="9" borderId="0" applyBorder="0" applyAlignment="0"/>
    <xf numFmtId="3" fontId="4" fillId="11" borderId="0" applyNumberFormat="0" applyBorder="0" applyAlignment="0">
      <alignment horizontal="center"/>
      <protection locked="0"/>
    </xf>
    <xf numFmtId="3" fontId="4" fillId="10" borderId="8" applyNumberFormat="0" applyBorder="0" applyAlignment="0"/>
    <xf numFmtId="165" fontId="4" fillId="0" borderId="18" applyNumberFormat="0" applyFont="0" applyFill="0" applyAlignment="0" applyProtection="0">
      <alignment horizontal="left"/>
    </xf>
    <xf numFmtId="3" fontId="8" fillId="0" borderId="0" applyNumberFormat="0" applyFill="0" applyBorder="0" applyAlignment="0" applyProtection="0">
      <protection locked="0"/>
    </xf>
    <xf numFmtId="0" fontId="9" fillId="12" borderId="0" applyNumberFormat="0" applyAlignment="0"/>
    <xf numFmtId="166" fontId="7" fillId="3" borderId="0" applyFont="0" applyBorder="0" applyAlignment="0">
      <protection locked="0"/>
    </xf>
    <xf numFmtId="4" fontId="4" fillId="2" borderId="0" applyBorder="0" applyAlignment="0">
      <alignment horizontal="left"/>
      <protection locked="0"/>
    </xf>
    <xf numFmtId="166" fontId="4" fillId="2" borderId="0" applyBorder="0" applyAlignment="0">
      <alignment horizontal="right"/>
      <protection locked="0"/>
    </xf>
    <xf numFmtId="4" fontId="7" fillId="3" borderId="1" applyFont="0" applyBorder="0" applyAlignment="0">
      <alignment horizontal="right"/>
      <protection locked="0"/>
    </xf>
    <xf numFmtId="166" fontId="7" fillId="3" borderId="0" applyFont="0" applyBorder="0" applyAlignment="0">
      <protection locked="0"/>
    </xf>
    <xf numFmtId="10" fontId="7" fillId="4" borderId="0" applyFont="0" applyBorder="0">
      <alignment horizontal="right"/>
      <protection locked="0"/>
    </xf>
    <xf numFmtId="172" fontId="28" fillId="0" borderId="0" applyBorder="0"/>
    <xf numFmtId="173" fontId="29" fillId="14" borderId="0" applyNumberFormat="0" applyBorder="0" applyAlignment="0" applyProtection="0"/>
    <xf numFmtId="173" fontId="27" fillId="15" borderId="0" applyNumberFormat="0" applyBorder="0" applyAlignment="0">
      <protection locked="0"/>
    </xf>
    <xf numFmtId="165" fontId="5" fillId="0" borderId="0" applyNumberFormat="0" applyFill="0" applyBorder="0" applyAlignment="0">
      <alignment horizontal="left"/>
    </xf>
    <xf numFmtId="0" fontId="31" fillId="0" borderId="0" applyNumberFormat="0" applyFill="0" applyBorder="0" applyAlignment="0" applyProtection="0"/>
    <xf numFmtId="164" fontId="4" fillId="16" borderId="0" applyFont="0" applyBorder="0" applyAlignment="0">
      <protection locked="0"/>
    </xf>
    <xf numFmtId="173" fontId="26" fillId="17" borderId="16" applyNumberFormat="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164" fontId="4" fillId="3" borderId="0" applyFont="0" applyBorder="0" applyAlignment="0">
      <protection locked="0"/>
    </xf>
    <xf numFmtId="164" fontId="7" fillId="18" borderId="1" applyNumberFormat="0" applyFont="0" applyBorder="0" applyAlignment="0">
      <alignment horizontal="right"/>
      <protection locked="0"/>
    </xf>
    <xf numFmtId="4" fontId="4" fillId="4" borderId="0" applyBorder="0" applyAlignment="0">
      <alignment horizontal="right"/>
      <protection locked="0"/>
    </xf>
    <xf numFmtId="41" fontId="9" fillId="5" borderId="0" applyNumberFormat="0" applyBorder="0" applyAlignment="0"/>
    <xf numFmtId="0" fontId="10" fillId="0" borderId="0" applyNumberFormat="0" applyFill="0" applyBorder="0" applyAlignment="0" applyProtection="0"/>
    <xf numFmtId="175" fontId="27" fillId="19" borderId="0" applyNumberFormat="0" applyFont="0" applyBorder="0" applyAlignment="0" applyProtection="0"/>
    <xf numFmtId="3" fontId="27" fillId="20" borderId="0" applyNumberFormat="0" applyBorder="0" applyAlignment="0" applyProtection="0">
      <alignment horizontal="center"/>
    </xf>
    <xf numFmtId="176" fontId="30" fillId="0" borderId="0" applyFont="0" applyFill="0" applyBorder="0" applyAlignment="0" applyProtection="0"/>
    <xf numFmtId="0" fontId="9" fillId="12" borderId="0" applyNumberFormat="0" applyBorder="0" applyAlignment="0" applyProtection="0"/>
    <xf numFmtId="173" fontId="33" fillId="0" borderId="0" applyNumberFormat="0" applyProtection="0"/>
    <xf numFmtId="177" fontId="34" fillId="0" borderId="0" applyFill="0" applyBorder="0" applyProtection="0">
      <alignment horizontal="right"/>
    </xf>
    <xf numFmtId="178" fontId="9" fillId="21" borderId="0" applyBorder="0" applyAlignment="0"/>
    <xf numFmtId="174" fontId="26" fillId="17" borderId="0" applyBorder="0" applyAlignment="0" applyProtection="0"/>
    <xf numFmtId="0" fontId="4" fillId="13" borderId="0"/>
    <xf numFmtId="179" fontId="27" fillId="0" borderId="0"/>
    <xf numFmtId="179" fontId="27" fillId="0" borderId="0"/>
    <xf numFmtId="179" fontId="27" fillId="0" borderId="0"/>
    <xf numFmtId="176" fontId="30" fillId="0" borderId="0" applyFont="0" applyFill="0" applyBorder="0" applyAlignment="0" applyProtection="0"/>
    <xf numFmtId="176" fontId="30" fillId="0" borderId="0" applyFont="0" applyFill="0" applyBorder="0" applyAlignment="0" applyProtection="0"/>
    <xf numFmtId="179" fontId="35" fillId="22" borderId="20" applyNumberFormat="0"/>
    <xf numFmtId="179" fontId="27" fillId="23" borderId="0" applyNumberFormat="0" applyFont="0" applyBorder="0" applyAlignment="0" applyProtection="0"/>
    <xf numFmtId="0" fontId="17" fillId="24" borderId="0"/>
    <xf numFmtId="9" fontId="7" fillId="0" borderId="0" applyFont="0" applyFill="0" applyBorder="0" applyAlignment="0" applyProtection="0"/>
    <xf numFmtId="43"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1" fontId="9" fillId="5" borderId="0" applyNumberFormat="0" applyBorder="0" applyAlignment="0"/>
    <xf numFmtId="9" fontId="7" fillId="0" borderId="0" applyFont="0" applyFill="0" applyBorder="0" applyAlignment="0" applyProtection="0"/>
    <xf numFmtId="9" fontId="7" fillId="0" borderId="0" applyFont="0" applyFill="0" applyBorder="0" applyAlignment="0" applyProtection="0"/>
    <xf numFmtId="3" fontId="4" fillId="4" borderId="0" applyBorder="0" applyAlignment="0">
      <alignment horizontal="right"/>
      <protection locked="0"/>
    </xf>
    <xf numFmtId="0" fontId="43" fillId="0" borderId="0">
      <alignment vertical="center"/>
    </xf>
    <xf numFmtId="43" fontId="4" fillId="0" borderId="0" applyFont="0" applyFill="0" applyBorder="0" applyAlignment="0" applyProtection="0"/>
    <xf numFmtId="41" fontId="9" fillId="5" borderId="0" applyNumberFormat="0" applyBorder="0" applyAlignment="0"/>
    <xf numFmtId="4" fontId="7" fillId="3" borderId="24" applyFont="0" applyBorder="0" applyAlignment="0">
      <alignment horizontal="right"/>
      <protection locked="0"/>
    </xf>
    <xf numFmtId="9" fontId="4" fillId="0" borderId="0" applyFont="0" applyFill="0" applyBorder="0" applyAlignment="0" applyProtection="0"/>
    <xf numFmtId="182" fontId="27" fillId="0" borderId="0"/>
    <xf numFmtId="183" fontId="27" fillId="0" borderId="0" applyFill="0" applyBorder="0" applyProtection="0">
      <alignment horizontal="center"/>
    </xf>
    <xf numFmtId="0" fontId="44" fillId="28" borderId="0" applyNumberFormat="0" applyBorder="0" applyProtection="0">
      <alignment horizontal="center" vertical="center"/>
    </xf>
    <xf numFmtId="0" fontId="45" fillId="30" borderId="20" applyNumberFormat="0" applyProtection="0">
      <alignment vertical="top" wrapText="1"/>
    </xf>
    <xf numFmtId="0" fontId="27" fillId="27" borderId="0" applyNumberFormat="0" applyBorder="0" applyAlignment="0" applyProtection="0"/>
    <xf numFmtId="184" fontId="28" fillId="31" borderId="0" applyBorder="0" applyProtection="0"/>
    <xf numFmtId="43" fontId="7"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179" fontId="27" fillId="32" borderId="0" applyNumberFormat="0" applyBorder="0" applyProtection="0"/>
    <xf numFmtId="174" fontId="30" fillId="0" borderId="0" applyFont="0" applyFill="0" applyBorder="0" applyAlignment="0" applyProtection="0"/>
    <xf numFmtId="174" fontId="30" fillId="0" borderId="0" applyFont="0" applyFill="0" applyBorder="0" applyAlignment="0" applyProtection="0"/>
    <xf numFmtId="185" fontId="27" fillId="0" borderId="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3" fontId="27" fillId="33" borderId="0" applyNumberFormat="0" applyBorder="0" applyAlignment="0" applyProtection="0">
      <alignment horizontal="center"/>
    </xf>
    <xf numFmtId="9" fontId="7" fillId="0" borderId="0" applyFont="0" applyFill="0" applyBorder="0" applyAlignment="0" applyProtection="0"/>
    <xf numFmtId="41" fontId="4" fillId="16" borderId="0" applyFont="0" applyBorder="0" applyAlignment="0">
      <protection locked="0"/>
    </xf>
    <xf numFmtId="9" fontId="7" fillId="0" borderId="0" applyFont="0" applyFill="0" applyBorder="0" applyAlignment="0" applyProtection="0"/>
    <xf numFmtId="0" fontId="14" fillId="34" borderId="15" applyNumberFormat="0" applyBorder="0" applyAlignment="0" applyProtection="0"/>
    <xf numFmtId="3" fontId="42" fillId="35" borderId="0" applyNumberFormat="0" applyAlignment="0" applyProtection="0"/>
    <xf numFmtId="173" fontId="42" fillId="36" borderId="23" applyNumberFormat="0" applyBorder="0" applyAlignment="0"/>
    <xf numFmtId="41" fontId="4" fillId="3" borderId="0" applyFont="0" applyBorder="0" applyAlignment="0">
      <protection locked="0"/>
    </xf>
    <xf numFmtId="41" fontId="7" fillId="18" borderId="24" applyNumberFormat="0" applyFont="0" applyBorder="0" applyAlignment="0">
      <alignment horizontal="right"/>
      <protection locked="0"/>
    </xf>
    <xf numFmtId="167" fontId="4" fillId="3" borderId="24" applyBorder="0" applyAlignment="0">
      <alignment horizontal="right"/>
      <protection locked="0"/>
    </xf>
    <xf numFmtId="41" fontId="9" fillId="5" borderId="0" applyNumberFormat="0" applyBorder="0" applyAlignment="0"/>
    <xf numFmtId="187" fontId="4" fillId="0" borderId="0" applyFill="0" applyBorder="0" applyProtection="0"/>
    <xf numFmtId="175" fontId="4" fillId="0" borderId="0" applyFill="0" applyBorder="0" applyProtection="0">
      <alignment horizontal="right"/>
    </xf>
    <xf numFmtId="188" fontId="4" fillId="0" borderId="0" applyFill="0" applyBorder="0" applyProtection="0"/>
    <xf numFmtId="173" fontId="27" fillId="0" borderId="0" applyFill="0" applyBorder="0" applyProtection="0">
      <alignment horizontal="right"/>
    </xf>
    <xf numFmtId="181" fontId="27" fillId="0" borderId="0" applyFill="0" applyBorder="0" applyProtection="0"/>
    <xf numFmtId="179" fontId="27" fillId="0" borderId="0" applyFill="0" applyBorder="0" applyProtection="0">
      <alignment horizontal="right"/>
    </xf>
    <xf numFmtId="179" fontId="27" fillId="0" borderId="0"/>
    <xf numFmtId="179" fontId="27" fillId="0" borderId="0"/>
    <xf numFmtId="179" fontId="27" fillId="0" borderId="0"/>
    <xf numFmtId="179" fontId="27" fillId="0" borderId="0"/>
    <xf numFmtId="179" fontId="27" fillId="0" borderId="0"/>
    <xf numFmtId="179" fontId="27" fillId="0" borderId="0"/>
    <xf numFmtId="9" fontId="7" fillId="0" borderId="0" applyFont="0" applyFill="0" applyBorder="0" applyAlignment="0" applyProtection="0"/>
    <xf numFmtId="179" fontId="27" fillId="0" borderId="0"/>
    <xf numFmtId="179" fontId="27" fillId="0" borderId="0"/>
    <xf numFmtId="0" fontId="7" fillId="0" borderId="0"/>
    <xf numFmtId="0" fontId="46" fillId="0" borderId="0"/>
    <xf numFmtId="0" fontId="3" fillId="0" borderId="0"/>
    <xf numFmtId="179" fontId="27" fillId="0" borderId="0"/>
    <xf numFmtId="179" fontId="27" fillId="0" borderId="0"/>
    <xf numFmtId="179" fontId="27" fillId="0" borderId="0"/>
    <xf numFmtId="0" fontId="47" fillId="0" borderId="0"/>
    <xf numFmtId="0" fontId="7" fillId="0" borderId="0"/>
    <xf numFmtId="0" fontId="7" fillId="0" borderId="0"/>
    <xf numFmtId="0" fontId="3" fillId="0" borderId="0"/>
    <xf numFmtId="0" fontId="3" fillId="0" borderId="0"/>
    <xf numFmtId="0" fontId="3" fillId="0" borderId="0"/>
    <xf numFmtId="189" fontId="27" fillId="0" borderId="0" applyFill="0" applyBorder="0" applyProtection="0">
      <alignment horizontal="center"/>
    </xf>
    <xf numFmtId="179" fontId="27" fillId="0" borderId="0"/>
    <xf numFmtId="0" fontId="3" fillId="0" borderId="0"/>
    <xf numFmtId="0" fontId="3" fillId="0" borderId="0"/>
    <xf numFmtId="0" fontId="47" fillId="0" borderId="0"/>
    <xf numFmtId="179" fontId="27" fillId="0" borderId="0"/>
    <xf numFmtId="0" fontId="47" fillId="0" borderId="0"/>
    <xf numFmtId="179" fontId="27" fillId="0" borderId="0"/>
    <xf numFmtId="179" fontId="27" fillId="0" borderId="0"/>
    <xf numFmtId="0" fontId="47" fillId="0" borderId="0"/>
    <xf numFmtId="179" fontId="27" fillId="0" borderId="0"/>
    <xf numFmtId="0" fontId="7" fillId="0" borderId="0"/>
    <xf numFmtId="179" fontId="27" fillId="0" borderId="0"/>
    <xf numFmtId="0" fontId="47" fillId="0" borderId="0"/>
    <xf numFmtId="179" fontId="27" fillId="0" borderId="0"/>
    <xf numFmtId="179" fontId="27" fillId="0" borderId="0"/>
    <xf numFmtId="0" fontId="41" fillId="26" borderId="22" applyNumberFormat="0" applyAlignment="0" applyProtection="0"/>
    <xf numFmtId="173" fontId="27" fillId="29" borderId="0" applyNumberFormat="0" applyBorder="0" applyAlignment="0">
      <protection locked="0"/>
    </xf>
    <xf numFmtId="0" fontId="48" fillId="0" borderId="0" applyNumberFormat="0" applyFill="0" applyBorder="0" applyAlignment="0" applyProtection="0"/>
    <xf numFmtId="9" fontId="49" fillId="0" borderId="0" applyFont="0" applyFill="0" applyBorder="0" applyAlignment="0" applyProtection="0"/>
    <xf numFmtId="176" fontId="30" fillId="0" borderId="0" applyFont="0" applyFill="0" applyBorder="0" applyProtection="0">
      <alignment horizontal="right"/>
    </xf>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7" fillId="0" borderId="0" applyFont="0" applyFill="0" applyBorder="0" applyAlignment="0" applyProtection="0"/>
    <xf numFmtId="190"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9" fontId="27" fillId="37" borderId="0" applyNumberFormat="0" applyBorder="0" applyAlignment="0" applyProtection="0"/>
    <xf numFmtId="179" fontId="42" fillId="38" borderId="0" applyNumberFormat="0" applyBorder="0" applyAlignment="0" applyProtection="0">
      <alignment horizontal="right"/>
    </xf>
    <xf numFmtId="43" fontId="4" fillId="0" borderId="0" applyFont="0" applyFill="0" applyBorder="0" applyAlignment="0" applyProtection="0"/>
    <xf numFmtId="173" fontId="27" fillId="39" borderId="0" applyNumberFormat="0" applyFont="0" applyBorder="0" applyAlignment="0" applyProtection="0"/>
    <xf numFmtId="173" fontId="50" fillId="40" borderId="0" applyNumberFormat="0" applyBorder="0" applyAlignment="0" applyProtection="0"/>
    <xf numFmtId="173" fontId="27" fillId="41" borderId="0" applyNumberFormat="0" applyFont="0" applyBorder="0" applyAlignment="0" applyProtection="0"/>
    <xf numFmtId="173" fontId="27" fillId="42" borderId="0" applyNumberFormat="0" applyFont="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 fillId="5" borderId="0" applyNumberFormat="0" applyBorder="0" applyAlignment="0"/>
    <xf numFmtId="43" fontId="4" fillId="0" borderId="0" applyFont="0" applyFill="0" applyBorder="0" applyAlignment="0" applyProtection="0"/>
    <xf numFmtId="43" fontId="4" fillId="0" borderId="0" applyFont="0" applyFill="0" applyBorder="0" applyAlignment="0" applyProtection="0"/>
    <xf numFmtId="41" fontId="9" fillId="5" borderId="0" applyNumberFormat="0" applyBorder="0" applyAlignment="0"/>
    <xf numFmtId="41" fontId="9" fillId="5" borderId="0" applyNumberFormat="0" applyBorder="0" applyAlignment="0"/>
    <xf numFmtId="41" fontId="9" fillId="5" borderId="0" applyNumberFormat="0" applyBorder="0" applyAlignment="0"/>
    <xf numFmtId="41" fontId="9" fillId="5" borderId="0" applyNumberFormat="0" applyBorder="0" applyAlignment="0"/>
    <xf numFmtId="41" fontId="9" fillId="5" borderId="0" applyNumberFormat="0" applyBorder="0" applyAlignment="0"/>
    <xf numFmtId="167" fontId="4" fillId="2" borderId="0" applyBorder="0" applyAlignment="0">
      <alignment horizontal="right"/>
      <protection locked="0"/>
    </xf>
    <xf numFmtId="43" fontId="4" fillId="0" borderId="0" applyFont="0" applyFill="0" applyBorder="0" applyAlignment="0" applyProtection="0"/>
    <xf numFmtId="41" fontId="4" fillId="0" borderId="0" applyFont="0" applyFill="0" applyBorder="0" applyAlignment="0" applyProtection="0"/>
    <xf numFmtId="41" fontId="9" fillId="5" borderId="0" applyNumberFormat="0" applyBorder="0" applyAlignment="0"/>
    <xf numFmtId="41" fontId="9" fillId="5" borderId="0" applyNumberFormat="0" applyBorder="0" applyAlignment="0"/>
    <xf numFmtId="41" fontId="9" fillId="5" borderId="0" applyNumberFormat="0" applyBorder="0" applyAlignment="0"/>
    <xf numFmtId="43" fontId="4" fillId="0" borderId="0" applyFont="0" applyFill="0" applyBorder="0" applyAlignment="0" applyProtection="0"/>
    <xf numFmtId="0" fontId="4" fillId="0" borderId="0"/>
    <xf numFmtId="0" fontId="2" fillId="0" borderId="0"/>
    <xf numFmtId="0" fontId="7" fillId="0" borderId="0"/>
    <xf numFmtId="43" fontId="4" fillId="0" borderId="0" applyFont="0" applyFill="0" applyBorder="0" applyAlignment="0" applyProtection="0"/>
    <xf numFmtId="41" fontId="4" fillId="0" borderId="0" applyFont="0" applyFill="0" applyBorder="0" applyAlignment="0" applyProtection="0"/>
    <xf numFmtId="0" fontId="4" fillId="0" borderId="36" applyNumberFormat="0" applyFont="0" applyFill="0" applyAlignment="0" applyProtection="0"/>
    <xf numFmtId="41" fontId="9" fillId="5" borderId="0" applyNumberFormat="0" applyBorder="0" applyAlignment="0"/>
    <xf numFmtId="167" fontId="4" fillId="2" borderId="0" applyBorder="0">
      <alignment horizontal="right"/>
      <protection locked="0"/>
    </xf>
    <xf numFmtId="41" fontId="9" fillId="5" borderId="0" applyNumberFormat="0" applyBorder="0" applyAlignment="0"/>
    <xf numFmtId="43" fontId="4" fillId="0" borderId="0" applyFont="0" applyFill="0" applyBorder="0" applyAlignment="0" applyProtection="0"/>
    <xf numFmtId="41" fontId="4" fillId="0" borderId="0" applyFont="0" applyFill="0" applyBorder="0" applyAlignment="0" applyProtection="0"/>
    <xf numFmtId="41" fontId="9" fillId="5" borderId="0" applyNumberFormat="0" applyBorder="0" applyAlignment="0"/>
    <xf numFmtId="41" fontId="9" fillId="5" borderId="0" applyNumberFormat="0" applyBorder="0" applyAlignment="0"/>
    <xf numFmtId="43" fontId="4" fillId="0" borderId="0" applyFont="0" applyFill="0" applyBorder="0" applyAlignment="0" applyProtection="0"/>
    <xf numFmtId="41" fontId="9" fillId="5" borderId="0" applyNumberFormat="0" applyBorder="0" applyAlignment="0"/>
    <xf numFmtId="43" fontId="4" fillId="0" borderId="0" applyFont="0" applyFill="0" applyBorder="0" applyAlignment="0" applyProtection="0"/>
    <xf numFmtId="41" fontId="9" fillId="5" borderId="0" applyNumberFormat="0" applyBorder="0" applyAlignment="0"/>
    <xf numFmtId="43" fontId="7"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1" fontId="4" fillId="16" borderId="0" applyFont="0" applyBorder="0" applyAlignment="0">
      <protection locked="0"/>
    </xf>
    <xf numFmtId="41" fontId="4" fillId="3" borderId="0" applyFont="0" applyBorder="0" applyAlignment="0">
      <protection locked="0"/>
    </xf>
    <xf numFmtId="41" fontId="7" fillId="18" borderId="24" applyNumberFormat="0" applyFont="0" applyBorder="0" applyAlignment="0">
      <alignment horizontal="right"/>
      <protection locked="0"/>
    </xf>
    <xf numFmtId="41" fontId="9" fillId="5" borderId="0" applyNumberFormat="0" applyBorder="0" applyAlignment="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1" fontId="9" fillId="5" borderId="0" applyNumberFormat="0" applyBorder="0" applyAlignment="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 fillId="5" borderId="0" applyNumberFormat="0" applyBorder="0" applyAlignment="0"/>
    <xf numFmtId="43" fontId="4" fillId="0" borderId="0" applyFont="0" applyFill="0" applyBorder="0" applyAlignment="0" applyProtection="0"/>
    <xf numFmtId="43" fontId="4" fillId="0" borderId="0" applyFont="0" applyFill="0" applyBorder="0" applyAlignment="0" applyProtection="0"/>
    <xf numFmtId="41" fontId="9" fillId="5" borderId="0" applyNumberFormat="0" applyBorder="0" applyAlignment="0"/>
    <xf numFmtId="41" fontId="9" fillId="5" borderId="0" applyNumberFormat="0" applyBorder="0" applyAlignment="0"/>
    <xf numFmtId="41" fontId="9" fillId="5" borderId="0" applyNumberFormat="0" applyBorder="0" applyAlignment="0"/>
    <xf numFmtId="41" fontId="9" fillId="5" borderId="0" applyNumberFormat="0" applyBorder="0" applyAlignment="0"/>
    <xf numFmtId="41" fontId="9" fillId="5" borderId="0" applyNumberFormat="0" applyBorder="0" applyAlignment="0"/>
    <xf numFmtId="43" fontId="4" fillId="0" borderId="0" applyFont="0" applyFill="0" applyBorder="0" applyAlignment="0" applyProtection="0"/>
    <xf numFmtId="41" fontId="4" fillId="0" borderId="0" applyFont="0" applyFill="0" applyBorder="0" applyAlignment="0" applyProtection="0"/>
    <xf numFmtId="41" fontId="9" fillId="5" borderId="0" applyNumberFormat="0" applyBorder="0" applyAlignment="0"/>
    <xf numFmtId="41" fontId="9" fillId="5" borderId="0" applyNumberFormat="0" applyBorder="0" applyAlignment="0"/>
    <xf numFmtId="41" fontId="9" fillId="5" borderId="0" applyNumberFormat="0" applyBorder="0" applyAlignment="0"/>
    <xf numFmtId="43" fontId="4" fillId="0" borderId="0" applyFont="0" applyFill="0" applyBorder="0" applyAlignment="0" applyProtection="0"/>
    <xf numFmtId="0" fontId="1" fillId="0" borderId="0"/>
    <xf numFmtId="43" fontId="4" fillId="0" borderId="0" applyFont="0" applyFill="0" applyBorder="0" applyAlignment="0" applyProtection="0"/>
    <xf numFmtId="41" fontId="4" fillId="0" borderId="0" applyFont="0" applyFill="0" applyBorder="0" applyAlignment="0" applyProtection="0"/>
    <xf numFmtId="41" fontId="9" fillId="5" borderId="0" applyNumberFormat="0" applyBorder="0" applyAlignment="0"/>
    <xf numFmtId="41" fontId="9" fillId="5" borderId="0" applyNumberFormat="0" applyBorder="0" applyAlignment="0"/>
    <xf numFmtId="41" fontId="9" fillId="5" borderId="0" applyNumberFormat="0" applyBorder="0" applyAlignment="0"/>
    <xf numFmtId="43" fontId="4" fillId="0" borderId="0" applyFont="0" applyFill="0" applyBorder="0" applyAlignment="0" applyProtection="0"/>
  </cellStyleXfs>
  <cellXfs count="395">
    <xf numFmtId="0" fontId="0" fillId="0" borderId="0" xfId="0"/>
    <xf numFmtId="0" fontId="13" fillId="0" borderId="0" xfId="0" applyFont="1"/>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13" fillId="0" borderId="0" xfId="0" applyFont="1" applyFill="1" applyAlignment="1"/>
    <xf numFmtId="0" fontId="19" fillId="0" borderId="0" xfId="8" applyNumberFormat="1" applyFont="1" applyFill="1" applyAlignment="1" applyProtection="1"/>
    <xf numFmtId="0" fontId="12" fillId="0" borderId="0" xfId="0" applyFont="1" applyFill="1" applyAlignment="1">
      <alignment horizontal="left" vertical="top"/>
    </xf>
    <xf numFmtId="0" fontId="14" fillId="0" borderId="0" xfId="0" applyFont="1" applyFill="1" applyAlignment="1"/>
    <xf numFmtId="0" fontId="0" fillId="0" borderId="3" xfId="0" applyFont="1" applyBorder="1" applyAlignment="1"/>
    <xf numFmtId="0" fontId="0" fillId="0" borderId="0" xfId="0" applyFont="1" applyFill="1" applyBorder="1" applyAlignment="1">
      <alignment horizontal="left" vertical="top"/>
    </xf>
    <xf numFmtId="0" fontId="16"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12"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8" fontId="8" fillId="0" borderId="0" xfId="1" applyNumberFormat="1" applyFont="1" applyFill="1" applyBorder="1" applyAlignment="1">
      <alignment horizontal="left"/>
    </xf>
    <xf numFmtId="168" fontId="9" fillId="5" borderId="0" xfId="9" applyNumberFormat="1" applyBorder="1" applyAlignment="1">
      <alignment horizontal="left"/>
    </xf>
    <xf numFmtId="168" fontId="5" fillId="0" borderId="0" xfId="4" applyNumberFormat="1" applyFont="1" applyFill="1" applyBorder="1" applyAlignment="1">
      <alignment horizontal="left"/>
    </xf>
    <xf numFmtId="168" fontId="5" fillId="0" borderId="0" xfId="1" applyNumberFormat="1" applyFont="1" applyFill="1" applyBorder="1" applyAlignment="1">
      <alignment horizontal="left"/>
    </xf>
    <xf numFmtId="168" fontId="6" fillId="0" borderId="0" xfId="5" applyNumberFormat="1" applyFont="1" applyFill="1" applyBorder="1" applyAlignment="1">
      <alignment horizontal="left"/>
    </xf>
    <xf numFmtId="168" fontId="6" fillId="0" borderId="0" xfId="1" applyNumberFormat="1" applyFont="1" applyFill="1" applyBorder="1" applyAlignment="1">
      <alignment horizontal="left"/>
    </xf>
    <xf numFmtId="168" fontId="0" fillId="0" borderId="4" xfId="1" applyNumberFormat="1" applyFont="1" applyBorder="1" applyAlignment="1">
      <alignment horizontal="left"/>
    </xf>
    <xf numFmtId="168" fontId="0" fillId="0" borderId="0" xfId="1" applyNumberFormat="1" applyFont="1" applyBorder="1" applyAlignment="1">
      <alignment horizontal="left"/>
    </xf>
    <xf numFmtId="0" fontId="8" fillId="0" borderId="0" xfId="8" applyNumberFormat="1" applyBorder="1" applyProtection="1"/>
    <xf numFmtId="0" fontId="8" fillId="0" borderId="5" xfId="8" applyNumberFormat="1" applyBorder="1" applyProtection="1"/>
    <xf numFmtId="9" fontId="4" fillId="4" borderId="0" xfId="20" applyFill="1" applyBorder="1" applyAlignment="1" applyProtection="1">
      <protection locked="0"/>
    </xf>
    <xf numFmtId="0" fontId="15" fillId="0" borderId="3" xfId="11" applyBorder="1" applyAlignment="1"/>
    <xf numFmtId="0" fontId="0" fillId="0" borderId="0" xfId="0" applyProtection="1"/>
    <xf numFmtId="0" fontId="14" fillId="0" borderId="0" xfId="0" applyFont="1" applyProtection="1"/>
    <xf numFmtId="0" fontId="0" fillId="0" borderId="0" xfId="0" applyProtection="1">
      <protection locked="0"/>
    </xf>
    <xf numFmtId="0" fontId="11" fillId="0" borderId="0" xfId="0" applyFont="1" applyProtection="1"/>
    <xf numFmtId="0" fontId="0" fillId="0" borderId="1" xfId="0" applyBorder="1" applyProtection="1"/>
    <xf numFmtId="0" fontId="0" fillId="0" borderId="1" xfId="0" applyBorder="1" applyAlignment="1" applyProtection="1">
      <alignment horizontal="right"/>
    </xf>
    <xf numFmtId="0" fontId="0" fillId="0" borderId="0" xfId="0" applyBorder="1" applyProtection="1"/>
    <xf numFmtId="0" fontId="0" fillId="0" borderId="0" xfId="0" applyBorder="1" applyAlignment="1" applyProtection="1">
      <alignment horizontal="right"/>
    </xf>
    <xf numFmtId="0" fontId="0" fillId="0" borderId="6" xfId="0" applyBorder="1" applyProtection="1"/>
    <xf numFmtId="0" fontId="0" fillId="0" borderId="2" xfId="0" applyBorder="1" applyProtection="1"/>
    <xf numFmtId="0" fontId="0" fillId="0" borderId="7" xfId="0" applyBorder="1" applyProtection="1"/>
    <xf numFmtId="0" fontId="0" fillId="0" borderId="5"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14" fillId="0" borderId="2" xfId="0" applyFont="1" applyBorder="1" applyProtection="1"/>
    <xf numFmtId="0" fontId="0" fillId="0" borderId="0" xfId="0" applyBorder="1" applyAlignment="1" applyProtection="1">
      <alignment horizontal="center"/>
    </xf>
    <xf numFmtId="0" fontId="14" fillId="0" borderId="5" xfId="0" applyFont="1" applyBorder="1" applyProtection="1"/>
    <xf numFmtId="0" fontId="0" fillId="0" borderId="0" xfId="0" applyFill="1" applyBorder="1" applyProtection="1"/>
    <xf numFmtId="0" fontId="0" fillId="6" borderId="2" xfId="0" applyFill="1" applyBorder="1" applyProtection="1"/>
    <xf numFmtId="9" fontId="4" fillId="0" borderId="2" xfId="20" applyFill="1" applyBorder="1" applyAlignment="1" applyProtection="1"/>
    <xf numFmtId="0" fontId="0" fillId="6" borderId="0" xfId="0" applyFill="1" applyBorder="1" applyProtection="1"/>
    <xf numFmtId="0" fontId="0" fillId="0" borderId="0" xfId="0" applyFill="1" applyProtection="1"/>
    <xf numFmtId="0" fontId="0" fillId="0" borderId="1" xfId="0" applyFill="1" applyBorder="1" applyProtection="1"/>
    <xf numFmtId="0" fontId="0" fillId="0" borderId="3" xfId="0" applyFill="1" applyBorder="1" applyProtection="1"/>
    <xf numFmtId="4" fontId="0" fillId="0" borderId="0" xfId="0" applyNumberFormat="1" applyBorder="1" applyProtection="1"/>
    <xf numFmtId="167" fontId="0" fillId="0" borderId="0" xfId="0" applyNumberFormat="1" applyProtection="1"/>
    <xf numFmtId="0" fontId="11" fillId="6" borderId="0" xfId="0" applyFont="1" applyFill="1" applyProtection="1"/>
    <xf numFmtId="0" fontId="0" fillId="6" borderId="0" xfId="0" applyFill="1" applyProtection="1"/>
    <xf numFmtId="0" fontId="14" fillId="6" borderId="0" xfId="0" applyFont="1" applyFill="1" applyProtection="1"/>
    <xf numFmtId="0" fontId="0" fillId="0" borderId="6" xfId="0" applyFont="1" applyBorder="1" applyProtection="1"/>
    <xf numFmtId="0" fontId="0" fillId="0" borderId="2" xfId="0" applyFont="1" applyBorder="1" applyProtection="1"/>
    <xf numFmtId="0" fontId="0" fillId="6" borderId="7" xfId="0" applyFill="1" applyBorder="1" applyProtection="1"/>
    <xf numFmtId="0" fontId="14" fillId="6" borderId="5" xfId="0" applyFont="1" applyFill="1" applyBorder="1" applyProtection="1"/>
    <xf numFmtId="0" fontId="14" fillId="6" borderId="0" xfId="0" applyFont="1" applyFill="1" applyBorder="1" applyAlignment="1" applyProtection="1">
      <alignment horizontal="right"/>
    </xf>
    <xf numFmtId="0" fontId="0" fillId="6" borderId="8" xfId="0" applyFill="1" applyBorder="1" applyProtection="1"/>
    <xf numFmtId="0" fontId="0" fillId="6" borderId="0" xfId="0" applyFont="1" applyFill="1" applyBorder="1" applyAlignment="1" applyProtection="1">
      <alignment horizontal="left"/>
    </xf>
    <xf numFmtId="0" fontId="14" fillId="6" borderId="1" xfId="0" applyFont="1" applyFill="1" applyBorder="1" applyAlignment="1" applyProtection="1">
      <alignment horizontal="right"/>
    </xf>
    <xf numFmtId="0" fontId="14" fillId="0" borderId="1" xfId="0" applyFont="1" applyFill="1" applyBorder="1" applyAlignment="1" applyProtection="1">
      <alignment horizontal="right"/>
    </xf>
    <xf numFmtId="0" fontId="0" fillId="6" borderId="10" xfId="0" applyFill="1" applyBorder="1" applyProtection="1"/>
    <xf numFmtId="0" fontId="14" fillId="0" borderId="0" xfId="0" applyFont="1" applyFill="1" applyBorder="1" applyAlignment="1" applyProtection="1">
      <alignment horizontal="right"/>
    </xf>
    <xf numFmtId="0" fontId="0" fillId="6" borderId="1" xfId="0" applyFill="1" applyBorder="1" applyProtection="1"/>
    <xf numFmtId="0" fontId="0" fillId="0" borderId="0" xfId="0" applyFont="1" applyBorder="1" applyProtection="1"/>
    <xf numFmtId="0" fontId="0" fillId="6" borderId="5" xfId="0" applyFill="1" applyBorder="1" applyProtection="1"/>
    <xf numFmtId="0" fontId="0" fillId="6" borderId="9" xfId="0" applyFill="1" applyBorder="1" applyProtection="1"/>
    <xf numFmtId="0" fontId="0" fillId="0" borderId="5" xfId="0" applyFont="1" applyBorder="1" applyProtection="1"/>
    <xf numFmtId="0" fontId="37" fillId="0" borderId="5" xfId="4" applyNumberFormat="1" applyBorder="1" applyAlignment="1" applyProtection="1"/>
    <xf numFmtId="4" fontId="37" fillId="0" borderId="0" xfId="4" applyNumberFormat="1" applyFill="1" applyBorder="1" applyAlignment="1" applyProtection="1"/>
    <xf numFmtId="0" fontId="0" fillId="0" borderId="0" xfId="0" applyAlignment="1" applyProtection="1"/>
    <xf numFmtId="4" fontId="37" fillId="0" borderId="0" xfId="4" applyNumberFormat="1" applyBorder="1" applyAlignment="1" applyProtection="1"/>
    <xf numFmtId="0" fontId="20" fillId="0" borderId="5" xfId="0" applyFont="1" applyBorder="1" applyProtection="1"/>
    <xf numFmtId="4" fontId="0" fillId="0" borderId="0" xfId="0" applyNumberFormat="1" applyFill="1" applyBorder="1" applyProtection="1"/>
    <xf numFmtId="3" fontId="0" fillId="0" borderId="0" xfId="0" applyNumberFormat="1" applyBorder="1" applyProtection="1"/>
    <xf numFmtId="4" fontId="0" fillId="0" borderId="1" xfId="0" applyNumberFormat="1" applyFill="1" applyBorder="1" applyProtection="1"/>
    <xf numFmtId="0" fontId="0" fillId="6" borderId="3" xfId="0" applyFill="1" applyBorder="1" applyProtection="1"/>
    <xf numFmtId="0" fontId="0" fillId="0" borderId="0" xfId="0" applyBorder="1" applyProtection="1">
      <protection locked="0"/>
    </xf>
    <xf numFmtId="0" fontId="0" fillId="0" borderId="0" xfId="0" applyFill="1" applyBorder="1" applyProtection="1">
      <protection locked="0"/>
    </xf>
    <xf numFmtId="171" fontId="4" fillId="0" borderId="0" xfId="1" applyNumberFormat="1" applyFill="1" applyBorder="1" applyAlignment="1" applyProtection="1"/>
    <xf numFmtId="0" fontId="0" fillId="0" borderId="0" xfId="0" applyBorder="1" applyAlignment="1" applyProtection="1">
      <alignment horizontal="right"/>
      <protection locked="0"/>
    </xf>
    <xf numFmtId="0" fontId="0" fillId="0" borderId="7" xfId="0" applyBorder="1" applyProtection="1">
      <protection locked="0"/>
    </xf>
    <xf numFmtId="0" fontId="0" fillId="0" borderId="8" xfId="0" applyBorder="1" applyProtection="1">
      <protection locked="0"/>
    </xf>
    <xf numFmtId="0" fontId="14" fillId="0" borderId="0" xfId="0" applyFont="1" applyBorder="1" applyProtection="1">
      <protection locked="0"/>
    </xf>
    <xf numFmtId="0" fontId="0" fillId="0" borderId="1" xfId="0" applyBorder="1" applyProtection="1">
      <protection locked="0"/>
    </xf>
    <xf numFmtId="0" fontId="0" fillId="0" borderId="10" xfId="0" applyBorder="1" applyProtection="1">
      <protection locked="0"/>
    </xf>
    <xf numFmtId="9" fontId="0" fillId="0" borderId="0" xfId="0" applyNumberFormat="1" applyBorder="1" applyProtection="1">
      <protection locked="0"/>
    </xf>
    <xf numFmtId="0" fontId="20" fillId="0" borderId="0" xfId="0" applyFont="1" applyBorder="1" applyAlignment="1" applyProtection="1">
      <protection locked="0"/>
    </xf>
    <xf numFmtId="0" fontId="0" fillId="0" borderId="1" xfId="0" applyBorder="1" applyAlignment="1" applyProtection="1">
      <alignment vertical="center"/>
    </xf>
    <xf numFmtId="4" fontId="4" fillId="4" borderId="0" xfId="6" applyBorder="1" applyAlignment="1">
      <protection locked="0"/>
    </xf>
    <xf numFmtId="9" fontId="4" fillId="4" borderId="0" xfId="20" applyFill="1" applyBorder="1" applyAlignment="1" applyProtection="1">
      <protection locked="0"/>
    </xf>
    <xf numFmtId="4" fontId="4" fillId="4" borderId="0" xfId="6" applyBorder="1" applyAlignment="1" applyProtection="1">
      <protection locked="0"/>
    </xf>
    <xf numFmtId="4" fontId="4" fillId="0" borderId="0" xfId="6" applyFill="1" applyBorder="1" applyAlignment="1" applyProtection="1">
      <protection locked="0"/>
    </xf>
    <xf numFmtId="4" fontId="0" fillId="0" borderId="0" xfId="0" applyNumberFormat="1" applyProtection="1"/>
    <xf numFmtId="0" fontId="0" fillId="6" borderId="0" xfId="0" applyFill="1" applyProtection="1"/>
    <xf numFmtId="0" fontId="20" fillId="0" borderId="0" xfId="0" applyFont="1" applyBorder="1" applyProtection="1">
      <protection locked="0"/>
    </xf>
    <xf numFmtId="0" fontId="20" fillId="0" borderId="0" xfId="0" applyFont="1" applyBorder="1" applyProtection="1"/>
    <xf numFmtId="0" fontId="0" fillId="0" borderId="0" xfId="0" applyProtection="1"/>
    <xf numFmtId="3" fontId="4" fillId="4" borderId="0" xfId="6" applyNumberFormat="1" applyBorder="1" applyAlignment="1">
      <protection locked="0"/>
    </xf>
    <xf numFmtId="3" fontId="4" fillId="0" borderId="0" xfId="6" applyNumberFormat="1" applyFill="1" applyBorder="1" applyAlignment="1">
      <protection locked="0"/>
    </xf>
    <xf numFmtId="9" fontId="4" fillId="4" borderId="0" xfId="7" applyNumberFormat="1" applyBorder="1" applyAlignment="1">
      <protection locked="0"/>
    </xf>
    <xf numFmtId="0" fontId="0" fillId="0" borderId="0" xfId="0" applyBorder="1" applyAlignment="1" applyProtection="1">
      <alignment vertical="center"/>
    </xf>
    <xf numFmtId="0" fontId="20" fillId="0" borderId="0" xfId="0" applyFont="1" applyProtection="1"/>
    <xf numFmtId="4" fontId="4" fillId="4" borderId="0" xfId="6" applyBorder="1" applyAlignment="1">
      <alignment horizontal="right"/>
      <protection locked="0"/>
    </xf>
    <xf numFmtId="4" fontId="4" fillId="0" borderId="0" xfId="6" applyFill="1" applyBorder="1" applyAlignment="1">
      <alignment horizontal="right"/>
      <protection locked="0"/>
    </xf>
    <xf numFmtId="0" fontId="14" fillId="0" borderId="0" xfId="0" applyFont="1" applyBorder="1" applyProtection="1"/>
    <xf numFmtId="0" fontId="0" fillId="25" borderId="0" xfId="0" applyFill="1" applyProtection="1"/>
    <xf numFmtId="0" fontId="13" fillId="25" borderId="0" xfId="0" applyFont="1" applyFill="1" applyProtection="1"/>
    <xf numFmtId="0" fontId="0" fillId="0" borderId="0" xfId="0" applyFont="1" applyFill="1" applyBorder="1" applyAlignment="1">
      <alignment horizontal="right" vertical="top"/>
    </xf>
    <xf numFmtId="0" fontId="0" fillId="0" borderId="0" xfId="0" quotePrefix="1" applyFont="1" applyFill="1" applyBorder="1" applyAlignment="1">
      <alignment horizontal="right" vertical="top"/>
    </xf>
    <xf numFmtId="0" fontId="36" fillId="0" borderId="0" xfId="0" applyFont="1" applyFill="1" applyBorder="1" applyAlignment="1">
      <alignment horizontal="left" vertical="top"/>
    </xf>
    <xf numFmtId="168" fontId="9" fillId="5" borderId="0" xfId="9" applyNumberFormat="1" applyBorder="1" applyAlignment="1">
      <alignment horizontal="left" vertical="top"/>
    </xf>
    <xf numFmtId="0" fontId="14" fillId="0" borderId="0" xfId="0" applyFont="1" applyFill="1" applyBorder="1" applyAlignment="1">
      <alignment horizontal="left" vertical="top"/>
    </xf>
    <xf numFmtId="0" fontId="14" fillId="0" borderId="2" xfId="0" applyFont="1" applyBorder="1" applyAlignment="1" applyProtection="1">
      <alignment horizontal="right"/>
      <protection locked="0"/>
    </xf>
    <xf numFmtId="0" fontId="14" fillId="0" borderId="3" xfId="0" applyFont="1" applyBorder="1" applyAlignment="1" applyProtection="1">
      <alignment horizontal="right"/>
    </xf>
    <xf numFmtId="0" fontId="14" fillId="0" borderId="2" xfId="0" applyFont="1" applyBorder="1" applyAlignment="1" applyProtection="1">
      <alignment horizontal="right"/>
    </xf>
    <xf numFmtId="0" fontId="8" fillId="6" borderId="3" xfId="8" applyNumberFormat="1" applyFill="1" applyBorder="1" applyAlignment="1" applyProtection="1">
      <alignment horizontal="right"/>
    </xf>
    <xf numFmtId="0" fontId="4" fillId="6" borderId="3" xfId="8" applyNumberFormat="1" applyFont="1" applyFill="1" applyBorder="1" applyAlignment="1" applyProtection="1">
      <alignment horizontal="right"/>
    </xf>
    <xf numFmtId="0" fontId="14" fillId="0" borderId="2" xfId="0" applyFont="1" applyFill="1" applyBorder="1" applyAlignment="1" applyProtection="1">
      <alignment horizontal="right"/>
    </xf>
    <xf numFmtId="0" fontId="4" fillId="0" borderId="3" xfId="8" applyNumberFormat="1" applyFont="1" applyFill="1" applyBorder="1" applyAlignment="1" applyProtection="1">
      <alignment horizontal="right"/>
    </xf>
    <xf numFmtId="0" fontId="14" fillId="0" borderId="12" xfId="0" applyFont="1" applyFill="1" applyBorder="1" applyAlignment="1" applyProtection="1">
      <alignment horizontal="right"/>
    </xf>
    <xf numFmtId="2" fontId="0" fillId="0" borderId="0" xfId="0" applyNumberFormat="1" applyBorder="1" applyProtection="1"/>
    <xf numFmtId="0" fontId="0" fillId="0" borderId="0" xfId="0" applyAlignment="1" applyProtection="1">
      <alignment horizontal="right"/>
    </xf>
    <xf numFmtId="0" fontId="0" fillId="0" borderId="0" xfId="0" applyFill="1" applyBorder="1" applyAlignment="1" applyProtection="1">
      <alignment horizontal="right"/>
    </xf>
    <xf numFmtId="0" fontId="0" fillId="0" borderId="2" xfId="0" applyBorder="1" applyAlignment="1" applyProtection="1">
      <alignment horizontal="right"/>
    </xf>
    <xf numFmtId="0" fontId="8" fillId="0" borderId="2" xfId="8" applyNumberFormat="1" applyBorder="1" applyAlignment="1" applyProtection="1">
      <alignment horizontal="right"/>
    </xf>
    <xf numFmtId="0" fontId="0" fillId="0" borderId="7" xfId="0" applyBorder="1" applyAlignment="1" applyProtection="1">
      <alignment horizontal="right"/>
    </xf>
    <xf numFmtId="0" fontId="14" fillId="0" borderId="11" xfId="0" applyFont="1" applyBorder="1" applyAlignment="1" applyProtection="1">
      <alignment horizontal="right"/>
    </xf>
    <xf numFmtId="0" fontId="4" fillId="0" borderId="3" xfId="8" applyNumberFormat="1" applyFont="1" applyFill="1" applyBorder="1" applyAlignment="1" applyProtection="1">
      <alignment horizontal="right"/>
      <protection locked="0"/>
    </xf>
    <xf numFmtId="0" fontId="0" fillId="0" borderId="3" xfId="0" applyBorder="1" applyAlignment="1" applyProtection="1">
      <alignment horizontal="right"/>
      <protection locked="0"/>
    </xf>
    <xf numFmtId="0" fontId="14" fillId="0" borderId="0" xfId="0" applyFont="1" applyBorder="1" applyAlignment="1" applyProtection="1">
      <alignment horizontal="right"/>
      <protection locked="0"/>
    </xf>
    <xf numFmtId="0" fontId="0" fillId="0" borderId="2" xfId="0" applyFont="1" applyBorder="1" applyAlignment="1" applyProtection="1">
      <alignment horizontal="right"/>
      <protection locked="0"/>
    </xf>
    <xf numFmtId="0" fontId="8" fillId="0" borderId="3" xfId="8" applyNumberFormat="1" applyFill="1" applyBorder="1" applyAlignment="1" applyProtection="1">
      <alignment horizontal="right"/>
      <protection locked="0"/>
    </xf>
    <xf numFmtId="0" fontId="8" fillId="0" borderId="0" xfId="8" applyNumberFormat="1" applyBorder="1" applyAlignment="1" applyProtection="1">
      <alignment horizontal="right"/>
      <protection locked="0"/>
    </xf>
    <xf numFmtId="0" fontId="8" fillId="0" borderId="3" xfId="8" applyNumberFormat="1" applyBorder="1" applyAlignment="1" applyProtection="1">
      <alignment horizontal="right"/>
      <protection locked="0"/>
    </xf>
    <xf numFmtId="0" fontId="38" fillId="0" borderId="2" xfId="0" applyFont="1" applyBorder="1" applyAlignment="1" applyProtection="1">
      <alignment horizontal="right"/>
      <protection locked="0"/>
    </xf>
    <xf numFmtId="0" fontId="0" fillId="0" borderId="0" xfId="0" applyBorder="1" applyAlignment="1" applyProtection="1"/>
    <xf numFmtId="0" fontId="0" fillId="0" borderId="1" xfId="0" applyBorder="1" applyAlignment="1" applyProtection="1"/>
    <xf numFmtId="0" fontId="14" fillId="0" borderId="0" xfId="0" applyFont="1" applyBorder="1" applyAlignment="1" applyProtection="1">
      <alignment horizontal="right"/>
    </xf>
    <xf numFmtId="0" fontId="0" fillId="0" borderId="2" xfId="0" applyFont="1" applyFill="1" applyBorder="1" applyAlignment="1" applyProtection="1"/>
    <xf numFmtId="0" fontId="0" fillId="0" borderId="2" xfId="0" applyBorder="1" applyAlignment="1" applyProtection="1"/>
    <xf numFmtId="0" fontId="0" fillId="0" borderId="2" xfId="0" applyBorder="1" applyAlignment="1" applyProtection="1">
      <alignment vertical="center"/>
    </xf>
    <xf numFmtId="0" fontId="0" fillId="0" borderId="1" xfId="0" applyFill="1" applyBorder="1" applyAlignment="1" applyProtection="1"/>
    <xf numFmtId="43" fontId="4" fillId="6" borderId="8" xfId="1" applyFont="1" applyFill="1" applyBorder="1" applyAlignment="1" applyProtection="1"/>
    <xf numFmtId="0" fontId="0" fillId="6" borderId="0" xfId="0" applyFill="1" applyBorder="1" applyAlignment="1" applyProtection="1">
      <alignment horizontal="right"/>
    </xf>
    <xf numFmtId="3" fontId="4" fillId="0" borderId="0" xfId="30" applyNumberFormat="1" applyFill="1" applyBorder="1" applyAlignment="1" applyProtection="1">
      <alignment horizontal="right"/>
    </xf>
    <xf numFmtId="0" fontId="4" fillId="0" borderId="2" xfId="11" applyFont="1" applyBorder="1" applyProtection="1"/>
    <xf numFmtId="0" fontId="0" fillId="0" borderId="2" xfId="0" applyBorder="1" applyProtection="1">
      <protection locked="0"/>
    </xf>
    <xf numFmtId="0" fontId="4" fillId="0" borderId="0" xfId="11" applyFont="1" applyBorder="1" applyProtection="1"/>
    <xf numFmtId="180" fontId="0" fillId="6" borderId="0" xfId="0" applyNumberFormat="1" applyFill="1" applyBorder="1" applyProtection="1"/>
    <xf numFmtId="180" fontId="0" fillId="0" borderId="0" xfId="0" applyNumberFormat="1" applyFill="1" applyBorder="1" applyProtection="1"/>
    <xf numFmtId="0" fontId="14" fillId="0" borderId="7" xfId="0" applyFont="1" applyBorder="1" applyAlignment="1" applyProtection="1">
      <alignment horizontal="right"/>
      <protection locked="0"/>
    </xf>
    <xf numFmtId="0" fontId="14" fillId="0" borderId="8" xfId="0" applyFont="1" applyBorder="1" applyAlignment="1" applyProtection="1">
      <alignment horizontal="right"/>
      <protection locked="0"/>
    </xf>
    <xf numFmtId="0" fontId="0" fillId="15" borderId="3" xfId="8" applyNumberFormat="1" applyFont="1" applyFill="1" applyBorder="1" applyAlignment="1" applyProtection="1">
      <alignment horizontal="right"/>
      <protection locked="0"/>
    </xf>
    <xf numFmtId="0" fontId="14" fillId="0" borderId="2" xfId="0" applyFont="1" applyFill="1" applyBorder="1" applyAlignment="1" applyProtection="1">
      <alignment horizontal="right" wrapText="1"/>
    </xf>
    <xf numFmtId="0" fontId="14" fillId="0" borderId="0" xfId="0" applyFont="1" applyFill="1" applyBorder="1" applyProtection="1">
      <protection locked="0"/>
    </xf>
    <xf numFmtId="0" fontId="0" fillId="0" borderId="1" xfId="0" applyFill="1" applyBorder="1" applyProtection="1">
      <protection locked="0"/>
    </xf>
    <xf numFmtId="171" fontId="4" fillId="0" borderId="0" xfId="1" applyNumberFormat="1" applyFill="1" applyBorder="1" applyAlignment="1" applyProtection="1">
      <alignment horizontal="right"/>
    </xf>
    <xf numFmtId="0" fontId="0" fillId="0" borderId="1" xfId="0" applyFill="1" applyBorder="1" applyAlignment="1" applyProtection="1">
      <alignment horizontal="right"/>
    </xf>
    <xf numFmtId="3" fontId="0" fillId="0" borderId="0" xfId="0" applyNumberFormat="1" applyFill="1" applyAlignment="1" applyProtection="1">
      <alignment horizontal="right"/>
    </xf>
    <xf numFmtId="4" fontId="0" fillId="0" borderId="0" xfId="0" applyNumberFormat="1" applyAlignment="1" applyProtection="1">
      <alignment horizontal="right"/>
    </xf>
    <xf numFmtId="0" fontId="0" fillId="0" borderId="0" xfId="0" applyFill="1" applyAlignment="1">
      <alignment vertical="top"/>
    </xf>
    <xf numFmtId="171" fontId="0" fillId="0" borderId="0" xfId="200" applyNumberFormat="1" applyFont="1" applyFill="1" applyBorder="1"/>
    <xf numFmtId="166" fontId="0" fillId="0" borderId="0" xfId="20" applyNumberFormat="1" applyFont="1" applyBorder="1" applyProtection="1"/>
    <xf numFmtId="10" fontId="0" fillId="0" borderId="8" xfId="20" applyNumberFormat="1" applyFont="1" applyBorder="1" applyProtection="1">
      <protection locked="0"/>
    </xf>
    <xf numFmtId="2" fontId="0" fillId="6" borderId="0" xfId="0" applyNumberFormat="1" applyFill="1" applyBorder="1" applyProtection="1"/>
    <xf numFmtId="191" fontId="0" fillId="6" borderId="0" xfId="20" applyNumberFormat="1" applyFont="1" applyFill="1" applyProtection="1"/>
    <xf numFmtId="0" fontId="0" fillId="0" borderId="24" xfId="0" applyFill="1" applyBorder="1" applyProtection="1"/>
    <xf numFmtId="0" fontId="4" fillId="0" borderId="0" xfId="8" applyNumberFormat="1" applyFont="1" applyFill="1" applyBorder="1" applyAlignment="1" applyProtection="1">
      <alignment horizontal="right"/>
    </xf>
    <xf numFmtId="0" fontId="14" fillId="0" borderId="24" xfId="0" applyFont="1" applyFill="1" applyBorder="1" applyAlignment="1" applyProtection="1">
      <alignment horizontal="right"/>
    </xf>
    <xf numFmtId="10" fontId="4" fillId="4" borderId="0" xfId="20" applyNumberFormat="1" applyFill="1" applyBorder="1" applyAlignment="1" applyProtection="1">
      <protection locked="0"/>
    </xf>
    <xf numFmtId="4" fontId="4" fillId="6" borderId="0" xfId="6" applyFill="1" applyBorder="1" applyAlignment="1">
      <alignment horizontal="right"/>
      <protection locked="0"/>
    </xf>
    <xf numFmtId="0" fontId="0" fillId="0" borderId="2" xfId="0" applyFill="1" applyBorder="1" applyAlignment="1" applyProtection="1">
      <alignment horizontal="right"/>
    </xf>
    <xf numFmtId="0" fontId="0" fillId="0" borderId="0" xfId="0" applyFill="1" applyBorder="1" applyAlignment="1" applyProtection="1">
      <alignment horizontal="right" wrapText="1"/>
    </xf>
    <xf numFmtId="0" fontId="8" fillId="0" borderId="3" xfId="8" applyNumberFormat="1" applyFill="1" applyBorder="1" applyAlignment="1" applyProtection="1">
      <alignment horizontal="right"/>
    </xf>
    <xf numFmtId="0" fontId="8" fillId="0" borderId="0" xfId="8" applyNumberFormat="1" applyFill="1" applyBorder="1" applyAlignment="1" applyProtection="1">
      <alignment horizontal="right"/>
    </xf>
    <xf numFmtId="4" fontId="0" fillId="0" borderId="0" xfId="0" applyNumberFormat="1" applyFill="1" applyProtection="1"/>
    <xf numFmtId="4" fontId="8" fillId="0" borderId="0" xfId="8" applyNumberFormat="1" applyFill="1" applyBorder="1" applyProtection="1"/>
    <xf numFmtId="4" fontId="8" fillId="6" borderId="0" xfId="8" applyNumberFormat="1" applyFill="1" applyBorder="1" applyProtection="1"/>
    <xf numFmtId="4" fontId="4" fillId="0" borderId="0" xfId="6" applyFill="1" applyBorder="1" applyAlignment="1" applyProtection="1"/>
    <xf numFmtId="3" fontId="4" fillId="0" borderId="0" xfId="6" applyNumberFormat="1" applyFill="1" applyBorder="1" applyAlignment="1" applyProtection="1"/>
    <xf numFmtId="0" fontId="0" fillId="0" borderId="0" xfId="0" applyFill="1" applyBorder="1" applyProtection="1"/>
    <xf numFmtId="0" fontId="0" fillId="6" borderId="2" xfId="0" applyFill="1" applyBorder="1" applyProtection="1"/>
    <xf numFmtId="0" fontId="0" fillId="6" borderId="0" xfId="0" applyFill="1" applyBorder="1" applyProtection="1"/>
    <xf numFmtId="0" fontId="0" fillId="0" borderId="0" xfId="0" applyFill="1" applyProtection="1"/>
    <xf numFmtId="0" fontId="14" fillId="0" borderId="2" xfId="0" applyFont="1" applyFill="1" applyBorder="1" applyProtection="1"/>
    <xf numFmtId="0" fontId="0" fillId="0" borderId="3" xfId="0" applyFill="1" applyBorder="1" applyProtection="1"/>
    <xf numFmtId="0" fontId="0" fillId="6" borderId="0" xfId="0" applyFill="1" applyProtection="1"/>
    <xf numFmtId="0" fontId="0" fillId="6" borderId="5" xfId="0" applyFill="1" applyBorder="1" applyProtection="1"/>
    <xf numFmtId="0" fontId="0" fillId="6" borderId="9" xfId="0" applyFill="1" applyBorder="1" applyProtection="1"/>
    <xf numFmtId="4" fontId="37" fillId="0" borderId="0" xfId="4" applyNumberFormat="1" applyFill="1" applyBorder="1" applyAlignment="1" applyProtection="1"/>
    <xf numFmtId="0" fontId="0" fillId="0" borderId="0" xfId="0" applyFill="1" applyAlignment="1" applyProtection="1">
      <alignment wrapText="1"/>
    </xf>
    <xf numFmtId="4" fontId="0" fillId="0" borderId="0" xfId="0" applyNumberFormat="1" applyFill="1" applyBorder="1" applyProtection="1"/>
    <xf numFmtId="9" fontId="0" fillId="0" borderId="0" xfId="20" applyFont="1" applyFill="1" applyBorder="1" applyProtection="1"/>
    <xf numFmtId="3" fontId="4" fillId="0" borderId="13" xfId="6" applyNumberFormat="1" applyFill="1" applyBorder="1" applyAlignment="1" applyProtection="1"/>
    <xf numFmtId="0" fontId="37" fillId="6" borderId="5" xfId="4" applyNumberFormat="1" applyFill="1" applyBorder="1" applyAlignment="1" applyProtection="1"/>
    <xf numFmtId="4" fontId="37" fillId="6" borderId="0" xfId="4" applyNumberFormat="1" applyFill="1" applyBorder="1" applyAlignment="1" applyProtection="1"/>
    <xf numFmtId="0" fontId="37" fillId="0" borderId="0" xfId="4" applyNumberFormat="1" applyFill="1" applyBorder="1" applyAlignment="1" applyProtection="1"/>
    <xf numFmtId="3" fontId="0" fillId="0" borderId="0" xfId="0" applyNumberFormat="1" applyFill="1" applyBorder="1" applyProtection="1"/>
    <xf numFmtId="166" fontId="4" fillId="0" borderId="0" xfId="20" applyNumberFormat="1" applyFill="1" applyBorder="1" applyAlignment="1" applyProtection="1"/>
    <xf numFmtId="0" fontId="0" fillId="0" borderId="5" xfId="0" applyFill="1" applyBorder="1" applyProtection="1"/>
    <xf numFmtId="0" fontId="14" fillId="0" borderId="2" xfId="0" applyFont="1" applyFill="1" applyBorder="1" applyAlignment="1" applyProtection="1">
      <alignment horizontal="right"/>
    </xf>
    <xf numFmtId="0" fontId="0" fillId="0" borderId="0" xfId="0" applyFill="1" applyBorder="1" applyAlignment="1" applyProtection="1">
      <alignment horizontal="right"/>
    </xf>
    <xf numFmtId="0" fontId="21" fillId="6" borderId="5" xfId="0" quotePrefix="1" applyFont="1" applyFill="1" applyBorder="1" applyProtection="1"/>
    <xf numFmtId="0" fontId="0" fillId="0" borderId="0" xfId="0" applyFont="1" applyFill="1" applyBorder="1" applyAlignment="1" applyProtection="1">
      <alignment horizontal="right" wrapText="1"/>
    </xf>
    <xf numFmtId="0" fontId="0" fillId="0" borderId="3" xfId="0" applyFill="1" applyBorder="1" applyAlignment="1" applyProtection="1">
      <alignment horizontal="right"/>
    </xf>
    <xf numFmtId="0" fontId="0" fillId="0" borderId="2" xfId="0" applyFill="1" applyBorder="1" applyAlignment="1" applyProtection="1"/>
    <xf numFmtId="0" fontId="0" fillId="0" borderId="0" xfId="0" applyFill="1" applyBorder="1" applyAlignment="1" applyProtection="1"/>
    <xf numFmtId="0" fontId="17" fillId="0" borderId="0" xfId="14" applyFill="1" applyBorder="1" applyProtection="1"/>
    <xf numFmtId="3" fontId="4" fillId="0" borderId="0" xfId="30" applyNumberFormat="1" applyFill="1" applyBorder="1" applyAlignment="1" applyProtection="1"/>
    <xf numFmtId="4" fontId="8" fillId="0" borderId="0" xfId="30" applyNumberFormat="1" applyFont="1" applyFill="1" applyBorder="1" applyAlignment="1" applyProtection="1"/>
    <xf numFmtId="166" fontId="4" fillId="0" borderId="0" xfId="20" applyNumberFormat="1" applyFill="1" applyBorder="1" applyAlignment="1" applyProtection="1">
      <alignment horizontal="right"/>
    </xf>
    <xf numFmtId="3" fontId="4" fillId="0" borderId="0" xfId="6" applyNumberFormat="1" applyFill="1" applyBorder="1" applyAlignment="1" applyProtection="1">
      <alignment horizontal="right"/>
    </xf>
    <xf numFmtId="0" fontId="40" fillId="6" borderId="0" xfId="0" applyFont="1" applyFill="1" applyBorder="1" applyProtection="1"/>
    <xf numFmtId="166" fontId="0" fillId="0" borderId="0" xfId="20" applyNumberFormat="1" applyFont="1" applyFill="1" applyBorder="1" applyAlignment="1" applyProtection="1">
      <alignment horizontal="right"/>
    </xf>
    <xf numFmtId="4" fontId="37" fillId="0" borderId="0" xfId="4" applyNumberFormat="1" applyFill="1" applyBorder="1" applyAlignment="1" applyProtection="1">
      <alignment horizontal="right"/>
    </xf>
    <xf numFmtId="3" fontId="0" fillId="0" borderId="0" xfId="0" applyNumberFormat="1" applyFill="1" applyBorder="1" applyAlignment="1" applyProtection="1">
      <alignment horizontal="right"/>
    </xf>
    <xf numFmtId="0" fontId="0" fillId="0" borderId="24" xfId="0" applyFill="1" applyBorder="1" applyAlignment="1" applyProtection="1">
      <alignment horizontal="right"/>
    </xf>
    <xf numFmtId="0" fontId="0" fillId="0" borderId="0" xfId="0" applyFill="1" applyAlignment="1" applyProtection="1">
      <alignment horizontal="right"/>
    </xf>
    <xf numFmtId="9" fontId="0" fillId="0" borderId="0" xfId="20" applyFont="1" applyFill="1" applyBorder="1" applyAlignment="1" applyProtection="1">
      <alignment horizontal="right"/>
    </xf>
    <xf numFmtId="4" fontId="0" fillId="0" borderId="0" xfId="0" applyNumberFormat="1" applyFill="1" applyBorder="1" applyAlignment="1" applyProtection="1">
      <alignment horizontal="right"/>
    </xf>
    <xf numFmtId="4" fontId="8" fillId="0" borderId="0" xfId="8" applyNumberFormat="1" applyFill="1" applyBorder="1" applyAlignment="1" applyProtection="1">
      <alignment horizontal="right"/>
    </xf>
    <xf numFmtId="3" fontId="4" fillId="0" borderId="13" xfId="6" applyNumberFormat="1" applyFill="1" applyBorder="1" applyAlignment="1" applyProtection="1">
      <alignment horizontal="right"/>
    </xf>
    <xf numFmtId="4" fontId="4" fillId="0" borderId="0" xfId="6" applyFill="1" applyBorder="1" applyAlignment="1" applyProtection="1">
      <alignment horizontal="right"/>
    </xf>
    <xf numFmtId="0" fontId="37" fillId="0" borderId="0" xfId="4" applyNumberFormat="1" applyFill="1" applyBorder="1" applyAlignment="1" applyProtection="1">
      <alignment horizontal="right"/>
    </xf>
    <xf numFmtId="0" fontId="0" fillId="0" borderId="8" xfId="0" applyFill="1" applyBorder="1" applyProtection="1"/>
    <xf numFmtId="0" fontId="0" fillId="0" borderId="10" xfId="0" applyFill="1" applyBorder="1" applyProtection="1"/>
    <xf numFmtId="0" fontId="0" fillId="0" borderId="7" xfId="0" applyFill="1" applyBorder="1" applyProtection="1"/>
    <xf numFmtId="0" fontId="0" fillId="0" borderId="6" xfId="0" applyFill="1" applyBorder="1" applyProtection="1"/>
    <xf numFmtId="0" fontId="0" fillId="0" borderId="2" xfId="0" applyFill="1" applyBorder="1" applyProtection="1"/>
    <xf numFmtId="0" fontId="14" fillId="0" borderId="5" xfId="0" applyFont="1" applyFill="1" applyBorder="1" applyProtection="1"/>
    <xf numFmtId="0" fontId="37" fillId="0" borderId="5" xfId="4" applyNumberFormat="1" applyFill="1" applyBorder="1" applyAlignment="1" applyProtection="1"/>
    <xf numFmtId="4" fontId="0" fillId="0" borderId="8" xfId="0" applyNumberFormat="1" applyFill="1" applyBorder="1" applyProtection="1"/>
    <xf numFmtId="0" fontId="0" fillId="0" borderId="0" xfId="0" applyFill="1"/>
    <xf numFmtId="0" fontId="0" fillId="0" borderId="9" xfId="0" applyFill="1" applyBorder="1" applyProtection="1"/>
    <xf numFmtId="0" fontId="14" fillId="0" borderId="0" xfId="0" applyFont="1" applyFill="1" applyProtection="1"/>
    <xf numFmtId="4" fontId="9" fillId="5" borderId="0" xfId="9" applyNumberFormat="1" applyFill="1" applyBorder="1" applyAlignment="1" applyProtection="1"/>
    <xf numFmtId="0" fontId="14" fillId="0" borderId="0" xfId="0" applyFont="1" applyFill="1" applyBorder="1" applyProtection="1"/>
    <xf numFmtId="2" fontId="8" fillId="0" borderId="0" xfId="30" applyNumberFormat="1" applyFont="1" applyFill="1" applyBorder="1" applyAlignment="1" applyProtection="1"/>
    <xf numFmtId="2" fontId="8" fillId="0" borderId="0" xfId="8" applyNumberFormat="1" applyFill="1" applyBorder="1" applyProtection="1"/>
    <xf numFmtId="0" fontId="0" fillId="0" borderId="5" xfId="0" applyFont="1" applyFill="1" applyBorder="1" applyProtection="1"/>
    <xf numFmtId="0" fontId="8" fillId="0" borderId="0" xfId="8" applyNumberFormat="1" applyFill="1" applyBorder="1" applyProtection="1"/>
    <xf numFmtId="0" fontId="0" fillId="43" borderId="0" xfId="0" applyFont="1" applyFill="1" applyBorder="1" applyAlignment="1" applyProtection="1">
      <alignment horizontal="left"/>
    </xf>
    <xf numFmtId="0" fontId="14" fillId="0" borderId="2" xfId="0" applyFont="1" applyFill="1" applyBorder="1" applyAlignment="1" applyProtection="1">
      <alignment horizontal="left"/>
    </xf>
    <xf numFmtId="0" fontId="14" fillId="0" borderId="0" xfId="0" applyFont="1" applyFill="1" applyBorder="1" applyAlignment="1" applyProtection="1">
      <alignment horizontal="center" wrapText="1"/>
    </xf>
    <xf numFmtId="0" fontId="20" fillId="0" borderId="5" xfId="0" applyFont="1" applyFill="1" applyBorder="1" applyProtection="1"/>
    <xf numFmtId="0" fontId="0" fillId="0" borderId="0" xfId="0" applyFill="1" applyBorder="1" applyAlignment="1" applyProtection="1">
      <alignment horizontal="center"/>
    </xf>
    <xf numFmtId="0" fontId="0" fillId="0" borderId="0" xfId="0" applyFill="1" applyAlignment="1" applyProtection="1"/>
    <xf numFmtId="0" fontId="15" fillId="0" borderId="0" xfId="11" applyFill="1" applyBorder="1" applyProtection="1"/>
    <xf numFmtId="0" fontId="14" fillId="0" borderId="7" xfId="0" applyFont="1" applyFill="1" applyBorder="1" applyProtection="1"/>
    <xf numFmtId="0" fontId="0" fillId="0" borderId="11" xfId="0" applyFill="1" applyBorder="1" applyProtection="1"/>
    <xf numFmtId="170" fontId="0" fillId="0" borderId="0" xfId="0" applyNumberFormat="1" applyFill="1" applyProtection="1"/>
    <xf numFmtId="169" fontId="0" fillId="0" borderId="0" xfId="1" applyNumberFormat="1" applyFont="1" applyFill="1" applyProtection="1"/>
    <xf numFmtId="0" fontId="21" fillId="0" borderId="0" xfId="0" applyFont="1" applyFill="1" applyBorder="1" applyProtection="1"/>
    <xf numFmtId="4" fontId="0" fillId="43" borderId="0" xfId="0" applyNumberFormat="1" applyFill="1" applyBorder="1" applyProtection="1"/>
    <xf numFmtId="0" fontId="0" fillId="43" borderId="6" xfId="0" applyFill="1" applyBorder="1" applyProtection="1"/>
    <xf numFmtId="0" fontId="0" fillId="43" borderId="2" xfId="0" applyFill="1" applyBorder="1" applyProtection="1"/>
    <xf numFmtId="0" fontId="0" fillId="43" borderId="5" xfId="0" applyFill="1" applyBorder="1" applyProtection="1"/>
    <xf numFmtId="0" fontId="0" fillId="43" borderId="0" xfId="0" applyFill="1" applyBorder="1" applyProtection="1"/>
    <xf numFmtId="3" fontId="4" fillId="43" borderId="0" xfId="6" applyNumberFormat="1" applyFill="1" applyBorder="1" applyAlignment="1" applyProtection="1"/>
    <xf numFmtId="3" fontId="4" fillId="43" borderId="13" xfId="6" applyNumberFormat="1" applyFill="1" applyBorder="1" applyAlignment="1" applyProtection="1"/>
    <xf numFmtId="9" fontId="0" fillId="0" borderId="0" xfId="70" applyNumberFormat="1" applyFont="1" applyFill="1" applyBorder="1" applyAlignment="1">
      <alignment horizontal="right"/>
    </xf>
    <xf numFmtId="0" fontId="17" fillId="0" borderId="0" xfId="14" applyFill="1" applyBorder="1" applyAlignment="1">
      <alignment horizontal="left" vertical="top"/>
    </xf>
    <xf numFmtId="0" fontId="14" fillId="0" borderId="2" xfId="0" applyFont="1" applyFill="1" applyBorder="1" applyAlignment="1" applyProtection="1">
      <alignment horizontal="center"/>
    </xf>
    <xf numFmtId="0" fontId="0" fillId="0" borderId="5" xfId="0" applyFont="1" applyFill="1" applyBorder="1" applyAlignment="1" applyProtection="1">
      <alignment wrapText="1"/>
    </xf>
    <xf numFmtId="0" fontId="14" fillId="0" borderId="0" xfId="0" applyFont="1" applyFill="1" applyBorder="1" applyAlignment="1" applyProtection="1">
      <alignment horizontal="right" wrapText="1"/>
    </xf>
    <xf numFmtId="0" fontId="14" fillId="0" borderId="3" xfId="0" applyFont="1" applyFill="1" applyBorder="1" applyAlignment="1" applyProtection="1">
      <alignment horizontal="right" wrapText="1"/>
    </xf>
    <xf numFmtId="0" fontId="14" fillId="0" borderId="11" xfId="0" applyFont="1" applyFill="1" applyBorder="1" applyAlignment="1" applyProtection="1">
      <alignment horizontal="right" wrapText="1"/>
    </xf>
    <xf numFmtId="0" fontId="14" fillId="0" borderId="8" xfId="0" applyFont="1" applyFill="1" applyBorder="1" applyAlignment="1" applyProtection="1">
      <alignment horizontal="right" wrapText="1"/>
    </xf>
    <xf numFmtId="0" fontId="0" fillId="0" borderId="19" xfId="0" applyFont="1" applyFill="1" applyBorder="1" applyAlignment="1" applyProtection="1">
      <alignment horizontal="right" wrapText="1"/>
    </xf>
    <xf numFmtId="0" fontId="0" fillId="0" borderId="21" xfId="0" applyFont="1" applyFill="1" applyBorder="1" applyAlignment="1" applyProtection="1">
      <alignment horizontal="right" wrapText="1"/>
    </xf>
    <xf numFmtId="0" fontId="39" fillId="0" borderId="5" xfId="0" applyFont="1" applyFill="1" applyBorder="1" applyProtection="1"/>
    <xf numFmtId="0" fontId="0" fillId="0" borderId="8" xfId="0" applyFill="1" applyBorder="1" applyAlignment="1" applyProtection="1">
      <alignment horizontal="right"/>
    </xf>
    <xf numFmtId="166" fontId="0" fillId="0" borderId="8" xfId="20" applyNumberFormat="1" applyFont="1" applyFill="1" applyBorder="1" applyAlignment="1" applyProtection="1">
      <alignment horizontal="right"/>
    </xf>
    <xf numFmtId="3" fontId="0" fillId="0" borderId="0" xfId="0" applyNumberFormat="1" applyFill="1" applyProtection="1"/>
    <xf numFmtId="4" fontId="37" fillId="43" borderId="0" xfId="4" applyNumberFormat="1" applyFill="1" applyBorder="1" applyAlignment="1"/>
    <xf numFmtId="4" fontId="37" fillId="0" borderId="0" xfId="4" applyNumberFormat="1" applyFill="1" applyBorder="1" applyAlignment="1">
      <alignment horizontal="right"/>
    </xf>
    <xf numFmtId="2" fontId="37" fillId="0" borderId="0" xfId="4" applyNumberFormat="1" applyFill="1" applyBorder="1" applyAlignment="1" applyProtection="1">
      <alignment horizontal="right"/>
    </xf>
    <xf numFmtId="2" fontId="37" fillId="0" borderId="0" xfId="4" applyNumberFormat="1" applyFill="1" applyBorder="1" applyAlignment="1" applyProtection="1"/>
    <xf numFmtId="0" fontId="52" fillId="0" borderId="2" xfId="8" applyNumberFormat="1" applyFont="1" applyFill="1" applyBorder="1" applyAlignment="1" applyProtection="1">
      <alignment horizontal="right"/>
    </xf>
    <xf numFmtId="4" fontId="9" fillId="44" borderId="0" xfId="9" applyNumberFormat="1" applyFill="1" applyBorder="1" applyAlignment="1" applyProtection="1"/>
    <xf numFmtId="4" fontId="4" fillId="43" borderId="0" xfId="9" applyNumberFormat="1" applyFont="1" applyFill="1" applyBorder="1" applyAlignment="1" applyProtection="1"/>
    <xf numFmtId="4" fontId="4" fillId="0" borderId="0" xfId="9" applyNumberFormat="1" applyFont="1" applyFill="1" applyBorder="1" applyAlignment="1" applyProtection="1"/>
    <xf numFmtId="0" fontId="0" fillId="0" borderId="3" xfId="0" applyFont="1" applyFill="1" applyBorder="1" applyAlignment="1" applyProtection="1">
      <alignment horizontal="right"/>
    </xf>
    <xf numFmtId="2" fontId="0" fillId="0" borderId="0" xfId="30" applyNumberFormat="1" applyFont="1" applyFill="1" applyBorder="1" applyAlignment="1" applyProtection="1"/>
    <xf numFmtId="4" fontId="9" fillId="44" borderId="13" xfId="9" applyNumberFormat="1" applyFill="1" applyBorder="1" applyAlignment="1" applyProtection="1"/>
    <xf numFmtId="2" fontId="0" fillId="0" borderId="0" xfId="0" applyNumberFormat="1" applyFill="1" applyProtection="1"/>
    <xf numFmtId="0" fontId="0" fillId="0" borderId="3" xfId="0" applyFill="1" applyBorder="1" applyAlignment="1" applyProtection="1">
      <alignment horizontal="center"/>
    </xf>
    <xf numFmtId="4" fontId="4" fillId="0" borderId="18" xfId="30" applyNumberFormat="1" applyFill="1" applyBorder="1" applyAlignment="1" applyProtection="1"/>
    <xf numFmtId="0" fontId="42" fillId="0" borderId="2" xfId="8" applyNumberFormat="1" applyFont="1" applyFill="1" applyBorder="1" applyAlignment="1" applyProtection="1">
      <alignment horizontal="right"/>
    </xf>
    <xf numFmtId="0" fontId="27" fillId="0" borderId="3" xfId="8" applyNumberFormat="1" applyFont="1" applyFill="1" applyBorder="1" applyAlignment="1" applyProtection="1">
      <alignment horizontal="right"/>
    </xf>
    <xf numFmtId="166" fontId="0" fillId="0" borderId="0" xfId="0" applyNumberFormat="1" applyFill="1" applyBorder="1" applyProtection="1"/>
    <xf numFmtId="0" fontId="0" fillId="0" borderId="0" xfId="0" applyFill="1" applyAlignment="1">
      <alignment wrapText="1"/>
    </xf>
    <xf numFmtId="0" fontId="0" fillId="0" borderId="2" xfId="0" applyFont="1" applyFill="1" applyBorder="1" applyAlignment="1" applyProtection="1">
      <alignment horizontal="right"/>
      <protection locked="0"/>
    </xf>
    <xf numFmtId="0" fontId="14" fillId="0" borderId="0" xfId="0" applyFont="1" applyFill="1" applyBorder="1" applyAlignment="1" applyProtection="1">
      <alignment horizontal="right"/>
      <protection locked="0"/>
    </xf>
    <xf numFmtId="0" fontId="14" fillId="0" borderId="3" xfId="0" applyFont="1" applyFill="1" applyBorder="1" applyAlignment="1" applyProtection="1">
      <alignment horizontal="right"/>
    </xf>
    <xf numFmtId="4" fontId="4" fillId="4" borderId="0" xfId="6" applyFont="1" applyBorder="1" applyAlignment="1">
      <protection locked="0"/>
    </xf>
    <xf numFmtId="0" fontId="0" fillId="6" borderId="0" xfId="0" applyFont="1" applyFill="1" applyProtection="1"/>
    <xf numFmtId="0" fontId="0" fillId="0" borderId="0" xfId="0" applyFont="1" applyFill="1" applyProtection="1"/>
    <xf numFmtId="0" fontId="0" fillId="0" borderId="0" xfId="0" applyFont="1" applyFill="1" applyBorder="1" applyProtection="1"/>
    <xf numFmtId="0" fontId="0" fillId="0" borderId="24" xfId="0" applyFont="1" applyFill="1" applyBorder="1" applyProtection="1"/>
    <xf numFmtId="0" fontId="0" fillId="6" borderId="24" xfId="0" applyFont="1" applyFill="1" applyBorder="1" applyProtection="1"/>
    <xf numFmtId="4" fontId="4" fillId="4" borderId="0" xfId="6" applyFont="1" applyBorder="1" applyAlignment="1">
      <alignment horizontal="right"/>
      <protection locked="0"/>
    </xf>
    <xf numFmtId="0" fontId="0" fillId="0" borderId="0" xfId="0" applyFont="1" applyFill="1" applyBorder="1" applyAlignment="1" applyProtection="1">
      <alignment horizontal="right"/>
    </xf>
    <xf numFmtId="0" fontId="0" fillId="6" borderId="0" xfId="0" applyFont="1" applyFill="1" applyBorder="1" applyAlignment="1" applyProtection="1">
      <alignment horizontal="right"/>
    </xf>
    <xf numFmtId="0" fontId="0" fillId="0" borderId="24" xfId="0" applyFont="1" applyFill="1" applyBorder="1" applyAlignment="1" applyProtection="1">
      <alignment horizontal="right"/>
    </xf>
    <xf numFmtId="4" fontId="4" fillId="6" borderId="0" xfId="6" applyFont="1" applyFill="1" applyBorder="1" applyAlignment="1">
      <alignment horizontal="right"/>
      <protection locked="0"/>
    </xf>
    <xf numFmtId="4" fontId="0" fillId="0" borderId="0" xfId="0" applyNumberFormat="1" applyFill="1" applyAlignment="1" applyProtection="1">
      <alignment horizontal="right"/>
    </xf>
    <xf numFmtId="0" fontId="55" fillId="0" borderId="0" xfId="0" applyFont="1"/>
    <xf numFmtId="0" fontId="11" fillId="0" borderId="0" xfId="0" applyFont="1" applyAlignment="1"/>
    <xf numFmtId="0" fontId="4" fillId="45" borderId="0" xfId="0" applyFont="1" applyFill="1" applyAlignment="1">
      <alignment wrapText="1"/>
    </xf>
    <xf numFmtId="0" fontId="7" fillId="45" borderId="0" xfId="0" applyFont="1" applyFill="1" applyAlignment="1">
      <alignment wrapText="1"/>
    </xf>
    <xf numFmtId="41" fontId="7" fillId="45" borderId="0" xfId="2" applyFont="1" applyFill="1" applyAlignment="1">
      <alignment wrapText="1"/>
    </xf>
    <xf numFmtId="0" fontId="56" fillId="0" borderId="0" xfId="0" applyFont="1"/>
    <xf numFmtId="0" fontId="12" fillId="0" borderId="0" xfId="0" applyFont="1"/>
    <xf numFmtId="0" fontId="58" fillId="0" borderId="0" xfId="0" applyFont="1"/>
    <xf numFmtId="0" fontId="57" fillId="0" borderId="0" xfId="0" applyFont="1"/>
    <xf numFmtId="0" fontId="7" fillId="0" borderId="0" xfId="0" applyFont="1"/>
    <xf numFmtId="0" fontId="0" fillId="0" borderId="0" xfId="0" applyFont="1" applyBorder="1" applyAlignment="1"/>
    <xf numFmtId="0" fontId="16" fillId="0" borderId="0" xfId="0" applyFont="1" applyBorder="1" applyAlignment="1"/>
    <xf numFmtId="0" fontId="11" fillId="0" borderId="0" xfId="0" applyFont="1" applyBorder="1" applyAlignment="1"/>
    <xf numFmtId="0" fontId="4" fillId="0" borderId="0" xfId="0" applyFont="1" applyBorder="1" applyAlignment="1">
      <alignment wrapText="1"/>
    </xf>
    <xf numFmtId="0" fontId="0" fillId="0" borderId="25" xfId="0" applyFont="1" applyBorder="1" applyAlignment="1"/>
    <xf numFmtId="0" fontId="13" fillId="0" borderId="26" xfId="0" applyFont="1" applyBorder="1" applyAlignment="1"/>
    <xf numFmtId="0" fontId="4" fillId="0" borderId="26" xfId="0" applyFont="1" applyBorder="1" applyAlignment="1">
      <alignment wrapText="1"/>
    </xf>
    <xf numFmtId="0" fontId="7" fillId="0" borderId="26" xfId="0" applyFont="1" applyBorder="1" applyAlignment="1">
      <alignment horizontal="center"/>
    </xf>
    <xf numFmtId="0" fontId="7" fillId="0" borderId="27" xfId="0" applyFont="1" applyBorder="1" applyAlignment="1">
      <alignment horizontal="center"/>
    </xf>
    <xf numFmtId="0" fontId="7" fillId="0" borderId="0" xfId="0" applyFont="1" applyBorder="1" applyAlignment="1"/>
    <xf numFmtId="4" fontId="4" fillId="4" borderId="28" xfId="6" applyBorder="1" applyAlignment="1">
      <alignment horizontal="left"/>
      <protection locked="0"/>
    </xf>
    <xf numFmtId="4" fontId="4" fillId="4" borderId="0" xfId="6" applyBorder="1" applyAlignment="1">
      <alignment wrapText="1"/>
      <protection locked="0"/>
    </xf>
    <xf numFmtId="166" fontId="4" fillId="4" borderId="29" xfId="7" applyBorder="1" applyAlignment="1">
      <protection locked="0"/>
    </xf>
    <xf numFmtId="167" fontId="4" fillId="3" borderId="28" xfId="115" applyBorder="1" applyAlignment="1">
      <alignment horizontal="left"/>
      <protection locked="0"/>
    </xf>
    <xf numFmtId="167" fontId="4" fillId="3" borderId="0" xfId="115" applyBorder="1" applyAlignment="1">
      <protection locked="0"/>
    </xf>
    <xf numFmtId="167" fontId="4" fillId="3" borderId="0" xfId="115" applyBorder="1" applyAlignment="1">
      <alignment horizontal="left"/>
      <protection locked="0"/>
    </xf>
    <xf numFmtId="167" fontId="4" fillId="3" borderId="0" xfId="115" applyBorder="1" applyAlignment="1">
      <alignment wrapText="1"/>
      <protection locked="0"/>
    </xf>
    <xf numFmtId="166" fontId="4" fillId="3" borderId="29" xfId="13" applyBorder="1" applyAlignment="1">
      <alignment horizontal="right"/>
      <protection locked="0"/>
    </xf>
    <xf numFmtId="0" fontId="59" fillId="0" borderId="28" xfId="0" applyFont="1" applyBorder="1" applyAlignment="1"/>
    <xf numFmtId="0" fontId="60" fillId="0" borderId="0" xfId="0" applyFont="1" applyBorder="1" applyAlignment="1"/>
    <xf numFmtId="0" fontId="4" fillId="0" borderId="29" xfId="0" applyFont="1" applyBorder="1" applyAlignment="1">
      <alignment wrapText="1"/>
    </xf>
    <xf numFmtId="0" fontId="9" fillId="5" borderId="28" xfId="9" applyNumberFormat="1" applyBorder="1" applyAlignment="1"/>
    <xf numFmtId="0" fontId="9" fillId="5" borderId="0" xfId="9" applyNumberFormat="1" applyBorder="1" applyAlignment="1"/>
    <xf numFmtId="0" fontId="10" fillId="0" borderId="28" xfId="10" applyBorder="1" applyAlignment="1"/>
    <xf numFmtId="0" fontId="37" fillId="0" borderId="28" xfId="4" applyNumberFormat="1" applyBorder="1" applyAlignment="1">
      <alignment horizontal="left"/>
    </xf>
    <xf numFmtId="0" fontId="5" fillId="0" borderId="0" xfId="0" applyFont="1" applyBorder="1" applyAlignment="1">
      <alignment horizontal="left"/>
    </xf>
    <xf numFmtId="0" fontId="6" fillId="0" borderId="28" xfId="5" applyBorder="1" applyAlignment="1"/>
    <xf numFmtId="0" fontId="6" fillId="0" borderId="0" xfId="0" applyFont="1" applyBorder="1" applyAlignment="1"/>
    <xf numFmtId="0" fontId="10" fillId="0" borderId="0" xfId="0" applyFont="1" applyBorder="1" applyAlignment="1"/>
    <xf numFmtId="0" fontId="0" fillId="0" borderId="30" xfId="0" applyFont="1" applyBorder="1" applyAlignment="1"/>
    <xf numFmtId="0" fontId="0" fillId="0" borderId="31" xfId="0" applyFont="1" applyBorder="1" applyAlignment="1"/>
    <xf numFmtId="0" fontId="0" fillId="0" borderId="32" xfId="0" applyFont="1" applyBorder="1" applyAlignment="1"/>
    <xf numFmtId="0" fontId="4" fillId="0" borderId="31" xfId="0" applyFont="1" applyBorder="1" applyAlignment="1">
      <alignment wrapText="1"/>
    </xf>
    <xf numFmtId="0" fontId="4" fillId="0" borderId="32" xfId="0" applyFont="1" applyBorder="1" applyAlignment="1">
      <alignment wrapText="1"/>
    </xf>
    <xf numFmtId="0" fontId="0" fillId="0" borderId="33" xfId="0" applyFont="1" applyBorder="1" applyAlignment="1"/>
    <xf numFmtId="0" fontId="4" fillId="0" borderId="34" xfId="0" applyFont="1" applyBorder="1" applyAlignment="1">
      <alignment wrapText="1"/>
    </xf>
    <xf numFmtId="0" fontId="14" fillId="0" borderId="0" xfId="0" applyFont="1" applyBorder="1" applyAlignment="1"/>
    <xf numFmtId="0" fontId="0" fillId="0" borderId="0" xfId="0" applyFont="1" applyBorder="1" applyAlignment="1">
      <alignment wrapText="1"/>
    </xf>
    <xf numFmtId="4" fontId="10" fillId="4" borderId="0" xfId="10" applyNumberFormat="1" applyFill="1" applyBorder="1" applyAlignment="1" applyProtection="1">
      <alignment horizontal="left"/>
      <protection locked="0"/>
    </xf>
    <xf numFmtId="4" fontId="4" fillId="4" borderId="0" xfId="6" applyBorder="1" applyAlignment="1">
      <alignment horizontal="left"/>
      <protection locked="0"/>
    </xf>
    <xf numFmtId="4" fontId="6" fillId="4" borderId="0" xfId="5" applyNumberFormat="1" applyFill="1" applyBorder="1" applyAlignment="1">
      <alignment horizontal="left"/>
    </xf>
    <xf numFmtId="0" fontId="11" fillId="0" borderId="25" xfId="0" applyFont="1" applyBorder="1" applyAlignment="1"/>
    <xf numFmtId="0" fontId="11" fillId="0" borderId="26" xfId="0" applyFont="1" applyBorder="1" applyAlignment="1"/>
    <xf numFmtId="0" fontId="7" fillId="0" borderId="0" xfId="0" applyFont="1" applyBorder="1" applyAlignment="1">
      <alignment horizontal="right"/>
    </xf>
    <xf numFmtId="167" fontId="4" fillId="3" borderId="0" xfId="115" applyBorder="1" applyAlignment="1">
      <alignment horizontal="right"/>
      <protection locked="0"/>
    </xf>
    <xf numFmtId="167" fontId="4" fillId="2" borderId="28" xfId="12" applyBorder="1">
      <alignment horizontal="right"/>
      <protection locked="0"/>
    </xf>
    <xf numFmtId="167" fontId="4" fillId="2" borderId="0" xfId="12" applyBorder="1">
      <alignment horizontal="right"/>
      <protection locked="0"/>
    </xf>
    <xf numFmtId="166" fontId="4" fillId="2" borderId="29" xfId="15" applyBorder="1" applyAlignment="1">
      <alignment horizontal="right"/>
      <protection locked="0"/>
    </xf>
    <xf numFmtId="0" fontId="0" fillId="0" borderId="29" xfId="0" applyFont="1" applyBorder="1" applyAlignment="1"/>
    <xf numFmtId="0" fontId="37" fillId="0" borderId="30" xfId="4" applyNumberFormat="1" applyBorder="1" applyAlignment="1">
      <alignment horizontal="left"/>
    </xf>
    <xf numFmtId="0" fontId="5" fillId="0" borderId="31" xfId="0" applyFont="1" applyBorder="1" applyAlignment="1">
      <alignment horizontal="left"/>
    </xf>
    <xf numFmtId="0" fontId="0" fillId="0" borderId="34" xfId="0" applyFont="1" applyBorder="1" applyAlignment="1"/>
    <xf numFmtId="9" fontId="17" fillId="7" borderId="0" xfId="14" applyNumberFormat="1" applyBorder="1" applyAlignment="1"/>
    <xf numFmtId="0" fontId="0" fillId="0" borderId="0" xfId="0" applyFont="1" applyBorder="1" applyAlignment="1">
      <alignment horizontal="left"/>
    </xf>
    <xf numFmtId="165" fontId="37" fillId="0" borderId="0" xfId="4" applyBorder="1">
      <alignment horizontal="left"/>
    </xf>
    <xf numFmtId="165" fontId="5" fillId="0" borderId="0" xfId="1" applyNumberFormat="1" applyFont="1" applyFill="1" applyBorder="1" applyAlignment="1">
      <alignment horizontal="left"/>
    </xf>
    <xf numFmtId="0" fontId="0" fillId="0" borderId="0" xfId="0" applyBorder="1"/>
    <xf numFmtId="0" fontId="4" fillId="46" borderId="0" xfId="0" applyFont="1" applyFill="1" applyAlignment="1">
      <alignment wrapText="1"/>
    </xf>
    <xf numFmtId="0" fontId="4" fillId="45" borderId="35" xfId="0" applyFont="1" applyFill="1" applyBorder="1" applyAlignment="1">
      <alignment wrapText="1"/>
    </xf>
    <xf numFmtId="0" fontId="0" fillId="45" borderId="35" xfId="0" applyFont="1" applyFill="1" applyBorder="1" applyAlignment="1">
      <alignment horizontal="right" wrapText="1"/>
    </xf>
    <xf numFmtId="0" fontId="4" fillId="45" borderId="35" xfId="0" quotePrefix="1" applyFont="1" applyFill="1" applyBorder="1" applyAlignment="1">
      <alignment wrapText="1"/>
    </xf>
    <xf numFmtId="0" fontId="4" fillId="45" borderId="0" xfId="0" applyFont="1" applyFill="1" applyAlignment="1">
      <alignment horizontal="left" indent="1"/>
    </xf>
    <xf numFmtId="166" fontId="4" fillId="0" borderId="0" xfId="20" applyNumberFormat="1" applyFont="1" applyFill="1" applyBorder="1" applyAlignment="1" applyProtection="1">
      <protection locked="0"/>
    </xf>
    <xf numFmtId="0" fontId="17" fillId="0" borderId="0" xfId="14" applyFill="1" applyProtection="1"/>
    <xf numFmtId="0" fontId="0" fillId="0" borderId="6" xfId="0" applyFont="1" applyFill="1" applyBorder="1" applyProtection="1"/>
    <xf numFmtId="0" fontId="0" fillId="0" borderId="2" xfId="0" applyFont="1" applyFill="1" applyBorder="1" applyProtection="1"/>
    <xf numFmtId="0" fontId="14" fillId="0" borderId="2" xfId="0" applyFont="1" applyFill="1" applyBorder="1" applyAlignment="1" applyProtection="1">
      <alignment horizontal="center" wrapText="1"/>
    </xf>
    <xf numFmtId="0" fontId="14" fillId="0" borderId="2" xfId="0" applyFont="1" applyFill="1" applyBorder="1" applyAlignment="1" applyProtection="1">
      <alignment horizontal="center" vertical="center" wrapText="1"/>
    </xf>
  </cellXfs>
  <cellStyles count="285">
    <cellStyle name="0/1 as OK or ERROR" xfId="83"/>
    <cellStyle name="0/1 as Yes No" xfId="84"/>
    <cellStyle name="20% - Accent4 2" xfId="85"/>
    <cellStyle name="20% - Accent6 2" xfId="86"/>
    <cellStyle name="40% - Accent2 2" xfId="87"/>
    <cellStyle name="Border" xfId="30"/>
    <cellStyle name="Change in Formula" xfId="3"/>
    <cellStyle name="Change in Formula 2" xfId="222"/>
    <cellStyle name="Check" xfId="39"/>
    <cellStyle name="Check FinSum" xfId="88"/>
    <cellStyle name="Comma" xfId="1" builtinId="3" customBuiltin="1"/>
    <cellStyle name="Comma [0]" xfId="2" builtinId="6" customBuiltin="1"/>
    <cellStyle name="Comma [0] 2" xfId="199"/>
    <cellStyle name="Comma [0] 2 2" xfId="261"/>
    <cellStyle name="Comma [0] 3" xfId="212"/>
    <cellStyle name="Comma [0] 3 2" xfId="273"/>
    <cellStyle name="Comma [0] 4" xfId="221"/>
    <cellStyle name="Comma [0] 4 2" xfId="280"/>
    <cellStyle name="Comma [0] 5" xfId="227"/>
    <cellStyle name="Comma 10" xfId="79"/>
    <cellStyle name="Comma 10 2" xfId="232"/>
    <cellStyle name="Comma 11" xfId="190"/>
    <cellStyle name="Comma 11 2" xfId="257"/>
    <cellStyle name="Comma 12" xfId="203"/>
    <cellStyle name="Comma 12 2" xfId="265"/>
    <cellStyle name="Comma 13" xfId="198"/>
    <cellStyle name="Comma 13 2" xfId="260"/>
    <cellStyle name="Comma 14" xfId="201"/>
    <cellStyle name="Comma 14 2" xfId="263"/>
    <cellStyle name="Comma 15" xfId="200"/>
    <cellStyle name="Comma 15 2" xfId="262"/>
    <cellStyle name="Comma 16" xfId="204"/>
    <cellStyle name="Comma 16 2" xfId="266"/>
    <cellStyle name="Comma 17" xfId="211"/>
    <cellStyle name="Comma 17 2" xfId="272"/>
    <cellStyle name="Comma 18" xfId="216"/>
    <cellStyle name="Comma 18 2" xfId="277"/>
    <cellStyle name="Comma 19" xfId="220"/>
    <cellStyle name="Comma 19 2" xfId="279"/>
    <cellStyle name="Comma 2" xfId="89"/>
    <cellStyle name="Comma 2 2" xfId="90"/>
    <cellStyle name="Comma 2 2 2" xfId="235"/>
    <cellStyle name="Comma 2 3" xfId="91"/>
    <cellStyle name="Comma 2 3 2" xfId="236"/>
    <cellStyle name="Comma 2 4" xfId="234"/>
    <cellStyle name="Comma 20" xfId="226"/>
    <cellStyle name="Comma 21" xfId="259"/>
    <cellStyle name="Comma 22" xfId="284"/>
    <cellStyle name="Comma 3" xfId="92"/>
    <cellStyle name="Comma 3 2" xfId="237"/>
    <cellStyle name="Comma 4" xfId="93"/>
    <cellStyle name="Comma 4 2" xfId="238"/>
    <cellStyle name="Comma 5" xfId="94"/>
    <cellStyle name="Comma 5 2" xfId="239"/>
    <cellStyle name="Comma 6" xfId="95"/>
    <cellStyle name="Comma 6 2" xfId="240"/>
    <cellStyle name="Comma 7" xfId="96"/>
    <cellStyle name="Comma 7 2" xfId="241"/>
    <cellStyle name="Comma 8" xfId="97"/>
    <cellStyle name="Comma 8 2" xfId="242"/>
    <cellStyle name="Comma 9" xfId="71"/>
    <cellStyle name="Comma 9 2" xfId="230"/>
    <cellStyle name="Comments" xfId="61"/>
    <cellStyle name="Constant" xfId="40"/>
    <cellStyle name="Currency 2" xfId="98"/>
    <cellStyle name="Currency 2 2" xfId="243"/>
    <cellStyle name="Currency 3" xfId="99"/>
    <cellStyle name="Currency 3 2" xfId="244"/>
    <cellStyle name="Data Colour" xfId="41"/>
    <cellStyle name="DataSource" xfId="100"/>
    <cellStyle name="Date mmm yy" xfId="101"/>
    <cellStyle name="Date mmm yy 2" xfId="102"/>
    <cellStyle name="Date mmm yyyy" xfId="103"/>
    <cellStyle name="Date Mthly" xfId="104"/>
    <cellStyle name="Date Mthly 2" xfId="105"/>
    <cellStyle name="Deliberately Empty" xfId="106"/>
    <cellStyle name="Error checks" xfId="4"/>
    <cellStyle name="Error checks 2" xfId="42"/>
    <cellStyle name="Error Warning" xfId="5"/>
    <cellStyle name="Explanatory Text 2" xfId="43"/>
    <cellStyle name="Forecast Input" xfId="34"/>
    <cellStyle name="Forecast Input [0]" xfId="44"/>
    <cellStyle name="Forecast Input [0] 2" xfId="108"/>
    <cellStyle name="Forecast Input [0] 2 2" xfId="245"/>
    <cellStyle name="Forecast Input%" xfId="35"/>
    <cellStyle name="Heading 1" xfId="21" builtinId="16" customBuiltin="1"/>
    <cellStyle name="Heading 1.5" xfId="45"/>
    <cellStyle name="Heading 2" xfId="22" builtinId="17" customBuiltin="1"/>
    <cellStyle name="Heading 2 2" xfId="110"/>
    <cellStyle name="Heading 2.5" xfId="111"/>
    <cellStyle name="Heading 3" xfId="23" builtinId="18" customBuiltin="1"/>
    <cellStyle name="Heading 4" xfId="24" builtinId="19" customBuiltin="1"/>
    <cellStyle name="Highlight Result" xfId="112"/>
    <cellStyle name="Hyperlink" xfId="11" builtinId="8"/>
    <cellStyle name="Hyperlink 2" xfId="46"/>
    <cellStyle name="Hyperlink 3" xfId="47"/>
    <cellStyle name="import" xfId="26"/>
    <cellStyle name="import%" xfId="27"/>
    <cellStyle name="Info Input #" xfId="36"/>
    <cellStyle name="Info Input # 2" xfId="81"/>
    <cellStyle name="Info Input %" xfId="37"/>
    <cellStyle name="Info Input [0]" xfId="48"/>
    <cellStyle name="Info Input [0] 2" xfId="113"/>
    <cellStyle name="Info Input [0] 2 2" xfId="246"/>
    <cellStyle name="Info Input1" xfId="49"/>
    <cellStyle name="Info Input1 2" xfId="114"/>
    <cellStyle name="Info Input1 2 2" xfId="247"/>
    <cellStyle name="Info/Default #" xfId="16"/>
    <cellStyle name="Info/Default # 2" xfId="115"/>
    <cellStyle name="Info/default %" xfId="13"/>
    <cellStyle name="Info/import #" xfId="12"/>
    <cellStyle name="Info/import # 2" xfId="210"/>
    <cellStyle name="Info/import # 3" xfId="224"/>
    <cellStyle name="Info/import %" xfId="15"/>
    <cellStyle name="Input #" xfId="6"/>
    <cellStyle name="Input # 2" xfId="50"/>
    <cellStyle name="Input # 3" xfId="77"/>
    <cellStyle name="Input %" xfId="7"/>
    <cellStyle name="Input % 2" xfId="17"/>
    <cellStyle name="Input default %" xfId="33"/>
    <cellStyle name="Input1%" xfId="38"/>
    <cellStyle name="Input2" xfId="8"/>
    <cellStyle name="Input2 #" xfId="31"/>
    <cellStyle name="InputDefault" xfId="28"/>
    <cellStyle name="Key Outputs" xfId="9"/>
    <cellStyle name="key outputs 10" xfId="209"/>
    <cellStyle name="key outputs 10 2" xfId="271"/>
    <cellStyle name="Key Outputs 11" xfId="213"/>
    <cellStyle name="Key Outputs 11 2" xfId="274"/>
    <cellStyle name="Key Outputs 12" xfId="214"/>
    <cellStyle name="Key Outputs 12 2" xfId="275"/>
    <cellStyle name="Key Outputs 13" xfId="223"/>
    <cellStyle name="Key Outputs 13 2" xfId="281"/>
    <cellStyle name="Key Outputs 14" xfId="228"/>
    <cellStyle name="Key Outputs 15" xfId="258"/>
    <cellStyle name="Key Outputs 16" xfId="283"/>
    <cellStyle name="Key Outputs 2" xfId="51"/>
    <cellStyle name="Key Outputs 2 2" xfId="116"/>
    <cellStyle name="Key Outputs 2 2 2" xfId="248"/>
    <cellStyle name="Key Outputs 2 3" xfId="215"/>
    <cellStyle name="Key Outputs 2 3 2" xfId="276"/>
    <cellStyle name="Key Outputs 2 4" xfId="225"/>
    <cellStyle name="Key Outputs 2 4 2" xfId="282"/>
    <cellStyle name="Key Outputs 2 5" xfId="229"/>
    <cellStyle name="key outputs 3" xfId="80"/>
    <cellStyle name="key outputs 3 2" xfId="233"/>
    <cellStyle name="key outputs 4" xfId="74"/>
    <cellStyle name="key outputs 4 2" xfId="231"/>
    <cellStyle name="key outputs 5" xfId="202"/>
    <cellStyle name="key outputs 5 2" xfId="264"/>
    <cellStyle name="key outputs 6" xfId="205"/>
    <cellStyle name="key outputs 6 2" xfId="267"/>
    <cellStyle name="key outputs 7" xfId="206"/>
    <cellStyle name="key outputs 7 2" xfId="268"/>
    <cellStyle name="key outputs 8" xfId="207"/>
    <cellStyle name="key outputs 8 2" xfId="269"/>
    <cellStyle name="key outputs 9" xfId="208"/>
    <cellStyle name="key outputs 9 2" xfId="270"/>
    <cellStyle name="Links from other files (green) style" xfId="10"/>
    <cellStyle name="Links from other files (green) style 2" xfId="52"/>
    <cellStyle name="Local import" xfId="29"/>
    <cellStyle name="Macro Set" xfId="53"/>
    <cellStyle name="Non-Standard Formula" xfId="54"/>
    <cellStyle name="Normal" xfId="0" builtinId="0" customBuiltin="1"/>
    <cellStyle name="Normal $ 0" xfId="117"/>
    <cellStyle name="Normal $ 1" xfId="118"/>
    <cellStyle name="Normal $ 2" xfId="119"/>
    <cellStyle name="Normal 0" xfId="120"/>
    <cellStyle name="Normal 0 FinSum" xfId="121"/>
    <cellStyle name="Normal 1" xfId="122"/>
    <cellStyle name="Normal 10" xfId="123"/>
    <cellStyle name="Normal 11" xfId="124"/>
    <cellStyle name="Normal 12" xfId="125"/>
    <cellStyle name="Normal 13" xfId="126"/>
    <cellStyle name="Normal 14" xfId="127"/>
    <cellStyle name="Normal 15" xfId="128"/>
    <cellStyle name="Normal 16" xfId="62"/>
    <cellStyle name="Normal 17" xfId="130"/>
    <cellStyle name="Normal 18" xfId="63"/>
    <cellStyle name="Normal 19" xfId="131"/>
    <cellStyle name="Normal 2" xfId="132"/>
    <cellStyle name="Normal 2 2" xfId="133"/>
    <cellStyle name="Normal 2 2 2" xfId="219"/>
    <cellStyle name="Normal 2 3" xfId="134"/>
    <cellStyle name="Normal 2 3 2" xfId="249"/>
    <cellStyle name="Normal 2 4" xfId="217"/>
    <cellStyle name="Normal 20" xfId="135"/>
    <cellStyle name="Normal 21" xfId="64"/>
    <cellStyle name="Normal 22" xfId="136"/>
    <cellStyle name="Normal 23" xfId="137"/>
    <cellStyle name="Normal 24" xfId="138"/>
    <cellStyle name="Normal 25" xfId="139"/>
    <cellStyle name="Normal 26" xfId="140"/>
    <cellStyle name="Normal 27" xfId="141"/>
    <cellStyle name="Normal 27 2" xfId="250"/>
    <cellStyle name="Normal 28" xfId="142"/>
    <cellStyle name="Normal 28 2" xfId="251"/>
    <cellStyle name="Normal 29" xfId="143"/>
    <cellStyle name="Normal 29 2" xfId="252"/>
    <cellStyle name="Normal 3" xfId="144"/>
    <cellStyle name="Normal 3 2" xfId="145"/>
    <cellStyle name="Normal 3 3" xfId="218"/>
    <cellStyle name="Normal 3 3 2" xfId="278"/>
    <cellStyle name="Normal 30" xfId="146"/>
    <cellStyle name="Normal 30 2" xfId="147"/>
    <cellStyle name="Normal 30 2 2" xfId="254"/>
    <cellStyle name="Normal 30 3" xfId="253"/>
    <cellStyle name="Normal 31" xfId="148"/>
    <cellStyle name="Normal 4" xfId="149"/>
    <cellStyle name="Normal 4 2" xfId="150"/>
    <cellStyle name="Normal 41" xfId="151"/>
    <cellStyle name="Normal 5" xfId="152"/>
    <cellStyle name="Normal 5 2" xfId="153"/>
    <cellStyle name="Normal 6" xfId="154"/>
    <cellStyle name="Normal 6 2" xfId="155"/>
    <cellStyle name="Normal 7" xfId="156"/>
    <cellStyle name="Normal 7 2" xfId="157"/>
    <cellStyle name="Normal 8" xfId="158"/>
    <cellStyle name="Normal 9" xfId="159"/>
    <cellStyle name="Output 2" xfId="160"/>
    <cellStyle name="Override Data" xfId="161"/>
    <cellStyle name="Overridenlabel" xfId="162"/>
    <cellStyle name="Percent" xfId="20" builtinId="5"/>
    <cellStyle name="Percent 0" xfId="163"/>
    <cellStyle name="Percent 0 NoZeros" xfId="164"/>
    <cellStyle name="Percent 10" xfId="165"/>
    <cellStyle name="Percent 11" xfId="166"/>
    <cellStyle name="Percent 12" xfId="167"/>
    <cellStyle name="Percent 13" xfId="168"/>
    <cellStyle name="Percent 14" xfId="169"/>
    <cellStyle name="Percent 15" xfId="170"/>
    <cellStyle name="Percent 16" xfId="171"/>
    <cellStyle name="Percent 17" xfId="172"/>
    <cellStyle name="Percent 18" xfId="173"/>
    <cellStyle name="Percent 19" xfId="174"/>
    <cellStyle name="Percent 2" xfId="18"/>
    <cellStyle name="Percent 2 2" xfId="19"/>
    <cellStyle name="Percent 20" xfId="175"/>
    <cellStyle name="Percent 21" xfId="176"/>
    <cellStyle name="Percent 22" xfId="177"/>
    <cellStyle name="Percent 23" xfId="178"/>
    <cellStyle name="Percent 24" xfId="179"/>
    <cellStyle name="Percent 25" xfId="180"/>
    <cellStyle name="Percent 26" xfId="181"/>
    <cellStyle name="Percent 26 2" xfId="255"/>
    <cellStyle name="Percent 27" xfId="182"/>
    <cellStyle name="Percent 27 2" xfId="256"/>
    <cellStyle name="Percent 28" xfId="82"/>
    <cellStyle name="Percent 29" xfId="183"/>
    <cellStyle name="Percent 3" xfId="184"/>
    <cellStyle name="Percent 30" xfId="73"/>
    <cellStyle name="Percent 31" xfId="75"/>
    <cellStyle name="Percent 32" xfId="70"/>
    <cellStyle name="Percent 33" xfId="129"/>
    <cellStyle name="Percent 34" xfId="72"/>
    <cellStyle name="Percent 35" xfId="109"/>
    <cellStyle name="Percent 36" xfId="107"/>
    <cellStyle name="Percent 37" xfId="76"/>
    <cellStyle name="Percent 4" xfId="65"/>
    <cellStyle name="Percent 5" xfId="185"/>
    <cellStyle name="Percent 6" xfId="66"/>
    <cellStyle name="Percent 7" xfId="186"/>
    <cellStyle name="Percent 8" xfId="187"/>
    <cellStyle name="Percent 9" xfId="55"/>
    <cellStyle name="PricePath Body" xfId="188"/>
    <cellStyle name="PricePath Header" xfId="189"/>
    <cellStyle name="QA" xfId="14"/>
    <cellStyle name="QA Notes" xfId="32"/>
    <cellStyle name="QA Notes 2" xfId="56"/>
    <cellStyle name="QA Response" xfId="69"/>
    <cellStyle name="RangeName" xfId="57"/>
    <cellStyle name="RV Colour" xfId="191"/>
    <cellStyle name="SCA Colour" xfId="192"/>
    <cellStyle name="SheetMsg" xfId="67"/>
    <cellStyle name="Style 1" xfId="78"/>
    <cellStyle name="SW ACCC" xfId="193"/>
    <cellStyle name="SW IPART colour" xfId="194"/>
    <cellStyle name="Total" xfId="25" builtinId="25" customBuiltin="1"/>
    <cellStyle name="Units" xfId="58"/>
    <cellStyle name="W NSW Colour" xfId="68"/>
    <cellStyle name="Year" xfId="59"/>
    <cellStyle name="Year No" xfId="195"/>
    <cellStyle name="Year No 2" xfId="196"/>
    <cellStyle name="Year No 3" xfId="197"/>
    <cellStyle name="YearRow" xfId="60"/>
  </cellStyles>
  <dxfs count="0"/>
  <tableStyles count="0" defaultTableStyle="TableStyleMedium2" defaultPivotStyle="PivotStyleLight16"/>
  <colors>
    <mruColors>
      <color rgb="FF00FF00"/>
      <color rgb="FFFFFFCC"/>
      <color rgb="FF00AEEF"/>
      <color rgb="FFCBD4D9"/>
      <color rgb="FF8FB8FB"/>
      <color rgb="FF99CCFF"/>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597455768"/>
        <c:axId val="597451456"/>
      </c:lineChart>
      <c:catAx>
        <c:axId val="597455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7451456"/>
        <c:crosses val="autoZero"/>
        <c:auto val="1"/>
        <c:lblAlgn val="ctr"/>
        <c:lblOffset val="100"/>
        <c:tickLblSkip val="1"/>
        <c:tickMarkSkip val="1"/>
        <c:noMultiLvlLbl val="0"/>
      </c:catAx>
      <c:valAx>
        <c:axId val="5974514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597455768"/>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597456160"/>
        <c:axId val="597452632"/>
      </c:barChart>
      <c:catAx>
        <c:axId val="597456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97452632"/>
        <c:crosses val="autoZero"/>
        <c:auto val="1"/>
        <c:lblAlgn val="ctr"/>
        <c:lblOffset val="100"/>
        <c:tickLblSkip val="1"/>
        <c:tickMarkSkip val="1"/>
        <c:noMultiLvlLbl val="0"/>
      </c:catAx>
      <c:valAx>
        <c:axId val="59745263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597456160"/>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xmlns:c16r2="http://schemas.microsoft.com/office/drawing/2015/06/char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xmlns:c16r2="http://schemas.microsoft.com/office/drawing/2015/06/char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xmlns:c16r2="http://schemas.microsoft.com/office/drawing/2015/06/char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xmlns:c16r2="http://schemas.microsoft.com/office/drawing/2015/06/char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597454984"/>
        <c:axId val="597455376"/>
      </c:barChart>
      <c:catAx>
        <c:axId val="59745498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97455376"/>
        <c:crosses val="autoZero"/>
        <c:auto val="1"/>
        <c:lblAlgn val="ctr"/>
        <c:lblOffset val="100"/>
        <c:tickLblSkip val="1"/>
        <c:tickMarkSkip val="1"/>
        <c:noMultiLvlLbl val="0"/>
      </c:catAx>
      <c:valAx>
        <c:axId val="597455376"/>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597454984"/>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597453024"/>
        <c:axId val="597448712"/>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597452240"/>
        <c:axId val="597449104"/>
      </c:lineChart>
      <c:catAx>
        <c:axId val="59745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97448712"/>
        <c:crosses val="autoZero"/>
        <c:auto val="0"/>
        <c:lblAlgn val="ctr"/>
        <c:lblOffset val="100"/>
        <c:tickLblSkip val="1"/>
        <c:tickMarkSkip val="1"/>
        <c:noMultiLvlLbl val="0"/>
      </c:catAx>
      <c:valAx>
        <c:axId val="59744871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97453024"/>
        <c:crosses val="autoZero"/>
        <c:crossBetween val="between"/>
      </c:valAx>
      <c:catAx>
        <c:axId val="597452240"/>
        <c:scaling>
          <c:orientation val="minMax"/>
        </c:scaling>
        <c:delete val="1"/>
        <c:axPos val="b"/>
        <c:numFmt formatCode="General" sourceLinked="1"/>
        <c:majorTickMark val="out"/>
        <c:minorTickMark val="none"/>
        <c:tickLblPos val="nextTo"/>
        <c:crossAx val="597449104"/>
        <c:crosses val="autoZero"/>
        <c:auto val="0"/>
        <c:lblAlgn val="ctr"/>
        <c:lblOffset val="100"/>
        <c:noMultiLvlLbl val="0"/>
      </c:catAx>
      <c:valAx>
        <c:axId val="597449104"/>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597452240"/>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597450280"/>
        <c:axId val="597450672"/>
      </c:areaChart>
      <c:catAx>
        <c:axId val="597450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7450672"/>
        <c:crosses val="autoZero"/>
        <c:auto val="1"/>
        <c:lblAlgn val="ctr"/>
        <c:lblOffset val="100"/>
        <c:tickLblSkip val="1"/>
        <c:tickMarkSkip val="1"/>
        <c:noMultiLvlLbl val="0"/>
      </c:catAx>
      <c:valAx>
        <c:axId val="5974506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7450280"/>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598991280"/>
        <c:axId val="598988536"/>
      </c:areaChart>
      <c:catAx>
        <c:axId val="598991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98988536"/>
        <c:crosses val="autoZero"/>
        <c:auto val="1"/>
        <c:lblAlgn val="ctr"/>
        <c:lblOffset val="100"/>
        <c:tickLblSkip val="1"/>
        <c:tickMarkSkip val="1"/>
        <c:noMultiLvlLbl val="0"/>
      </c:catAx>
      <c:valAx>
        <c:axId val="598988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598991280"/>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598993240"/>
        <c:axId val="598995200"/>
      </c:barChart>
      <c:catAx>
        <c:axId val="598993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98995200"/>
        <c:crosses val="autoZero"/>
        <c:auto val="1"/>
        <c:lblAlgn val="ctr"/>
        <c:lblOffset val="100"/>
        <c:tickLblSkip val="1"/>
        <c:tickMarkSkip val="1"/>
        <c:noMultiLvlLbl val="0"/>
      </c:catAx>
      <c:valAx>
        <c:axId val="598995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598993240"/>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598990888"/>
        <c:axId val="598988928"/>
      </c:barChart>
      <c:catAx>
        <c:axId val="598990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98988928"/>
        <c:crosses val="autoZero"/>
        <c:auto val="1"/>
        <c:lblAlgn val="ctr"/>
        <c:lblOffset val="100"/>
        <c:tickLblSkip val="1"/>
        <c:tickMarkSkip val="1"/>
        <c:noMultiLvlLbl val="0"/>
      </c:catAx>
      <c:valAx>
        <c:axId val="59898892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598990888"/>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598994024"/>
        <c:axId val="598994416"/>
      </c:scatterChart>
      <c:valAx>
        <c:axId val="598994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8994416"/>
        <c:crosses val="autoZero"/>
        <c:crossBetween val="midCat"/>
      </c:valAx>
      <c:valAx>
        <c:axId val="59899441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598994024"/>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598995984"/>
        <c:axId val="598990496"/>
      </c:scatterChart>
      <c:valAx>
        <c:axId val="59899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8990496"/>
        <c:crosses val="autoZero"/>
        <c:crossBetween val="midCat"/>
      </c:valAx>
      <c:valAx>
        <c:axId val="598990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598995984"/>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BA54-4132-A6DC-F02D20A57B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BA54-4132-A6DC-F02D20A57B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BA54-4132-A6DC-F02D20A57B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BA54-4132-A6DC-F02D20A57B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BA54-4132-A6DC-F02D20A57B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BA54-4132-A6DC-F02D20A57B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BA54-4132-A6DC-F02D20A57B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54-4132-A6DC-F02D20A57B5D}"/>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BA54-4132-A6DC-F02D20A57B5D}"/>
                </c:ex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6414-4393-8A83-C7812E4E4679}"/>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6414-4393-8A83-C7812E4E4679}"/>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6414-4393-8A83-C7812E4E4679}"/>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6414-4393-8A83-C7812E4E4679}"/>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6414-4393-8A83-C7812E4E4679}"/>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6414-4393-8A83-C7812E4E4679}"/>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6414-4393-8A83-C7812E4E4679}"/>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A4A0-4C4C-B455-377FB4B154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A4A0-4C4C-B455-377FB4B154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A4A0-4C4C-B455-377FB4B154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A4A0-4C4C-B455-377FB4B154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A4A0-4C4C-B455-377FB4B154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A4A0-4C4C-B455-377FB4B154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A4A0-4C4C-B455-377FB4B154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598994808"/>
        <c:axId val="600106872"/>
      </c:barChart>
      <c:catAx>
        <c:axId val="59899480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600106872"/>
        <c:crosses val="autoZero"/>
        <c:auto val="1"/>
        <c:lblAlgn val="ctr"/>
        <c:lblOffset val="100"/>
        <c:tickLblSkip val="1"/>
        <c:tickMarkSkip val="1"/>
        <c:noMultiLvlLbl val="0"/>
      </c:catAx>
      <c:valAx>
        <c:axId val="6001068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598994808"/>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600109224"/>
        <c:axId val="600112752"/>
      </c:barChart>
      <c:catAx>
        <c:axId val="6001092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600112752"/>
        <c:crosses val="autoZero"/>
        <c:auto val="1"/>
        <c:lblAlgn val="ctr"/>
        <c:lblOffset val="100"/>
        <c:tickLblSkip val="1"/>
        <c:tickMarkSkip val="1"/>
        <c:noMultiLvlLbl val="0"/>
      </c:catAx>
      <c:valAx>
        <c:axId val="60011275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600109224"/>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1430" y="6737350"/>
          <a:ext cx="1758950" cy="139509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a16="http://schemas.microsoft.com/office/drawing/2014/main" xmlns="" id="{00000000-0008-0000-0000-000003000000}"/>
            </a:ext>
          </a:extLst>
        </xdr:cNvPr>
        <xdr:cNvSpPr>
          <a:spLocks noChangeShapeType="1"/>
        </xdr:cNvSpPr>
      </xdr:nvSpPr>
      <xdr:spPr bwMode="auto">
        <a:xfrm flipH="1" flipV="1">
          <a:off x="9325610" y="23430230"/>
          <a:ext cx="289560" cy="1104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a16="http://schemas.microsoft.com/office/drawing/2014/main" xmlns="" id="{00000000-0008-0000-0000-000004000000}"/>
            </a:ext>
          </a:extLst>
        </xdr:cNvPr>
        <xdr:cNvSpPr>
          <a:spLocks noChangeArrowheads="1"/>
        </xdr:cNvSpPr>
      </xdr:nvSpPr>
      <xdr:spPr bwMode="auto">
        <a:xfrm>
          <a:off x="1811020" y="6783070"/>
          <a:ext cx="13644880" cy="2331339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5" name="1. Line">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6" name="10. Stacked column">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7" name="6. Cluster bar">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8" name="12. Line-column on 2 axes">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9" name="4. Stacked area">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0" name="5. 100% Stacked area">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1" name="11. 100% Stacked column">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2" name="9. Cluster column">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3" name="Text Box 51">
          <a:extLst>
            <a:ext uri="{FF2B5EF4-FFF2-40B4-BE49-F238E27FC236}">
              <a16:creationId xmlns:a16="http://schemas.microsoft.com/office/drawing/2014/main" xmlns="" id="{00000000-0008-0000-0000-00000E000000}"/>
            </a:ext>
          </a:extLst>
        </xdr:cNvPr>
        <xdr:cNvSpPr txBox="1">
          <a:spLocks noChangeArrowheads="1"/>
        </xdr:cNvSpPr>
      </xdr:nvSpPr>
      <xdr:spPr bwMode="auto">
        <a:xfrm>
          <a:off x="8689975" y="23250525"/>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4" name="Text Box 52">
          <a:extLst>
            <a:ext uri="{FF2B5EF4-FFF2-40B4-BE49-F238E27FC236}">
              <a16:creationId xmlns:a16="http://schemas.microsoft.com/office/drawing/2014/main" xmlns="" id="{00000000-0008-0000-0000-00000F000000}"/>
            </a:ext>
          </a:extLst>
        </xdr:cNvPr>
        <xdr:cNvSpPr txBox="1">
          <a:spLocks noChangeArrowheads="1"/>
        </xdr:cNvSpPr>
      </xdr:nvSpPr>
      <xdr:spPr bwMode="auto">
        <a:xfrm>
          <a:off x="8747125" y="14770100"/>
          <a:ext cx="6567165" cy="1957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5" name="2. Scatter">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6" name="3. Scatter connected by line">
          <a:extLst>
            <a:ext uri="{FF2B5EF4-FFF2-40B4-BE49-F238E27FC236}">
              <a16:creationId xmlns:a16="http://schemas.microsoft.com/office/drawing/2014/main" xmlns=""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7" name="13. Pie">
          <a:extLst>
            <a:ext uri="{FF2B5EF4-FFF2-40B4-BE49-F238E27FC236}">
              <a16:creationId xmlns:a16="http://schemas.microsoft.com/office/drawing/2014/main" xmlns=""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8" name="14. Pie of pie">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19" name="15. Bar of pie">
          <a:extLst>
            <a:ext uri="{FF2B5EF4-FFF2-40B4-BE49-F238E27FC236}">
              <a16:creationId xmlns:a16="http://schemas.microsoft.com/office/drawing/2014/main" xmlns=""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0" name="7. Stacked bar">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1" name="8. 100% Stacked bar">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2" name="Text Box 12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918970" y="6784975"/>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3" name="Text Box 122">
          <a:extLst>
            <a:ext uri="{FF2B5EF4-FFF2-40B4-BE49-F238E27FC236}">
              <a16:creationId xmlns:a16="http://schemas.microsoft.com/office/drawing/2014/main" xmlns="" id="{00000000-0008-0000-0000-000018000000}"/>
            </a:ext>
          </a:extLst>
        </xdr:cNvPr>
        <xdr:cNvSpPr txBox="1">
          <a:spLocks noChangeArrowheads="1"/>
        </xdr:cNvSpPr>
      </xdr:nvSpPr>
      <xdr:spPr bwMode="auto">
        <a:xfrm>
          <a:off x="8728075" y="6784975"/>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4" name="Text Box 123">
          <a:extLst>
            <a:ext uri="{FF2B5EF4-FFF2-40B4-BE49-F238E27FC236}">
              <a16:creationId xmlns:a16="http://schemas.microsoft.com/office/drawing/2014/main" xmlns="" id="{00000000-0008-0000-0000-000019000000}"/>
            </a:ext>
          </a:extLst>
        </xdr:cNvPr>
        <xdr:cNvSpPr txBox="1">
          <a:spLocks noChangeArrowheads="1"/>
        </xdr:cNvSpPr>
      </xdr:nvSpPr>
      <xdr:spPr bwMode="auto">
        <a:xfrm>
          <a:off x="1918970" y="9472930"/>
          <a:ext cx="6586220" cy="1854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5" name="Text Box 124">
          <a:extLst>
            <a:ext uri="{FF2B5EF4-FFF2-40B4-BE49-F238E27FC236}">
              <a16:creationId xmlns:a16="http://schemas.microsoft.com/office/drawing/2014/main" xmlns="" id="{00000000-0008-0000-0000-00001A000000}"/>
            </a:ext>
          </a:extLst>
        </xdr:cNvPr>
        <xdr:cNvSpPr txBox="1">
          <a:spLocks noChangeArrowheads="1"/>
        </xdr:cNvSpPr>
      </xdr:nvSpPr>
      <xdr:spPr bwMode="auto">
        <a:xfrm>
          <a:off x="8737600" y="9472930"/>
          <a:ext cx="6586220" cy="1854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6" name="Text Box 125">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917065" y="12179300"/>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7" name="Text Box 126">
          <a:extLst>
            <a:ext uri="{FF2B5EF4-FFF2-40B4-BE49-F238E27FC236}">
              <a16:creationId xmlns:a16="http://schemas.microsoft.com/office/drawing/2014/main" xmlns="" id="{00000000-0008-0000-0000-00001C000000}"/>
            </a:ext>
          </a:extLst>
        </xdr:cNvPr>
        <xdr:cNvSpPr txBox="1">
          <a:spLocks noChangeArrowheads="1"/>
        </xdr:cNvSpPr>
      </xdr:nvSpPr>
      <xdr:spPr bwMode="auto">
        <a:xfrm>
          <a:off x="8728075" y="12152630"/>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8" name="Text Box 127">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907540" y="15236825"/>
          <a:ext cx="6586220" cy="17653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29" name="Text Box 128">
          <a:extLst>
            <a:ext uri="{FF2B5EF4-FFF2-40B4-BE49-F238E27FC236}">
              <a16:creationId xmlns:a16="http://schemas.microsoft.com/office/drawing/2014/main" xmlns="" id="{00000000-0008-0000-0000-00001E000000}"/>
            </a:ext>
          </a:extLst>
        </xdr:cNvPr>
        <xdr:cNvSpPr txBox="1">
          <a:spLocks noChangeArrowheads="1"/>
        </xdr:cNvSpPr>
      </xdr:nvSpPr>
      <xdr:spPr bwMode="auto">
        <a:xfrm>
          <a:off x="8718550" y="15236825"/>
          <a:ext cx="6578600" cy="17653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0" name="Text Box 13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917065" y="17924780"/>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1" name="Text Box 132">
          <a:extLst>
            <a:ext uri="{FF2B5EF4-FFF2-40B4-BE49-F238E27FC236}">
              <a16:creationId xmlns:a16="http://schemas.microsoft.com/office/drawing/2014/main" xmlns="" id="{00000000-0008-0000-0000-000020000000}"/>
            </a:ext>
          </a:extLst>
        </xdr:cNvPr>
        <xdr:cNvSpPr txBox="1">
          <a:spLocks noChangeArrowheads="1"/>
        </xdr:cNvSpPr>
      </xdr:nvSpPr>
      <xdr:spPr bwMode="auto">
        <a:xfrm>
          <a:off x="8728075" y="17924780"/>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2" name="Text Box 133">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907540" y="20640675"/>
          <a:ext cx="6586220" cy="17653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3" name="Text Box 134">
          <a:extLst>
            <a:ext uri="{FF2B5EF4-FFF2-40B4-BE49-F238E27FC236}">
              <a16:creationId xmlns:a16="http://schemas.microsoft.com/office/drawing/2014/main" xmlns="" id="{00000000-0008-0000-0000-000022000000}"/>
            </a:ext>
          </a:extLst>
        </xdr:cNvPr>
        <xdr:cNvSpPr txBox="1">
          <a:spLocks noChangeArrowheads="1"/>
        </xdr:cNvSpPr>
      </xdr:nvSpPr>
      <xdr:spPr bwMode="auto">
        <a:xfrm>
          <a:off x="8718550" y="20640675"/>
          <a:ext cx="6578600" cy="17653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4" name="Text Box 135">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886585" y="23503255"/>
          <a:ext cx="6578600" cy="1854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5" name="Text Box 136">
          <a:extLst>
            <a:ext uri="{FF2B5EF4-FFF2-40B4-BE49-F238E27FC236}">
              <a16:creationId xmlns:a16="http://schemas.microsoft.com/office/drawing/2014/main" xmlns="" id="{00000000-0008-0000-0000-000024000000}"/>
            </a:ext>
          </a:extLst>
        </xdr:cNvPr>
        <xdr:cNvSpPr txBox="1">
          <a:spLocks noChangeArrowheads="1"/>
        </xdr:cNvSpPr>
      </xdr:nvSpPr>
      <xdr:spPr bwMode="auto">
        <a:xfrm>
          <a:off x="8689975" y="23503255"/>
          <a:ext cx="6586220" cy="1854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6" name="Text Box 137">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898015" y="26211530"/>
          <a:ext cx="6586220" cy="1841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7" name="Text Box 87">
          <a:extLst>
            <a:ext uri="{FF2B5EF4-FFF2-40B4-BE49-F238E27FC236}">
              <a16:creationId xmlns:a16="http://schemas.microsoft.com/office/drawing/2014/main" xmlns="" id="{00000000-0008-0000-0000-000026000000}"/>
            </a:ext>
          </a:extLst>
        </xdr:cNvPr>
        <xdr:cNvSpPr txBox="1">
          <a:spLocks noChangeArrowheads="1"/>
        </xdr:cNvSpPr>
      </xdr:nvSpPr>
      <xdr:spPr bwMode="auto">
        <a:xfrm>
          <a:off x="9449435" y="22799675"/>
          <a:ext cx="1709420" cy="205740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8" name="Line 141">
          <a:extLst>
            <a:ext uri="{FF2B5EF4-FFF2-40B4-BE49-F238E27FC236}">
              <a16:creationId xmlns:a16="http://schemas.microsoft.com/office/drawing/2014/main" xmlns="" id="{00000000-0008-0000-0000-000027000000}"/>
            </a:ext>
          </a:extLst>
        </xdr:cNvPr>
        <xdr:cNvSpPr>
          <a:spLocks noChangeShapeType="1"/>
        </xdr:cNvSpPr>
      </xdr:nvSpPr>
      <xdr:spPr bwMode="auto">
        <a:xfrm flipH="1">
          <a:off x="6303010" y="1046480"/>
          <a:ext cx="38989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39" name="Line 142">
          <a:extLst>
            <a:ext uri="{FF2B5EF4-FFF2-40B4-BE49-F238E27FC236}">
              <a16:creationId xmlns:a16="http://schemas.microsoft.com/office/drawing/2014/main" xmlns="" id="{00000000-0008-0000-0000-000028000000}"/>
            </a:ext>
          </a:extLst>
        </xdr:cNvPr>
        <xdr:cNvSpPr>
          <a:spLocks noChangeShapeType="1"/>
        </xdr:cNvSpPr>
      </xdr:nvSpPr>
      <xdr:spPr bwMode="auto">
        <a:xfrm flipH="1">
          <a:off x="5562600" y="909320"/>
          <a:ext cx="45847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0" name="Line 143">
          <a:extLst>
            <a:ext uri="{FF2B5EF4-FFF2-40B4-BE49-F238E27FC236}">
              <a16:creationId xmlns:a16="http://schemas.microsoft.com/office/drawing/2014/main" xmlns="" id="{00000000-0008-0000-0000-000029000000}"/>
            </a:ext>
          </a:extLst>
        </xdr:cNvPr>
        <xdr:cNvSpPr>
          <a:spLocks noChangeShapeType="1"/>
        </xdr:cNvSpPr>
      </xdr:nvSpPr>
      <xdr:spPr bwMode="auto">
        <a:xfrm flipH="1">
          <a:off x="5681980" y="3148965"/>
          <a:ext cx="527050" cy="5251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1" name="Line 144">
          <a:extLst>
            <a:ext uri="{FF2B5EF4-FFF2-40B4-BE49-F238E27FC236}">
              <a16:creationId xmlns:a16="http://schemas.microsoft.com/office/drawing/2014/main" xmlns="" id="{00000000-0008-0000-0000-00002A000000}"/>
            </a:ext>
          </a:extLst>
        </xdr:cNvPr>
        <xdr:cNvSpPr>
          <a:spLocks noChangeShapeType="1"/>
        </xdr:cNvSpPr>
      </xdr:nvSpPr>
      <xdr:spPr bwMode="auto">
        <a:xfrm flipH="1">
          <a:off x="6662420" y="3507740"/>
          <a:ext cx="129540" cy="2882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ricar_horbino@ipart.nsw.gov.a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showGridLines="0" topLeftCell="A28" zoomScaleNormal="100" workbookViewId="0">
      <selection activeCell="J13" sqref="J13"/>
    </sheetView>
  </sheetViews>
  <sheetFormatPr defaultColWidth="13.09765625" defaultRowHeight="11.5"/>
  <cols>
    <col min="1" max="16384" width="13.09765625" style="319"/>
  </cols>
  <sheetData>
    <row r="2" spans="1:27" s="320" customFormat="1" ht="18">
      <c r="A2" s="317"/>
      <c r="B2" s="1" t="s">
        <v>239</v>
      </c>
      <c r="C2" s="318"/>
      <c r="D2" s="318"/>
      <c r="E2"/>
      <c r="F2"/>
      <c r="G2"/>
      <c r="H2"/>
      <c r="I2"/>
      <c r="J2"/>
      <c r="K2" s="319"/>
      <c r="L2" s="319"/>
      <c r="M2" s="319"/>
      <c r="N2" s="319"/>
      <c r="O2" s="319"/>
      <c r="S2" s="321"/>
    </row>
    <row r="3" spans="1:27" ht="13">
      <c r="A3"/>
      <c r="B3" s="322" t="s">
        <v>240</v>
      </c>
      <c r="C3" s="322"/>
      <c r="D3" s="322"/>
      <c r="E3" s="317"/>
      <c r="F3" s="317"/>
      <c r="G3" s="317"/>
      <c r="H3" s="317"/>
      <c r="I3" s="317"/>
      <c r="J3" s="317"/>
      <c r="K3" s="320"/>
      <c r="L3" s="320"/>
      <c r="M3" s="320"/>
      <c r="N3" s="320"/>
      <c r="O3" s="320"/>
    </row>
    <row r="4" spans="1:27" ht="15.5">
      <c r="A4"/>
      <c r="B4" s="323" t="s">
        <v>241</v>
      </c>
      <c r="C4" s="324"/>
      <c r="D4" s="324"/>
      <c r="E4"/>
      <c r="F4"/>
      <c r="G4"/>
      <c r="H4"/>
      <c r="I4"/>
      <c r="J4"/>
    </row>
    <row r="5" spans="1:27" ht="13">
      <c r="A5"/>
      <c r="B5"/>
      <c r="C5" s="325"/>
      <c r="D5" s="325"/>
      <c r="E5"/>
      <c r="G5"/>
      <c r="H5" s="326" t="s">
        <v>242</v>
      </c>
      <c r="I5"/>
      <c r="J5"/>
    </row>
    <row r="6" spans="1:27" ht="12.5">
      <c r="A6"/>
      <c r="B6"/>
      <c r="C6"/>
      <c r="D6"/>
      <c r="E6"/>
      <c r="G6"/>
      <c r="H6"/>
      <c r="I6" s="326" t="s">
        <v>243</v>
      </c>
      <c r="J6"/>
    </row>
    <row r="7" spans="1:27" ht="18.5" thickBot="1">
      <c r="A7" s="327"/>
      <c r="B7" s="328" t="s">
        <v>244</v>
      </c>
      <c r="C7" s="329"/>
      <c r="D7" s="329"/>
      <c r="E7" s="327"/>
      <c r="F7" s="327"/>
      <c r="G7" s="327"/>
      <c r="H7" s="327"/>
      <c r="I7" s="327"/>
      <c r="J7" s="327"/>
      <c r="K7" s="327"/>
      <c r="L7" s="327"/>
      <c r="M7" s="327"/>
      <c r="N7" s="327"/>
      <c r="O7" s="327"/>
      <c r="P7" s="327"/>
      <c r="Q7" s="327"/>
      <c r="R7" s="327"/>
      <c r="S7" s="327"/>
      <c r="T7" s="330"/>
      <c r="U7" s="330"/>
      <c r="V7" s="330"/>
      <c r="W7" s="330"/>
      <c r="X7" s="330"/>
      <c r="Y7" s="330"/>
      <c r="Z7" s="330"/>
      <c r="AA7" s="330"/>
    </row>
    <row r="8" spans="1:27" ht="15.5">
      <c r="A8" s="327"/>
      <c r="B8" s="331"/>
      <c r="C8" s="332"/>
      <c r="D8" s="333"/>
      <c r="E8" s="333"/>
      <c r="F8" s="333"/>
      <c r="G8" s="334" t="s">
        <v>245</v>
      </c>
      <c r="H8" s="335" t="s">
        <v>1</v>
      </c>
      <c r="I8" s="327"/>
      <c r="J8" s="336"/>
      <c r="K8" s="327"/>
      <c r="L8" s="327"/>
      <c r="M8" s="327"/>
      <c r="N8" s="327"/>
      <c r="O8" s="327"/>
      <c r="P8" s="327"/>
      <c r="Q8" s="327"/>
      <c r="R8" s="327"/>
      <c r="S8" s="327"/>
      <c r="T8" s="330"/>
      <c r="U8" s="330"/>
      <c r="V8" s="330"/>
      <c r="W8" s="330"/>
      <c r="X8" s="330"/>
      <c r="Y8" s="330"/>
      <c r="Z8" s="330"/>
      <c r="AA8" s="330"/>
    </row>
    <row r="9" spans="1:27">
      <c r="A9" s="327"/>
      <c r="B9" s="337" t="s">
        <v>97</v>
      </c>
      <c r="C9" s="98"/>
      <c r="D9" s="338"/>
      <c r="E9" s="338"/>
      <c r="F9" s="330"/>
      <c r="G9" s="338">
        <v>4232</v>
      </c>
      <c r="H9" s="339">
        <v>0.08</v>
      </c>
      <c r="I9" s="327"/>
      <c r="J9" s="327"/>
      <c r="K9" s="327"/>
      <c r="L9" s="327"/>
      <c r="M9" s="327"/>
      <c r="N9" s="327"/>
      <c r="O9" s="327"/>
      <c r="P9" s="327"/>
      <c r="Q9" s="327"/>
      <c r="R9" s="327"/>
      <c r="S9" s="327"/>
      <c r="T9" s="330"/>
      <c r="U9" s="330"/>
      <c r="V9" s="330"/>
      <c r="W9" s="330"/>
      <c r="X9" s="330"/>
      <c r="Y9" s="330"/>
      <c r="Z9" s="330"/>
      <c r="AA9" s="330"/>
    </row>
    <row r="10" spans="1:27">
      <c r="A10" s="327"/>
      <c r="B10" s="340" t="s">
        <v>246</v>
      </c>
      <c r="C10" s="341"/>
      <c r="D10" s="342"/>
      <c r="E10" s="343"/>
      <c r="F10" s="330"/>
      <c r="G10" s="343">
        <v>34345</v>
      </c>
      <c r="H10" s="344">
        <v>0.08</v>
      </c>
      <c r="I10" s="327"/>
      <c r="J10" s="327"/>
      <c r="K10" s="327"/>
      <c r="L10" s="327"/>
      <c r="M10" s="327"/>
      <c r="N10" s="327"/>
      <c r="O10" s="327"/>
      <c r="P10" s="327"/>
      <c r="Q10" s="327"/>
      <c r="R10" s="327"/>
      <c r="S10" s="327"/>
      <c r="T10" s="330"/>
      <c r="U10" s="330"/>
      <c r="V10" s="330"/>
      <c r="W10" s="330"/>
      <c r="X10" s="330"/>
      <c r="Y10" s="330"/>
      <c r="Z10" s="330"/>
      <c r="AA10" s="330"/>
    </row>
    <row r="11" spans="1:27" ht="13">
      <c r="A11" s="327"/>
      <c r="B11" s="345" t="s">
        <v>247</v>
      </c>
      <c r="C11" s="346"/>
      <c r="D11" s="330"/>
      <c r="E11" s="330"/>
      <c r="F11" s="330"/>
      <c r="G11" s="330"/>
      <c r="H11" s="347"/>
      <c r="I11" s="327"/>
      <c r="J11" s="327"/>
      <c r="K11" s="327"/>
      <c r="L11" s="327"/>
      <c r="M11" s="327"/>
      <c r="N11" s="327"/>
      <c r="O11" s="327"/>
      <c r="P11" s="327"/>
      <c r="Q11" s="327"/>
      <c r="R11" s="327"/>
      <c r="S11" s="327"/>
      <c r="T11" s="330"/>
      <c r="U11" s="330"/>
      <c r="V11" s="330"/>
      <c r="W11" s="330"/>
      <c r="X11" s="330"/>
      <c r="Y11" s="330"/>
      <c r="Z11" s="330"/>
      <c r="AA11" s="330"/>
    </row>
    <row r="12" spans="1:27">
      <c r="A12" s="327"/>
      <c r="B12" s="348" t="s">
        <v>0</v>
      </c>
      <c r="C12" s="349"/>
      <c r="D12" s="349"/>
      <c r="E12" s="349"/>
      <c r="F12" s="330"/>
      <c r="G12" s="330"/>
      <c r="H12" s="347"/>
      <c r="I12" s="327"/>
      <c r="J12" s="327"/>
      <c r="K12" s="327"/>
      <c r="L12" s="327"/>
      <c r="M12" s="327"/>
      <c r="N12" s="327"/>
      <c r="O12" s="327"/>
      <c r="P12" s="327"/>
      <c r="Q12" s="327"/>
      <c r="R12" s="327"/>
      <c r="S12" s="327"/>
      <c r="T12" s="330"/>
      <c r="U12" s="330"/>
      <c r="V12" s="330"/>
      <c r="W12" s="330"/>
      <c r="X12" s="330"/>
      <c r="Y12" s="330"/>
      <c r="Z12" s="330"/>
      <c r="AA12" s="330"/>
    </row>
    <row r="13" spans="1:27" ht="13">
      <c r="A13" s="327"/>
      <c r="B13" s="350" t="s">
        <v>248</v>
      </c>
      <c r="C13" s="346"/>
      <c r="D13" s="327"/>
      <c r="E13" s="327"/>
      <c r="F13" s="330"/>
      <c r="G13" s="330"/>
      <c r="H13" s="347"/>
      <c r="I13" s="327"/>
      <c r="J13" s="327"/>
      <c r="K13" s="327"/>
      <c r="L13" s="327"/>
      <c r="M13" s="327"/>
      <c r="N13" s="327"/>
      <c r="O13" s="327"/>
      <c r="P13" s="327"/>
      <c r="Q13" s="327"/>
      <c r="R13" s="327"/>
      <c r="S13" s="327"/>
      <c r="T13" s="330"/>
      <c r="U13" s="330"/>
      <c r="V13" s="330"/>
      <c r="W13" s="330"/>
      <c r="X13" s="330"/>
      <c r="Y13" s="330"/>
      <c r="Z13" s="330"/>
      <c r="AA13" s="330"/>
    </row>
    <row r="14" spans="1:27">
      <c r="A14" s="327"/>
      <c r="B14" s="351" t="s">
        <v>249</v>
      </c>
      <c r="C14" s="352"/>
      <c r="D14" s="352"/>
      <c r="E14" s="327"/>
      <c r="F14" s="330"/>
      <c r="G14" s="330"/>
      <c r="H14" s="347"/>
      <c r="I14" s="327"/>
      <c r="J14" s="327"/>
      <c r="K14" s="327"/>
      <c r="L14" s="327"/>
      <c r="M14" s="327"/>
      <c r="N14" s="327"/>
      <c r="O14" s="327"/>
      <c r="P14" s="327"/>
      <c r="Q14" s="327"/>
      <c r="R14" s="327"/>
      <c r="S14" s="327"/>
      <c r="T14" s="330"/>
      <c r="U14" s="330"/>
      <c r="V14" s="330"/>
      <c r="W14" s="330"/>
      <c r="X14" s="330"/>
      <c r="Y14" s="330"/>
      <c r="Z14" s="330"/>
      <c r="AA14" s="330"/>
    </row>
    <row r="15" spans="1:27">
      <c r="A15" s="327"/>
      <c r="B15" s="353" t="s">
        <v>250</v>
      </c>
      <c r="C15" s="354"/>
      <c r="D15" s="327"/>
      <c r="E15" s="327"/>
      <c r="F15" s="330"/>
      <c r="G15" s="330"/>
      <c r="H15" s="347"/>
      <c r="I15" s="327"/>
      <c r="J15" s="327"/>
      <c r="K15" s="327"/>
      <c r="L15" s="327"/>
      <c r="M15" s="327"/>
      <c r="N15" s="327"/>
      <c r="O15" s="327"/>
      <c r="P15" s="327"/>
      <c r="Q15" s="355"/>
      <c r="R15" s="355"/>
      <c r="S15" s="327"/>
      <c r="T15" s="330"/>
      <c r="U15" s="330"/>
      <c r="V15" s="330"/>
      <c r="W15" s="330"/>
      <c r="X15" s="330"/>
      <c r="Y15" s="330"/>
      <c r="Z15" s="330"/>
      <c r="AA15" s="330"/>
    </row>
    <row r="16" spans="1:27" ht="12" thickBot="1">
      <c r="A16" s="327"/>
      <c r="B16" s="356" t="s">
        <v>251</v>
      </c>
      <c r="C16" s="357"/>
      <c r="D16" s="358"/>
      <c r="E16" s="359"/>
      <c r="F16" s="360"/>
      <c r="G16" s="361"/>
      <c r="H16" s="362"/>
      <c r="I16" s="327"/>
      <c r="J16" s="327"/>
      <c r="K16" s="327"/>
      <c r="L16" s="327"/>
      <c r="M16" s="327"/>
      <c r="N16" s="327"/>
      <c r="O16" s="327"/>
      <c r="P16" s="327"/>
      <c r="Q16" s="355"/>
      <c r="R16" s="355"/>
      <c r="S16" s="327"/>
      <c r="T16" s="330"/>
      <c r="U16" s="330"/>
      <c r="V16" s="330"/>
      <c r="W16" s="330"/>
      <c r="X16" s="330"/>
      <c r="Y16" s="330"/>
      <c r="Z16" s="330"/>
      <c r="AA16" s="330"/>
    </row>
    <row r="17" spans="1:27">
      <c r="A17" s="327"/>
      <c r="B17" s="327" t="s">
        <v>252</v>
      </c>
      <c r="C17" s="363"/>
      <c r="D17" s="364"/>
      <c r="E17" s="365" t="s">
        <v>253</v>
      </c>
      <c r="F17" s="366"/>
      <c r="G17" s="366"/>
      <c r="H17" s="98"/>
      <c r="I17" s="327"/>
      <c r="J17" s="327"/>
      <c r="K17" s="327"/>
      <c r="L17" s="327"/>
      <c r="M17" s="327"/>
      <c r="N17" s="327"/>
      <c r="O17" s="327"/>
      <c r="P17" s="327"/>
      <c r="Q17" s="355"/>
      <c r="R17" s="355"/>
      <c r="S17" s="330"/>
      <c r="T17" s="330"/>
      <c r="U17" s="330"/>
      <c r="V17" s="330"/>
      <c r="W17" s="330"/>
      <c r="X17" s="330"/>
      <c r="Y17" s="330"/>
      <c r="Z17" s="330"/>
      <c r="AA17" s="330"/>
    </row>
    <row r="18" spans="1:27">
      <c r="A18" s="327"/>
      <c r="B18" s="327"/>
      <c r="C18" s="327"/>
      <c r="D18" s="327"/>
      <c r="E18" s="367" t="s">
        <v>254</v>
      </c>
      <c r="F18" s="366"/>
      <c r="G18" s="366"/>
      <c r="H18" s="338"/>
      <c r="I18" s="327"/>
      <c r="J18" s="327"/>
      <c r="K18" s="327"/>
      <c r="L18" s="327"/>
      <c r="M18" s="327"/>
      <c r="N18" s="327"/>
      <c r="O18" s="327"/>
      <c r="P18" s="327"/>
      <c r="Q18" s="327"/>
      <c r="R18" s="327"/>
      <c r="S18" s="330"/>
      <c r="T18" s="330"/>
      <c r="U18" s="330"/>
      <c r="V18" s="330"/>
      <c r="W18" s="330"/>
      <c r="X18" s="330"/>
      <c r="Y18" s="330"/>
      <c r="Z18" s="330"/>
      <c r="AA18" s="330"/>
    </row>
    <row r="19" spans="1:27">
      <c r="A19" s="327"/>
      <c r="B19" s="327"/>
      <c r="C19" s="327"/>
      <c r="D19" s="327"/>
      <c r="E19" s="327"/>
      <c r="F19" s="327"/>
      <c r="G19" s="330"/>
      <c r="H19" s="330"/>
      <c r="I19" s="327"/>
      <c r="J19" s="327"/>
      <c r="K19" s="327"/>
      <c r="L19" s="327"/>
      <c r="M19" s="327"/>
      <c r="N19" s="327"/>
      <c r="O19" s="327"/>
      <c r="P19" s="327"/>
      <c r="Q19" s="327"/>
      <c r="R19" s="327"/>
      <c r="S19" s="330"/>
      <c r="T19" s="330"/>
      <c r="U19" s="330"/>
      <c r="V19" s="330"/>
      <c r="W19" s="330"/>
      <c r="X19" s="330"/>
      <c r="Y19" s="330"/>
      <c r="Z19" s="330"/>
      <c r="AA19" s="330"/>
    </row>
    <row r="20" spans="1:27" ht="12.5">
      <c r="A20" s="327"/>
      <c r="B20" s="327"/>
      <c r="C20" s="327"/>
      <c r="D20" s="327"/>
      <c r="E20" s="327"/>
      <c r="F20" s="327"/>
      <c r="G20" s="327"/>
      <c r="H20" s="336" t="s">
        <v>242</v>
      </c>
      <c r="I20" s="327"/>
      <c r="J20" s="327"/>
      <c r="K20" s="327"/>
      <c r="L20" s="327"/>
      <c r="M20" s="327"/>
      <c r="N20" s="327"/>
      <c r="O20" s="327"/>
      <c r="P20" s="327"/>
      <c r="Q20" s="327"/>
      <c r="R20" s="327"/>
      <c r="S20" s="330"/>
      <c r="T20" s="330"/>
      <c r="U20" s="330"/>
      <c r="V20" s="330"/>
      <c r="W20" s="330"/>
      <c r="X20" s="330"/>
      <c r="Y20" s="330"/>
      <c r="Z20" s="330"/>
      <c r="AA20" s="330"/>
    </row>
    <row r="21" spans="1:27" ht="18.5" thickBot="1">
      <c r="A21" s="327"/>
      <c r="B21" s="328" t="s">
        <v>255</v>
      </c>
      <c r="C21" s="329"/>
      <c r="D21" s="329"/>
      <c r="E21" s="327"/>
      <c r="F21" s="327"/>
      <c r="G21" s="327"/>
      <c r="H21" s="327"/>
      <c r="I21" s="336" t="s">
        <v>243</v>
      </c>
      <c r="J21" s="327"/>
      <c r="K21" s="327"/>
      <c r="L21" s="327"/>
      <c r="M21" s="327"/>
      <c r="N21" s="327"/>
      <c r="O21" s="327"/>
      <c r="P21" s="327"/>
      <c r="Q21" s="327"/>
      <c r="R21" s="327"/>
      <c r="S21" s="330"/>
      <c r="T21" s="330"/>
      <c r="U21" s="330"/>
      <c r="V21" s="330"/>
      <c r="W21" s="330"/>
      <c r="X21" s="330"/>
      <c r="Y21" s="330"/>
      <c r="Z21" s="330"/>
      <c r="AA21" s="330"/>
    </row>
    <row r="22" spans="1:27" ht="18">
      <c r="A22" s="327"/>
      <c r="B22" s="368"/>
      <c r="C22" s="369"/>
      <c r="D22" s="333"/>
      <c r="E22" s="333"/>
      <c r="F22" s="333"/>
      <c r="G22" s="334" t="s">
        <v>245</v>
      </c>
      <c r="H22" s="335" t="s">
        <v>1</v>
      </c>
      <c r="I22" s="370"/>
      <c r="J22" s="327"/>
      <c r="K22" s="327"/>
      <c r="L22" s="327"/>
      <c r="M22" s="327"/>
      <c r="N22" s="327"/>
      <c r="O22" s="327"/>
      <c r="P22" s="327"/>
      <c r="Q22" s="327"/>
      <c r="R22" s="327"/>
      <c r="S22" s="330"/>
      <c r="T22" s="330"/>
      <c r="U22" s="330"/>
      <c r="V22" s="330"/>
      <c r="W22" s="330"/>
      <c r="X22" s="330"/>
      <c r="Y22" s="330"/>
      <c r="Z22" s="330"/>
      <c r="AA22" s="330"/>
    </row>
    <row r="23" spans="1:27">
      <c r="A23" s="327"/>
      <c r="B23" s="340" t="s">
        <v>256</v>
      </c>
      <c r="C23" s="342"/>
      <c r="D23" s="342"/>
      <c r="E23" s="342"/>
      <c r="F23" s="343"/>
      <c r="G23" s="371">
        <v>234</v>
      </c>
      <c r="H23" s="344">
        <v>0.24</v>
      </c>
      <c r="I23" s="327"/>
      <c r="J23" s="327"/>
      <c r="K23" s="327"/>
      <c r="L23" s="327"/>
      <c r="M23" s="327"/>
      <c r="N23" s="327"/>
      <c r="O23" s="327"/>
      <c r="P23" s="327"/>
      <c r="Q23" s="327"/>
      <c r="R23" s="327"/>
      <c r="S23" s="330"/>
      <c r="T23" s="330"/>
      <c r="U23" s="330"/>
      <c r="V23" s="330"/>
      <c r="W23" s="330"/>
      <c r="X23" s="330"/>
      <c r="Y23" s="330"/>
      <c r="Z23" s="330"/>
      <c r="AA23" s="330"/>
    </row>
    <row r="24" spans="1:27">
      <c r="A24" s="327"/>
      <c r="B24" s="372" t="s">
        <v>257</v>
      </c>
      <c r="C24" s="373"/>
      <c r="D24" s="373"/>
      <c r="E24" s="373"/>
      <c r="F24" s="373"/>
      <c r="G24" s="373">
        <v>6667</v>
      </c>
      <c r="H24" s="374">
        <v>0.05</v>
      </c>
      <c r="I24" s="327"/>
      <c r="J24" s="327"/>
      <c r="K24" s="327"/>
      <c r="L24" s="327"/>
      <c r="M24" s="327"/>
      <c r="N24" s="327"/>
      <c r="O24" s="327"/>
      <c r="P24" s="327"/>
      <c r="Q24" s="327"/>
      <c r="R24" s="327"/>
      <c r="S24" s="330"/>
      <c r="T24" s="330"/>
      <c r="U24" s="330"/>
      <c r="V24" s="330"/>
      <c r="W24" s="330"/>
      <c r="X24" s="330"/>
      <c r="Y24" s="330"/>
      <c r="Z24" s="330"/>
      <c r="AA24" s="330"/>
    </row>
    <row r="25" spans="1:27">
      <c r="A25" s="327"/>
      <c r="B25" s="353" t="s">
        <v>258</v>
      </c>
      <c r="C25" s="354"/>
      <c r="D25" s="354"/>
      <c r="E25" s="327"/>
      <c r="F25" s="330"/>
      <c r="G25" s="327"/>
      <c r="H25" s="375"/>
      <c r="I25" s="327"/>
      <c r="J25" s="327"/>
      <c r="K25" s="327"/>
      <c r="L25" s="327"/>
      <c r="M25" s="327"/>
      <c r="N25" s="327"/>
      <c r="O25" s="327"/>
      <c r="P25" s="327"/>
      <c r="Q25" s="327"/>
      <c r="R25" s="327"/>
      <c r="S25" s="330"/>
      <c r="T25" s="330"/>
      <c r="U25" s="330"/>
      <c r="V25" s="330"/>
      <c r="W25" s="330"/>
      <c r="X25" s="330"/>
      <c r="Y25" s="330"/>
      <c r="Z25" s="330"/>
      <c r="AA25" s="330"/>
    </row>
    <row r="26" spans="1:27" ht="12" thickBot="1">
      <c r="A26" s="327"/>
      <c r="B26" s="376" t="s">
        <v>249</v>
      </c>
      <c r="C26" s="377"/>
      <c r="D26" s="377"/>
      <c r="E26" s="357"/>
      <c r="F26" s="357"/>
      <c r="G26" s="357"/>
      <c r="H26" s="378"/>
      <c r="I26" s="327"/>
      <c r="J26" s="327"/>
      <c r="K26" s="327"/>
      <c r="L26" s="327"/>
      <c r="M26" s="327"/>
      <c r="N26" s="327"/>
      <c r="O26" s="327"/>
      <c r="P26" s="327"/>
      <c r="Q26" s="327"/>
      <c r="R26" s="327"/>
      <c r="S26" s="330"/>
      <c r="T26" s="330"/>
      <c r="U26" s="330"/>
      <c r="V26" s="330"/>
      <c r="W26" s="330"/>
      <c r="X26" s="330"/>
      <c r="Y26" s="330"/>
      <c r="Z26" s="330"/>
      <c r="AA26" s="330"/>
    </row>
    <row r="27" spans="1:27">
      <c r="A27" s="327"/>
      <c r="B27" s="352"/>
      <c r="C27" s="352"/>
      <c r="D27" s="352"/>
      <c r="E27" s="327"/>
      <c r="F27" s="327"/>
      <c r="G27" s="327"/>
      <c r="H27" s="327"/>
      <c r="I27" s="327"/>
      <c r="J27" s="327"/>
      <c r="K27" s="327"/>
      <c r="L27" s="327"/>
      <c r="M27" s="327"/>
      <c r="N27" s="327"/>
      <c r="O27" s="327"/>
      <c r="P27" s="327"/>
      <c r="Q27" s="327"/>
      <c r="R27" s="327"/>
      <c r="S27" s="330"/>
      <c r="T27" s="330"/>
      <c r="U27" s="330"/>
      <c r="V27" s="330"/>
      <c r="W27" s="330"/>
      <c r="X27" s="330"/>
      <c r="Y27" s="330"/>
      <c r="Z27" s="330"/>
      <c r="AA27" s="330"/>
    </row>
    <row r="28" spans="1:27">
      <c r="A28" s="327"/>
      <c r="B28" s="379" t="s">
        <v>259</v>
      </c>
      <c r="C28" s="380"/>
      <c r="D28" s="380"/>
      <c r="E28" s="327"/>
      <c r="F28" s="327"/>
      <c r="G28" s="327"/>
      <c r="H28" s="327"/>
      <c r="I28" s="327"/>
      <c r="J28" s="327"/>
      <c r="K28" s="327"/>
      <c r="L28" s="327"/>
      <c r="M28" s="327"/>
      <c r="N28" s="327"/>
      <c r="O28" s="327"/>
      <c r="P28" s="327"/>
      <c r="Q28" s="327"/>
      <c r="R28" s="327"/>
      <c r="S28" s="330"/>
      <c r="T28" s="330"/>
      <c r="U28" s="330"/>
      <c r="V28" s="330"/>
      <c r="W28" s="330"/>
      <c r="X28" s="330"/>
      <c r="Y28" s="330"/>
      <c r="Z28" s="330"/>
      <c r="AA28" s="330"/>
    </row>
    <row r="29" spans="1:27">
      <c r="A29"/>
      <c r="B29" s="381"/>
      <c r="C29" s="382"/>
      <c r="D29" s="382"/>
      <c r="E29" s="383"/>
      <c r="F29" s="383"/>
      <c r="G29" s="383"/>
      <c r="H29" s="383"/>
      <c r="I29" s="383"/>
      <c r="J29" s="383"/>
    </row>
    <row r="30" spans="1:27" s="384" customFormat="1"/>
    <row r="31" spans="1:27" ht="18">
      <c r="A31" s="318" t="s">
        <v>260</v>
      </c>
    </row>
    <row r="32" spans="1:27" ht="7.5" customHeight="1">
      <c r="A32" s="318"/>
    </row>
    <row r="33" spans="1:27">
      <c r="A33" s="385"/>
      <c r="B33" s="386" t="s">
        <v>261</v>
      </c>
      <c r="C33" s="386" t="s">
        <v>262</v>
      </c>
      <c r="D33" s="386" t="s">
        <v>263</v>
      </c>
      <c r="E33" s="386" t="s">
        <v>264</v>
      </c>
      <c r="F33" s="386" t="s">
        <v>265</v>
      </c>
      <c r="G33" s="386" t="s">
        <v>266</v>
      </c>
      <c r="H33" s="386" t="s">
        <v>267</v>
      </c>
      <c r="I33" s="386" t="s">
        <v>268</v>
      </c>
      <c r="K33" s="385"/>
      <c r="L33" s="386" t="s">
        <v>261</v>
      </c>
      <c r="M33" s="386" t="s">
        <v>262</v>
      </c>
      <c r="N33" s="386" t="s">
        <v>263</v>
      </c>
      <c r="O33" s="386" t="s">
        <v>264</v>
      </c>
      <c r="P33" s="386" t="s">
        <v>265</v>
      </c>
      <c r="Q33" s="386" t="s">
        <v>266</v>
      </c>
      <c r="S33" s="385" t="s">
        <v>269</v>
      </c>
      <c r="T33" s="385" t="s">
        <v>270</v>
      </c>
      <c r="U33" s="385" t="s">
        <v>271</v>
      </c>
      <c r="W33" s="385"/>
      <c r="X33" s="385" t="s">
        <v>272</v>
      </c>
      <c r="Y33" s="385" t="s">
        <v>273</v>
      </c>
      <c r="Z33" s="385" t="s">
        <v>274</v>
      </c>
      <c r="AA33" s="385" t="s">
        <v>275</v>
      </c>
    </row>
    <row r="34" spans="1:27">
      <c r="A34" s="385" t="s">
        <v>276</v>
      </c>
      <c r="B34" s="385">
        <v>36.19</v>
      </c>
      <c r="C34" s="385">
        <v>36.880000000000003</v>
      </c>
      <c r="D34" s="385">
        <v>21.56</v>
      </c>
      <c r="E34" s="385">
        <v>5.36</v>
      </c>
      <c r="F34" s="385">
        <v>3.01</v>
      </c>
      <c r="G34" s="385">
        <v>10</v>
      </c>
      <c r="H34" s="385">
        <v>3.01</v>
      </c>
      <c r="I34" s="385">
        <v>10</v>
      </c>
      <c r="K34" s="385" t="s">
        <v>276</v>
      </c>
      <c r="L34" s="385">
        <v>33.19</v>
      </c>
      <c r="M34" s="385">
        <v>36.880000000000003</v>
      </c>
      <c r="N34" s="385">
        <v>21.56</v>
      </c>
      <c r="O34" s="385">
        <v>5.36</v>
      </c>
      <c r="P34" s="385">
        <v>3.01</v>
      </c>
      <c r="Q34" s="385">
        <v>10</v>
      </c>
      <c r="S34" s="385">
        <v>1.8</v>
      </c>
      <c r="T34" s="385">
        <v>10</v>
      </c>
      <c r="U34" s="385">
        <v>17</v>
      </c>
      <c r="W34" s="385" t="s">
        <v>276</v>
      </c>
      <c r="X34" s="385">
        <v>33.19</v>
      </c>
      <c r="Y34" s="385">
        <v>36.880000000000003</v>
      </c>
      <c r="Z34" s="385">
        <v>21.56</v>
      </c>
      <c r="AA34" s="385">
        <v>5.36</v>
      </c>
    </row>
    <row r="35" spans="1:27">
      <c r="A35" s="385" t="s">
        <v>277</v>
      </c>
      <c r="B35" s="385">
        <v>39.39</v>
      </c>
      <c r="C35" s="385">
        <v>32.020000000000003</v>
      </c>
      <c r="D35" s="385">
        <v>21.6</v>
      </c>
      <c r="E35" s="385">
        <v>7.01</v>
      </c>
      <c r="F35" s="385">
        <v>3.36</v>
      </c>
      <c r="G35" s="385">
        <v>12</v>
      </c>
      <c r="H35" s="385">
        <v>3.36</v>
      </c>
      <c r="I35" s="385">
        <v>12</v>
      </c>
      <c r="K35" s="385" t="s">
        <v>277</v>
      </c>
      <c r="L35" s="385">
        <v>39.39</v>
      </c>
      <c r="M35" s="385">
        <v>32.020000000000003</v>
      </c>
      <c r="N35" s="385">
        <v>21.6</v>
      </c>
      <c r="O35" s="385">
        <v>7.01</v>
      </c>
      <c r="P35" s="385">
        <v>3.36</v>
      </c>
      <c r="Q35" s="385">
        <v>12</v>
      </c>
      <c r="S35" s="385">
        <v>2.2999999999999998</v>
      </c>
      <c r="T35" s="385">
        <v>12</v>
      </c>
      <c r="U35" s="385">
        <v>9</v>
      </c>
      <c r="W35" s="385" t="s">
        <v>277</v>
      </c>
      <c r="X35" s="385">
        <v>39.39</v>
      </c>
      <c r="Y35" s="385">
        <v>32.020000000000003</v>
      </c>
      <c r="Z35" s="385">
        <v>21.6</v>
      </c>
      <c r="AA35" s="385">
        <v>7.01</v>
      </c>
    </row>
    <row r="36" spans="1:27">
      <c r="A36" s="385" t="s">
        <v>278</v>
      </c>
      <c r="B36" s="385">
        <v>42.78</v>
      </c>
      <c r="C36" s="385">
        <v>29.91</v>
      </c>
      <c r="D36" s="385">
        <v>18.350000000000001</v>
      </c>
      <c r="E36" s="385">
        <v>6.33</v>
      </c>
      <c r="F36" s="385">
        <v>2.63</v>
      </c>
      <c r="G36" s="385">
        <v>14</v>
      </c>
      <c r="H36" s="385">
        <v>2.63</v>
      </c>
      <c r="I36" s="385">
        <v>14</v>
      </c>
      <c r="K36" s="385" t="s">
        <v>278</v>
      </c>
      <c r="L36" s="385">
        <v>42.78</v>
      </c>
      <c r="M36" s="385">
        <v>29.91</v>
      </c>
      <c r="N36" s="385">
        <v>18.350000000000001</v>
      </c>
      <c r="O36" s="385">
        <v>6.33</v>
      </c>
      <c r="P36" s="385">
        <v>2.63</v>
      </c>
      <c r="Q36" s="385">
        <v>14</v>
      </c>
      <c r="S36" s="385">
        <v>3.7</v>
      </c>
      <c r="T36" s="385">
        <v>16</v>
      </c>
      <c r="U36" s="385">
        <v>14</v>
      </c>
      <c r="W36" s="385" t="s">
        <v>278</v>
      </c>
      <c r="X36" s="385">
        <v>42.78</v>
      </c>
      <c r="Y36" s="385">
        <v>29.91</v>
      </c>
      <c r="Z36" s="385">
        <v>18.350000000000001</v>
      </c>
      <c r="AA36" s="385">
        <v>6.33</v>
      </c>
    </row>
    <row r="37" spans="1:27">
      <c r="A37" s="387" t="s">
        <v>279</v>
      </c>
      <c r="B37" s="385">
        <v>42.13</v>
      </c>
      <c r="C37" s="385">
        <v>26.53</v>
      </c>
      <c r="D37" s="385">
        <v>21.6</v>
      </c>
      <c r="E37" s="385">
        <v>7.01</v>
      </c>
      <c r="F37" s="385">
        <v>2.72</v>
      </c>
      <c r="G37" s="385">
        <v>16</v>
      </c>
      <c r="H37" s="385">
        <v>2.72</v>
      </c>
      <c r="I37" s="385">
        <v>16</v>
      </c>
      <c r="K37" s="387" t="s">
        <v>279</v>
      </c>
      <c r="L37" s="385">
        <v>42.13</v>
      </c>
      <c r="M37" s="385">
        <v>26.53</v>
      </c>
      <c r="N37" s="385">
        <v>21.6</v>
      </c>
      <c r="O37" s="385">
        <v>7.01</v>
      </c>
      <c r="P37" s="385">
        <v>2.72</v>
      </c>
      <c r="Q37" s="385">
        <v>16</v>
      </c>
      <c r="S37" s="385">
        <v>4.0999999999999996</v>
      </c>
      <c r="T37" s="385">
        <v>8</v>
      </c>
      <c r="U37" s="385">
        <v>23</v>
      </c>
      <c r="W37" s="387" t="s">
        <v>279</v>
      </c>
      <c r="X37" s="385">
        <v>42.13</v>
      </c>
      <c r="Y37" s="385">
        <v>26.53</v>
      </c>
      <c r="Z37" s="385">
        <v>21.6</v>
      </c>
      <c r="AA37" s="385">
        <v>7.01</v>
      </c>
    </row>
    <row r="38" spans="1:27">
      <c r="A38" s="385" t="s">
        <v>280</v>
      </c>
      <c r="B38" s="385">
        <v>41.69</v>
      </c>
      <c r="C38" s="385">
        <v>24.76</v>
      </c>
      <c r="D38" s="385">
        <v>23.98</v>
      </c>
      <c r="E38" s="385">
        <v>7</v>
      </c>
      <c r="F38" s="385">
        <v>2.57</v>
      </c>
      <c r="G38" s="385">
        <v>18</v>
      </c>
      <c r="H38" s="385">
        <v>2.57</v>
      </c>
      <c r="I38" s="385">
        <v>18</v>
      </c>
      <c r="K38" s="385" t="s">
        <v>280</v>
      </c>
      <c r="L38" s="385">
        <v>41.69</v>
      </c>
      <c r="M38" s="385">
        <v>24.76</v>
      </c>
      <c r="N38" s="385">
        <v>23.98</v>
      </c>
      <c r="O38" s="385">
        <v>7</v>
      </c>
      <c r="P38" s="385">
        <v>2.57</v>
      </c>
      <c r="Q38" s="385">
        <v>18</v>
      </c>
      <c r="S38" s="385">
        <v>5.5</v>
      </c>
      <c r="T38" s="385">
        <v>14</v>
      </c>
      <c r="U38" s="385">
        <v>27</v>
      </c>
      <c r="W38" s="385" t="s">
        <v>280</v>
      </c>
      <c r="X38" s="385">
        <v>41.69</v>
      </c>
      <c r="Y38" s="385">
        <v>24.76</v>
      </c>
      <c r="Z38" s="385">
        <v>23.98</v>
      </c>
      <c r="AA38" s="385">
        <v>7</v>
      </c>
    </row>
    <row r="39" spans="1:27">
      <c r="A39" s="385" t="s">
        <v>281</v>
      </c>
      <c r="B39" s="385">
        <v>39.39</v>
      </c>
      <c r="C39" s="385">
        <v>32.020000000000003</v>
      </c>
      <c r="D39" s="385">
        <v>21.6</v>
      </c>
      <c r="E39" s="385">
        <v>7.01</v>
      </c>
      <c r="F39" s="385">
        <v>3.36</v>
      </c>
      <c r="G39" s="385">
        <v>12</v>
      </c>
      <c r="H39" s="385">
        <v>3.36</v>
      </c>
      <c r="I39" s="385">
        <v>12</v>
      </c>
      <c r="K39" s="385" t="s">
        <v>281</v>
      </c>
      <c r="L39" s="385">
        <v>39.39</v>
      </c>
      <c r="M39" s="385">
        <v>32.020000000000003</v>
      </c>
      <c r="N39" s="385">
        <v>21.6</v>
      </c>
      <c r="O39" s="385">
        <v>7.01</v>
      </c>
      <c r="P39" s="385">
        <v>3.36</v>
      </c>
      <c r="Q39" s="385">
        <v>12</v>
      </c>
      <c r="W39" s="385" t="s">
        <v>281</v>
      </c>
      <c r="X39" s="385">
        <v>39.39</v>
      </c>
      <c r="Y39" s="385">
        <v>32.020000000000003</v>
      </c>
      <c r="Z39" s="385">
        <v>21.6</v>
      </c>
      <c r="AA39" s="385">
        <v>7.01</v>
      </c>
    </row>
    <row r="40" spans="1:27">
      <c r="A40" s="385" t="s">
        <v>282</v>
      </c>
      <c r="B40" s="385">
        <v>42.13</v>
      </c>
      <c r="C40" s="385">
        <v>26.53</v>
      </c>
      <c r="D40" s="385">
        <v>21.6</v>
      </c>
      <c r="E40" s="385">
        <v>7.01</v>
      </c>
      <c r="F40" s="385">
        <v>2.72</v>
      </c>
      <c r="G40" s="385">
        <v>16</v>
      </c>
      <c r="H40" s="385">
        <v>2.72</v>
      </c>
      <c r="I40" s="385">
        <v>16</v>
      </c>
      <c r="K40" s="385" t="s">
        <v>282</v>
      </c>
      <c r="L40" s="385">
        <v>42.13</v>
      </c>
      <c r="M40" s="385">
        <v>26.53</v>
      </c>
      <c r="N40" s="385">
        <v>21.6</v>
      </c>
      <c r="O40" s="385">
        <v>7.01</v>
      </c>
      <c r="P40" s="385">
        <v>2.72</v>
      </c>
      <c r="Q40" s="385">
        <v>16</v>
      </c>
      <c r="W40" s="385" t="s">
        <v>282</v>
      </c>
      <c r="X40" s="385">
        <v>42.13</v>
      </c>
      <c r="Y40" s="385">
        <v>26.53</v>
      </c>
      <c r="Z40" s="385">
        <v>21.6</v>
      </c>
      <c r="AA40" s="385">
        <v>7.01</v>
      </c>
    </row>
    <row r="41" spans="1:27">
      <c r="A41" s="385" t="s">
        <v>283</v>
      </c>
      <c r="B41" s="385">
        <v>45</v>
      </c>
      <c r="C41" s="385">
        <v>22</v>
      </c>
      <c r="D41" s="385">
        <v>26</v>
      </c>
      <c r="E41" s="385">
        <v>8</v>
      </c>
      <c r="F41" s="385">
        <v>2</v>
      </c>
      <c r="G41" s="385">
        <v>20</v>
      </c>
      <c r="H41" s="385">
        <v>2</v>
      </c>
      <c r="I41" s="385">
        <v>20</v>
      </c>
      <c r="K41" s="385" t="s">
        <v>283</v>
      </c>
      <c r="L41" s="385">
        <v>45</v>
      </c>
      <c r="M41" s="385">
        <v>22</v>
      </c>
      <c r="N41" s="385">
        <v>26</v>
      </c>
      <c r="O41" s="385">
        <v>8</v>
      </c>
      <c r="P41" s="385">
        <v>2</v>
      </c>
      <c r="Q41" s="385">
        <v>20</v>
      </c>
      <c r="W41" s="385" t="s">
        <v>283</v>
      </c>
      <c r="X41" s="385">
        <v>45</v>
      </c>
      <c r="Y41" s="385">
        <v>22</v>
      </c>
      <c r="Z41" s="385">
        <v>26</v>
      </c>
      <c r="AA41" s="385">
        <v>8</v>
      </c>
    </row>
    <row r="42" spans="1:27" ht="12.5">
      <c r="A42" s="388" t="s">
        <v>284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90"/>
  <sheetViews>
    <sheetView showGridLines="0" topLeftCell="A33" zoomScale="125" workbookViewId="0">
      <selection activeCell="D57" sqref="D57"/>
    </sheetView>
  </sheetViews>
  <sheetFormatPr defaultColWidth="9.09765625" defaultRowHeight="11.5"/>
  <cols>
    <col min="1" max="1" width="2.8984375" style="2" customWidth="1"/>
    <col min="2" max="2" width="5" style="2" customWidth="1"/>
    <col min="3" max="3" width="12.09765625" style="2" customWidth="1"/>
    <col min="4" max="4" width="139.69921875" style="2" customWidth="1"/>
    <col min="5" max="22" width="9.09765625" style="5"/>
    <col min="23" max="28" width="9.09765625" style="4"/>
    <col min="29" max="16384" width="9.09765625" style="2"/>
  </cols>
  <sheetData>
    <row r="2" spans="1:28">
      <c r="A2" s="4"/>
      <c r="B2" s="4"/>
      <c r="C2" s="4"/>
      <c r="D2" s="4"/>
      <c r="I2" s="2"/>
      <c r="J2" s="2"/>
      <c r="K2" s="2"/>
      <c r="L2" s="2"/>
      <c r="M2" s="2"/>
      <c r="N2" s="2"/>
      <c r="O2" s="2"/>
      <c r="P2" s="2"/>
      <c r="Q2" s="2"/>
      <c r="R2" s="2"/>
      <c r="S2" s="2"/>
      <c r="T2" s="2"/>
      <c r="U2" s="2"/>
      <c r="V2" s="2"/>
      <c r="W2" s="2"/>
      <c r="X2" s="2"/>
      <c r="Y2" s="2"/>
      <c r="Z2" s="2"/>
      <c r="AA2" s="2"/>
      <c r="AB2" s="2"/>
    </row>
    <row r="3" spans="1:28" ht="15.5">
      <c r="A3" s="4"/>
      <c r="B3" s="6" t="s">
        <v>218</v>
      </c>
      <c r="C3" s="6"/>
      <c r="D3" s="7"/>
      <c r="I3" s="2"/>
      <c r="J3" s="2"/>
      <c r="K3" s="2"/>
      <c r="L3" s="2"/>
      <c r="M3" s="2"/>
      <c r="N3" s="2"/>
      <c r="O3" s="2"/>
      <c r="P3" s="2"/>
      <c r="Q3" s="2"/>
      <c r="R3" s="2"/>
      <c r="S3" s="2"/>
      <c r="T3" s="2"/>
      <c r="U3" s="2"/>
      <c r="V3" s="2"/>
      <c r="W3" s="2"/>
      <c r="X3" s="2"/>
      <c r="Y3" s="2"/>
      <c r="Z3" s="2"/>
      <c r="AA3" s="2"/>
      <c r="AB3" s="2"/>
    </row>
    <row r="4" spans="1:28" ht="15.75" customHeight="1">
      <c r="A4" s="4"/>
      <c r="B4" s="8"/>
      <c r="C4" s="8"/>
      <c r="D4" s="8"/>
      <c r="I4" s="2"/>
      <c r="J4" s="2"/>
      <c r="K4" s="2"/>
      <c r="L4" s="2"/>
      <c r="M4" s="2"/>
      <c r="N4" s="2"/>
      <c r="O4" s="2"/>
      <c r="P4" s="2"/>
      <c r="Q4" s="2"/>
      <c r="R4" s="2"/>
      <c r="S4" s="2"/>
      <c r="T4" s="2"/>
      <c r="U4" s="2"/>
      <c r="V4" s="2"/>
      <c r="W4" s="2"/>
      <c r="X4" s="2"/>
      <c r="Y4" s="2"/>
      <c r="Z4" s="2"/>
      <c r="AA4" s="2"/>
      <c r="AB4" s="2"/>
    </row>
    <row r="5" spans="1:28" ht="15.75" customHeight="1">
      <c r="A5" s="4"/>
      <c r="B5" s="8"/>
      <c r="C5" s="8"/>
      <c r="D5" s="8"/>
      <c r="I5" s="2"/>
      <c r="J5" s="2"/>
      <c r="K5" s="2"/>
      <c r="L5" s="2"/>
      <c r="M5" s="2"/>
      <c r="N5" s="2"/>
      <c r="O5" s="2"/>
      <c r="P5" s="2"/>
      <c r="Q5" s="2"/>
      <c r="R5" s="2"/>
      <c r="S5" s="2"/>
      <c r="T5" s="2"/>
      <c r="U5" s="2"/>
      <c r="V5" s="2"/>
      <c r="W5" s="2"/>
      <c r="X5" s="2"/>
      <c r="Y5" s="2"/>
      <c r="Z5" s="2"/>
      <c r="AA5" s="2"/>
      <c r="AB5" s="2"/>
    </row>
    <row r="6" spans="1:28">
      <c r="A6" s="4"/>
      <c r="B6" s="9" t="s">
        <v>2</v>
      </c>
      <c r="C6" s="9"/>
      <c r="D6" s="10" t="s">
        <v>200</v>
      </c>
      <c r="I6" s="2"/>
      <c r="J6" s="2"/>
      <c r="K6" s="2"/>
      <c r="L6" s="2"/>
      <c r="M6" s="2"/>
      <c r="N6" s="2"/>
      <c r="O6" s="2"/>
      <c r="P6" s="2"/>
      <c r="Q6" s="2"/>
      <c r="R6" s="2"/>
      <c r="S6" s="2"/>
      <c r="T6" s="2"/>
      <c r="U6" s="2"/>
      <c r="V6" s="2"/>
      <c r="W6" s="2"/>
      <c r="X6" s="2"/>
      <c r="Y6" s="2"/>
      <c r="Z6" s="2"/>
      <c r="AA6" s="2"/>
      <c r="AB6" s="2"/>
    </row>
    <row r="7" spans="1:28">
      <c r="A7" s="4"/>
      <c r="B7" s="5" t="s">
        <v>3</v>
      </c>
      <c r="C7" s="5"/>
      <c r="D7" s="30" t="s">
        <v>201</v>
      </c>
      <c r="I7" s="2"/>
      <c r="J7" s="2"/>
      <c r="K7" s="2"/>
      <c r="L7" s="2"/>
      <c r="M7" s="2"/>
      <c r="N7" s="2"/>
      <c r="O7" s="2"/>
      <c r="P7" s="2"/>
      <c r="Q7" s="2"/>
      <c r="R7" s="2"/>
      <c r="S7" s="2"/>
      <c r="T7" s="2"/>
      <c r="U7" s="2"/>
      <c r="V7" s="2"/>
      <c r="W7" s="2"/>
      <c r="X7" s="2"/>
      <c r="Y7" s="2"/>
      <c r="Z7" s="2"/>
      <c r="AA7" s="2"/>
      <c r="AB7" s="2"/>
    </row>
    <row r="8" spans="1:28">
      <c r="A8" s="4"/>
      <c r="C8" s="5"/>
      <c r="I8" s="2"/>
      <c r="J8" s="2"/>
      <c r="K8" s="2"/>
      <c r="L8" s="2"/>
      <c r="M8" s="2"/>
      <c r="N8" s="2"/>
      <c r="O8" s="2"/>
      <c r="P8" s="2"/>
      <c r="Q8" s="2"/>
      <c r="R8" s="2"/>
      <c r="S8" s="2"/>
      <c r="T8" s="2"/>
      <c r="U8" s="2"/>
      <c r="V8" s="2"/>
      <c r="W8" s="2"/>
      <c r="X8" s="2"/>
      <c r="Y8" s="2"/>
      <c r="Z8" s="2"/>
      <c r="AA8" s="2"/>
      <c r="AB8" s="2"/>
    </row>
    <row r="9" spans="1:28" ht="15.75" customHeight="1">
      <c r="A9" s="4"/>
      <c r="B9" s="8"/>
      <c r="C9" s="8"/>
      <c r="D9" s="8"/>
      <c r="I9" s="2"/>
      <c r="J9" s="2"/>
      <c r="K9" s="2"/>
      <c r="L9" s="2"/>
      <c r="M9" s="2"/>
      <c r="N9" s="2"/>
      <c r="O9" s="2"/>
      <c r="P9" s="2"/>
      <c r="Q9" s="2"/>
      <c r="R9" s="2"/>
      <c r="S9" s="2"/>
      <c r="T9" s="2"/>
      <c r="U9" s="2"/>
      <c r="V9" s="2"/>
      <c r="W9" s="2"/>
      <c r="X9" s="2"/>
      <c r="Y9" s="2"/>
      <c r="Z9" s="2"/>
      <c r="AA9" s="2"/>
      <c r="AB9" s="2"/>
    </row>
    <row r="11" spans="1:28" ht="14">
      <c r="A11" s="4"/>
      <c r="B11" s="12" t="s">
        <v>4</v>
      </c>
      <c r="C11" s="12"/>
      <c r="D11" s="13"/>
      <c r="E11" s="14"/>
      <c r="F11" s="14"/>
      <c r="G11" s="14"/>
      <c r="H11" s="14"/>
      <c r="I11" s="2"/>
      <c r="J11" s="2"/>
      <c r="K11" s="2"/>
      <c r="L11" s="2"/>
      <c r="M11" s="2"/>
      <c r="N11" s="2"/>
      <c r="O11" s="2"/>
      <c r="P11" s="2"/>
      <c r="Q11" s="2"/>
      <c r="R11" s="2"/>
      <c r="S11" s="2"/>
      <c r="T11" s="2"/>
      <c r="U11" s="2"/>
      <c r="V11" s="2"/>
      <c r="W11" s="2"/>
      <c r="X11" s="2"/>
      <c r="Y11" s="2"/>
      <c r="Z11" s="2"/>
      <c r="AA11" s="2"/>
      <c r="AB11" s="2"/>
    </row>
    <row r="12" spans="1:28" s="4" customFormat="1">
      <c r="B12" s="14" t="s">
        <v>285</v>
      </c>
      <c r="C12" s="14"/>
      <c r="D12" s="14"/>
      <c r="E12" s="14"/>
      <c r="F12" s="14"/>
      <c r="G12" s="14"/>
      <c r="H12" s="14"/>
    </row>
    <row r="13" spans="1:28" s="4" customFormat="1" ht="7.5" customHeight="1">
      <c r="B13" s="11"/>
      <c r="C13" s="11"/>
      <c r="D13" s="11"/>
      <c r="E13" s="14"/>
      <c r="F13" s="11"/>
      <c r="G13" s="11"/>
      <c r="H13" s="11"/>
    </row>
    <row r="14" spans="1:28" s="4" customFormat="1" ht="15" customHeight="1">
      <c r="B14" s="11" t="s">
        <v>104</v>
      </c>
      <c r="C14" s="11"/>
      <c r="D14" s="11"/>
      <c r="E14" s="11"/>
      <c r="F14" s="11"/>
      <c r="G14" s="11"/>
      <c r="H14" s="11"/>
    </row>
    <row r="15" spans="1:28" s="4" customFormat="1" ht="15" customHeight="1">
      <c r="B15" s="11" t="s">
        <v>238</v>
      </c>
      <c r="C15" s="11"/>
      <c r="D15" s="11"/>
      <c r="E15" s="11"/>
      <c r="F15" s="11"/>
      <c r="G15" s="11"/>
      <c r="H15" s="11"/>
    </row>
    <row r="16" spans="1:28" s="4" customFormat="1" ht="15" customHeight="1">
      <c r="B16" s="11"/>
      <c r="C16" s="15"/>
      <c r="D16" s="11"/>
      <c r="E16" s="11"/>
      <c r="F16" s="11"/>
      <c r="G16" s="11"/>
      <c r="H16" s="11"/>
    </row>
    <row r="17" spans="1:28" ht="15" customHeight="1">
      <c r="A17" s="4"/>
      <c r="B17" s="15"/>
      <c r="C17" s="15"/>
      <c r="D17" s="11"/>
      <c r="E17" s="11"/>
      <c r="F17" s="11"/>
      <c r="G17" s="11"/>
      <c r="H17" s="11"/>
      <c r="I17" s="4"/>
      <c r="J17" s="4"/>
      <c r="K17" s="2"/>
      <c r="L17" s="2"/>
      <c r="M17" s="2"/>
      <c r="N17" s="2"/>
      <c r="O17" s="2"/>
      <c r="P17" s="2"/>
      <c r="Q17" s="2"/>
      <c r="R17" s="2"/>
      <c r="S17" s="2"/>
      <c r="T17" s="2"/>
      <c r="U17" s="2"/>
      <c r="V17" s="2"/>
      <c r="W17" s="2"/>
      <c r="X17" s="2"/>
      <c r="Y17" s="2"/>
      <c r="Z17" s="2"/>
      <c r="AA17" s="2"/>
      <c r="AB17" s="2"/>
    </row>
    <row r="18" spans="1:28" ht="15" customHeight="1">
      <c r="A18" s="4"/>
      <c r="B18" s="12" t="s">
        <v>67</v>
      </c>
      <c r="C18" s="12"/>
      <c r="D18" s="16"/>
      <c r="E18" s="11"/>
      <c r="F18" s="11"/>
      <c r="G18" s="11"/>
      <c r="H18" s="11"/>
      <c r="I18" s="2"/>
      <c r="J18" s="2"/>
      <c r="K18" s="2"/>
      <c r="L18" s="2"/>
      <c r="M18" s="2"/>
      <c r="N18" s="2"/>
      <c r="O18" s="2"/>
      <c r="P18" s="2"/>
      <c r="Q18" s="2"/>
      <c r="R18" s="2"/>
      <c r="S18" s="2"/>
      <c r="T18" s="2"/>
      <c r="U18" s="2"/>
      <c r="V18" s="2"/>
      <c r="W18" s="2"/>
      <c r="X18" s="2"/>
      <c r="Y18" s="2"/>
      <c r="Z18" s="2"/>
      <c r="AA18" s="2"/>
      <c r="AB18" s="2"/>
    </row>
    <row r="19" spans="1:28" ht="15" customHeight="1">
      <c r="A19" s="4"/>
      <c r="B19" s="11" t="s">
        <v>107</v>
      </c>
      <c r="C19" s="15"/>
      <c r="D19" s="11"/>
      <c r="E19" s="11"/>
      <c r="F19" s="11"/>
      <c r="G19" s="11"/>
      <c r="H19" s="11"/>
      <c r="I19" s="2"/>
      <c r="J19" s="2"/>
      <c r="K19" s="2"/>
      <c r="L19" s="2"/>
      <c r="M19" s="2"/>
      <c r="N19" s="2"/>
      <c r="O19" s="2"/>
      <c r="P19" s="2"/>
      <c r="Q19" s="2"/>
      <c r="R19" s="2"/>
      <c r="S19" s="2"/>
      <c r="T19" s="2"/>
      <c r="U19" s="2"/>
      <c r="V19" s="2"/>
      <c r="W19" s="2"/>
      <c r="X19" s="2"/>
      <c r="Y19" s="2"/>
      <c r="Z19" s="2"/>
      <c r="AA19" s="2"/>
      <c r="AB19" s="2"/>
    </row>
    <row r="20" spans="1:28" ht="15" customHeight="1">
      <c r="A20" s="4"/>
      <c r="B20" s="11" t="s">
        <v>108</v>
      </c>
      <c r="C20" s="15"/>
      <c r="D20" s="11"/>
      <c r="E20" s="11"/>
      <c r="F20" s="11"/>
      <c r="G20" s="11"/>
      <c r="H20" s="11"/>
      <c r="I20" s="2"/>
      <c r="J20" s="2"/>
      <c r="K20" s="2"/>
      <c r="L20" s="2"/>
      <c r="M20" s="2"/>
      <c r="N20" s="2"/>
      <c r="O20" s="2"/>
      <c r="P20" s="2"/>
      <c r="Q20" s="2"/>
      <c r="R20" s="2"/>
      <c r="S20" s="2"/>
      <c r="T20" s="2"/>
      <c r="U20" s="2"/>
      <c r="V20" s="2"/>
      <c r="W20" s="2"/>
      <c r="X20" s="2"/>
      <c r="Y20" s="2"/>
      <c r="Z20" s="2"/>
      <c r="AA20" s="2"/>
      <c r="AB20" s="2"/>
    </row>
    <row r="21" spans="1:28" ht="15" customHeight="1">
      <c r="A21" s="4"/>
      <c r="B21" s="11"/>
      <c r="C21" s="118" t="s">
        <v>110</v>
      </c>
      <c r="D21" s="11" t="s">
        <v>105</v>
      </c>
      <c r="E21" s="11"/>
      <c r="F21" s="11"/>
      <c r="G21" s="11"/>
      <c r="H21" s="11"/>
      <c r="I21" s="2"/>
      <c r="J21" s="2"/>
      <c r="K21" s="2"/>
      <c r="L21" s="2"/>
      <c r="M21" s="2"/>
      <c r="N21" s="2"/>
      <c r="O21" s="2"/>
      <c r="P21" s="2"/>
      <c r="Q21" s="2"/>
      <c r="R21" s="2"/>
      <c r="S21" s="2"/>
      <c r="T21" s="2"/>
      <c r="U21" s="2"/>
      <c r="V21" s="2"/>
      <c r="W21" s="2"/>
      <c r="X21" s="2"/>
      <c r="Y21" s="2"/>
      <c r="Z21" s="2"/>
      <c r="AA21" s="2"/>
      <c r="AB21" s="2"/>
    </row>
    <row r="22" spans="1:28" ht="15" customHeight="1">
      <c r="A22" s="4"/>
      <c r="B22" s="11"/>
      <c r="C22" s="118" t="s">
        <v>110</v>
      </c>
      <c r="D22" s="11" t="s">
        <v>197</v>
      </c>
      <c r="E22" s="11"/>
      <c r="F22" s="11"/>
      <c r="G22" s="11"/>
      <c r="H22" s="11"/>
      <c r="I22" s="2"/>
      <c r="J22" s="2"/>
      <c r="K22" s="2"/>
      <c r="L22" s="2"/>
      <c r="M22" s="2"/>
      <c r="N22" s="2"/>
      <c r="O22" s="2"/>
      <c r="P22" s="2"/>
      <c r="Q22" s="2"/>
      <c r="R22" s="2"/>
      <c r="S22" s="2"/>
      <c r="T22" s="2"/>
      <c r="U22" s="2"/>
      <c r="V22" s="2"/>
      <c r="W22" s="2"/>
      <c r="X22" s="2"/>
      <c r="Y22" s="2"/>
      <c r="Z22" s="2"/>
      <c r="AA22" s="2"/>
      <c r="AB22" s="2"/>
    </row>
    <row r="23" spans="1:28" ht="15" customHeight="1">
      <c r="A23" s="4"/>
      <c r="B23" s="11"/>
      <c r="C23" s="118" t="s">
        <v>110</v>
      </c>
      <c r="D23" s="11" t="s">
        <v>106</v>
      </c>
      <c r="E23" s="11"/>
      <c r="F23" s="11"/>
      <c r="G23" s="11"/>
      <c r="H23" s="11"/>
      <c r="I23" s="2"/>
      <c r="J23" s="2"/>
      <c r="K23" s="2"/>
      <c r="L23" s="2"/>
      <c r="M23" s="2"/>
      <c r="N23" s="2"/>
      <c r="O23" s="2"/>
      <c r="P23" s="2"/>
      <c r="Q23" s="2"/>
      <c r="R23" s="2"/>
      <c r="S23" s="2"/>
      <c r="T23" s="2"/>
      <c r="U23" s="2"/>
      <c r="V23" s="2"/>
      <c r="W23" s="2"/>
      <c r="X23" s="2"/>
      <c r="Y23" s="2"/>
      <c r="Z23" s="2"/>
      <c r="AA23" s="2"/>
      <c r="AB23" s="2"/>
    </row>
    <row r="24" spans="1:28" ht="7.5" customHeight="1">
      <c r="A24" s="4"/>
      <c r="B24" s="11"/>
      <c r="C24" s="117"/>
      <c r="D24" s="11"/>
      <c r="E24" s="11"/>
      <c r="F24" s="11"/>
      <c r="G24" s="11"/>
      <c r="H24" s="11"/>
      <c r="I24" s="2"/>
      <c r="J24" s="2"/>
      <c r="K24" s="2"/>
      <c r="L24" s="2"/>
      <c r="M24" s="2"/>
      <c r="N24" s="2"/>
      <c r="O24" s="2"/>
      <c r="P24" s="2"/>
      <c r="Q24" s="2"/>
      <c r="R24" s="2"/>
      <c r="S24" s="2"/>
      <c r="T24" s="2"/>
      <c r="U24" s="2"/>
      <c r="V24" s="2"/>
      <c r="W24" s="2"/>
      <c r="X24" s="2"/>
      <c r="Y24" s="2"/>
      <c r="Z24" s="2"/>
      <c r="AA24" s="2"/>
      <c r="AB24" s="2"/>
    </row>
    <row r="25" spans="1:28" ht="15" customHeight="1">
      <c r="A25" s="4"/>
      <c r="B25" s="11" t="s">
        <v>117</v>
      </c>
      <c r="C25" s="11"/>
      <c r="D25" s="11"/>
      <c r="E25" s="11"/>
      <c r="F25" s="11"/>
      <c r="G25" s="11"/>
      <c r="H25" s="11"/>
      <c r="I25" s="2"/>
      <c r="J25" s="2"/>
      <c r="K25" s="2"/>
      <c r="L25" s="2"/>
      <c r="M25" s="2"/>
      <c r="N25" s="2"/>
      <c r="O25" s="2"/>
      <c r="P25" s="2"/>
      <c r="Q25" s="2"/>
      <c r="R25" s="2"/>
      <c r="S25" s="2"/>
      <c r="T25" s="2"/>
      <c r="U25" s="2"/>
      <c r="V25" s="2"/>
      <c r="W25" s="2"/>
      <c r="X25" s="2"/>
      <c r="Y25" s="2"/>
      <c r="Z25" s="2"/>
      <c r="AA25" s="2"/>
      <c r="AB25" s="2"/>
    </row>
    <row r="26" spans="1:28" ht="4.5" customHeight="1">
      <c r="A26" s="4"/>
      <c r="B26" s="15"/>
      <c r="C26" s="15"/>
      <c r="D26" s="11"/>
      <c r="E26" s="11"/>
      <c r="F26" s="11"/>
      <c r="G26" s="11"/>
      <c r="H26" s="11"/>
      <c r="I26" s="2"/>
      <c r="J26" s="2"/>
      <c r="K26" s="2"/>
      <c r="L26" s="2"/>
      <c r="M26" s="2"/>
      <c r="N26" s="2"/>
      <c r="O26" s="2"/>
      <c r="P26" s="2"/>
      <c r="Q26" s="2"/>
      <c r="R26" s="2"/>
      <c r="S26" s="2"/>
      <c r="T26" s="2"/>
      <c r="U26" s="2"/>
      <c r="V26" s="2"/>
      <c r="W26" s="2"/>
      <c r="X26" s="2"/>
      <c r="Y26" s="2"/>
      <c r="Z26" s="2"/>
      <c r="AA26" s="2"/>
      <c r="AB26" s="2"/>
    </row>
    <row r="27" spans="1:28" ht="14">
      <c r="A27" s="4"/>
      <c r="B27" s="12" t="s">
        <v>66</v>
      </c>
      <c r="C27" s="12"/>
      <c r="D27" s="16"/>
      <c r="E27" s="11"/>
      <c r="F27" s="14"/>
      <c r="G27" s="14"/>
      <c r="H27" s="14"/>
      <c r="I27" s="2"/>
      <c r="J27" s="2"/>
      <c r="K27" s="2"/>
      <c r="L27" s="2"/>
      <c r="M27" s="2"/>
      <c r="N27" s="2"/>
      <c r="O27" s="2"/>
      <c r="P27" s="2"/>
      <c r="Q27" s="2"/>
      <c r="R27" s="2"/>
      <c r="S27" s="2"/>
      <c r="T27" s="2"/>
      <c r="U27" s="2"/>
      <c r="V27" s="2"/>
      <c r="W27" s="2"/>
      <c r="X27" s="2"/>
      <c r="Y27" s="2"/>
      <c r="Z27" s="2"/>
      <c r="AA27" s="2"/>
      <c r="AB27" s="2"/>
    </row>
    <row r="28" spans="1:28" ht="15" customHeight="1">
      <c r="A28" s="4"/>
      <c r="B28" s="14" t="s">
        <v>109</v>
      </c>
      <c r="C28" s="14"/>
      <c r="D28" s="14"/>
      <c r="E28" s="11"/>
      <c r="F28" s="14"/>
      <c r="G28" s="14"/>
      <c r="H28" s="14"/>
      <c r="I28" s="2"/>
      <c r="J28" s="2"/>
      <c r="K28" s="2"/>
      <c r="L28" s="2"/>
      <c r="M28" s="2"/>
      <c r="N28" s="2"/>
      <c r="O28" s="2"/>
      <c r="P28" s="2"/>
      <c r="Q28" s="2"/>
      <c r="R28" s="2"/>
      <c r="S28" s="2"/>
      <c r="T28" s="2"/>
      <c r="U28" s="2"/>
      <c r="V28" s="2"/>
      <c r="W28" s="2"/>
      <c r="X28" s="2"/>
      <c r="Y28" s="2"/>
      <c r="Z28" s="2"/>
      <c r="AA28" s="2"/>
      <c r="AB28" s="2"/>
    </row>
    <row r="29" spans="1:28" ht="15" customHeight="1">
      <c r="A29" s="4"/>
      <c r="B29" s="15" t="s">
        <v>112</v>
      </c>
      <c r="C29" s="121" t="s">
        <v>97</v>
      </c>
      <c r="D29" s="271"/>
      <c r="E29" s="11"/>
      <c r="F29" s="11"/>
      <c r="G29" s="11"/>
      <c r="H29" s="11"/>
      <c r="I29" s="2"/>
      <c r="J29" s="2"/>
      <c r="K29" s="2"/>
      <c r="L29" s="2"/>
      <c r="M29" s="2"/>
      <c r="N29" s="2"/>
      <c r="O29" s="2"/>
      <c r="P29" s="2"/>
      <c r="Q29" s="2"/>
      <c r="R29" s="2"/>
      <c r="S29" s="2"/>
      <c r="T29" s="2"/>
      <c r="U29" s="2"/>
      <c r="V29" s="2"/>
      <c r="W29" s="2"/>
      <c r="X29" s="2"/>
      <c r="Y29" s="2"/>
      <c r="Z29" s="2"/>
      <c r="AA29" s="2"/>
      <c r="AB29" s="2"/>
    </row>
    <row r="30" spans="1:28" ht="15" customHeight="1">
      <c r="A30" s="4"/>
      <c r="B30" s="15"/>
      <c r="C30" s="118" t="s">
        <v>110</v>
      </c>
      <c r="D30" s="11" t="s">
        <v>219</v>
      </c>
      <c r="E30" s="11"/>
      <c r="F30" s="11"/>
      <c r="G30" s="11"/>
      <c r="H30" s="11"/>
      <c r="I30" s="2"/>
      <c r="J30" s="2"/>
      <c r="K30" s="2"/>
      <c r="L30" s="2"/>
      <c r="M30" s="2"/>
      <c r="N30" s="2"/>
      <c r="O30" s="2"/>
      <c r="P30" s="2"/>
      <c r="Q30" s="2"/>
      <c r="R30" s="2"/>
      <c r="S30" s="2"/>
      <c r="T30" s="2"/>
      <c r="U30" s="2"/>
      <c r="V30" s="2"/>
      <c r="W30" s="2"/>
      <c r="X30" s="2"/>
      <c r="Y30" s="2"/>
      <c r="Z30" s="2"/>
      <c r="AA30" s="2"/>
      <c r="AB30" s="2"/>
    </row>
    <row r="31" spans="1:28" ht="15" customHeight="1">
      <c r="A31" s="4"/>
      <c r="B31" s="15"/>
      <c r="C31" s="118" t="s">
        <v>110</v>
      </c>
      <c r="D31" s="11" t="s">
        <v>158</v>
      </c>
      <c r="E31" s="11"/>
      <c r="F31" s="11"/>
      <c r="G31" s="11"/>
      <c r="H31" s="11"/>
      <c r="I31" s="2"/>
      <c r="J31" s="2"/>
      <c r="K31" s="2"/>
      <c r="L31" s="2"/>
      <c r="M31" s="2"/>
      <c r="N31" s="2"/>
      <c r="O31" s="2"/>
      <c r="P31" s="2"/>
      <c r="Q31" s="2"/>
      <c r="R31" s="2"/>
      <c r="S31" s="2"/>
      <c r="T31" s="2"/>
      <c r="U31" s="2"/>
      <c r="V31" s="2"/>
      <c r="W31" s="2"/>
      <c r="X31" s="2"/>
      <c r="Y31" s="2"/>
      <c r="Z31" s="2"/>
      <c r="AA31" s="2"/>
      <c r="AB31" s="2"/>
    </row>
    <row r="32" spans="1:28" ht="15" customHeight="1">
      <c r="A32" s="4"/>
      <c r="B32" s="15"/>
      <c r="C32" s="118" t="s">
        <v>110</v>
      </c>
      <c r="D32" s="11" t="s">
        <v>111</v>
      </c>
      <c r="E32" s="11"/>
      <c r="F32" s="11"/>
      <c r="G32" s="11"/>
      <c r="H32" s="11"/>
      <c r="I32" s="2"/>
      <c r="J32" s="2"/>
      <c r="K32" s="2"/>
      <c r="L32" s="2"/>
      <c r="M32" s="2"/>
      <c r="N32" s="2"/>
      <c r="O32" s="2"/>
      <c r="P32" s="2"/>
      <c r="Q32" s="2"/>
      <c r="R32" s="2"/>
      <c r="S32" s="2"/>
      <c r="T32" s="2"/>
      <c r="U32" s="2"/>
      <c r="V32" s="2"/>
      <c r="W32" s="2"/>
      <c r="X32" s="2"/>
      <c r="Y32" s="2"/>
      <c r="Z32" s="2"/>
      <c r="AA32" s="2"/>
      <c r="AB32" s="2"/>
    </row>
    <row r="33" spans="1:28" ht="15" customHeight="1">
      <c r="A33" s="4"/>
      <c r="B33" s="15" t="s">
        <v>113</v>
      </c>
      <c r="C33" s="120" t="s">
        <v>98</v>
      </c>
      <c r="D33" s="11" t="s">
        <v>118</v>
      </c>
      <c r="E33" s="11"/>
      <c r="F33" s="11"/>
      <c r="G33" s="11"/>
      <c r="H33" s="11"/>
      <c r="I33" s="2"/>
      <c r="J33" s="2"/>
      <c r="K33" s="2"/>
      <c r="L33" s="2"/>
      <c r="M33" s="2"/>
      <c r="N33" s="2"/>
      <c r="O33" s="2"/>
      <c r="P33" s="2"/>
      <c r="Q33" s="2"/>
      <c r="R33" s="2"/>
      <c r="S33" s="2"/>
      <c r="T33" s="2"/>
      <c r="U33" s="2"/>
      <c r="V33" s="2"/>
      <c r="W33" s="2"/>
      <c r="X33" s="2"/>
      <c r="Y33" s="2"/>
      <c r="Z33" s="2"/>
      <c r="AA33" s="2"/>
      <c r="AB33" s="2"/>
    </row>
    <row r="34" spans="1:28" ht="15" customHeight="1">
      <c r="A34" s="4"/>
      <c r="B34" s="15" t="s">
        <v>114</v>
      </c>
      <c r="C34" s="121" t="s">
        <v>116</v>
      </c>
      <c r="D34" s="11"/>
      <c r="E34" s="11"/>
      <c r="F34" s="11"/>
      <c r="G34" s="11"/>
      <c r="H34" s="11"/>
      <c r="I34" s="2"/>
      <c r="J34" s="2"/>
      <c r="K34" s="2"/>
      <c r="L34" s="2"/>
      <c r="M34" s="2"/>
      <c r="N34" s="2"/>
      <c r="O34" s="2"/>
      <c r="P34" s="2"/>
      <c r="Q34" s="2"/>
      <c r="R34" s="2"/>
      <c r="S34" s="2"/>
      <c r="T34" s="2"/>
      <c r="U34" s="2"/>
      <c r="V34" s="2"/>
      <c r="W34" s="2"/>
      <c r="X34" s="2"/>
      <c r="Y34" s="2"/>
      <c r="Z34" s="2"/>
      <c r="AA34" s="2"/>
      <c r="AB34" s="2"/>
    </row>
    <row r="35" spans="1:28" ht="15" customHeight="1">
      <c r="A35" s="4"/>
      <c r="B35" s="15"/>
      <c r="C35" s="118" t="s">
        <v>110</v>
      </c>
      <c r="D35" s="11" t="s">
        <v>159</v>
      </c>
      <c r="E35" s="11"/>
      <c r="F35" s="11"/>
      <c r="G35" s="11"/>
      <c r="H35" s="11"/>
      <c r="I35" s="2"/>
      <c r="J35" s="2"/>
      <c r="K35" s="2"/>
      <c r="L35" s="2"/>
      <c r="M35" s="2"/>
      <c r="N35" s="2"/>
      <c r="O35" s="2"/>
      <c r="P35" s="2"/>
      <c r="Q35" s="2"/>
      <c r="R35" s="2"/>
      <c r="S35" s="2"/>
      <c r="T35" s="2"/>
      <c r="U35" s="2"/>
      <c r="V35" s="2"/>
      <c r="W35" s="2"/>
      <c r="X35" s="2"/>
      <c r="Y35" s="2"/>
      <c r="Z35" s="2"/>
      <c r="AA35" s="2"/>
      <c r="AB35" s="2"/>
    </row>
    <row r="36" spans="1:28" ht="15" customHeight="1">
      <c r="A36" s="4"/>
      <c r="B36" s="15"/>
      <c r="C36" s="118" t="s">
        <v>110</v>
      </c>
      <c r="D36" s="11" t="s">
        <v>160</v>
      </c>
      <c r="E36" s="11"/>
      <c r="F36" s="11"/>
      <c r="G36" s="11"/>
      <c r="H36" s="11"/>
      <c r="I36" s="2"/>
      <c r="J36" s="2"/>
      <c r="K36" s="2"/>
      <c r="L36" s="2"/>
      <c r="M36" s="2"/>
      <c r="N36" s="2"/>
      <c r="O36" s="2"/>
      <c r="P36" s="2"/>
      <c r="Q36" s="2"/>
      <c r="R36" s="2"/>
      <c r="S36" s="2"/>
      <c r="T36" s="2"/>
      <c r="U36" s="2"/>
      <c r="V36" s="2"/>
      <c r="W36" s="2"/>
      <c r="X36" s="2"/>
      <c r="Y36" s="2"/>
      <c r="Z36" s="2"/>
      <c r="AA36" s="2"/>
      <c r="AB36" s="2"/>
    </row>
    <row r="37" spans="1:28" ht="15" customHeight="1">
      <c r="A37" s="4"/>
      <c r="B37" s="15"/>
      <c r="C37" s="119" t="s">
        <v>220</v>
      </c>
      <c r="E37" s="11"/>
      <c r="F37" s="11"/>
      <c r="G37" s="11"/>
      <c r="H37" s="11"/>
      <c r="I37" s="2"/>
      <c r="J37" s="2"/>
      <c r="K37" s="2"/>
      <c r="L37" s="2"/>
      <c r="M37" s="2"/>
      <c r="N37" s="2"/>
      <c r="O37" s="2"/>
      <c r="P37" s="2"/>
      <c r="Q37" s="2"/>
      <c r="R37" s="2"/>
      <c r="S37" s="2"/>
      <c r="T37" s="2"/>
      <c r="U37" s="2"/>
      <c r="V37" s="2"/>
      <c r="W37" s="2"/>
      <c r="X37" s="2"/>
      <c r="Y37" s="2"/>
      <c r="Z37" s="2"/>
      <c r="AA37" s="2"/>
      <c r="AB37" s="2"/>
    </row>
    <row r="38" spans="1:28" ht="15" customHeight="1">
      <c r="A38" s="4"/>
      <c r="B38" s="15"/>
      <c r="C38" s="119"/>
      <c r="E38" s="11"/>
      <c r="F38" s="11"/>
      <c r="G38" s="11"/>
      <c r="H38" s="11"/>
      <c r="I38" s="2"/>
      <c r="J38" s="2"/>
      <c r="K38" s="2"/>
      <c r="L38" s="2"/>
      <c r="M38" s="2"/>
      <c r="N38" s="2"/>
      <c r="O38" s="2"/>
      <c r="P38" s="2"/>
      <c r="Q38" s="2"/>
      <c r="R38" s="2"/>
      <c r="S38" s="2"/>
      <c r="T38" s="2"/>
      <c r="U38" s="2"/>
      <c r="V38" s="2"/>
      <c r="W38" s="2"/>
      <c r="X38" s="2"/>
      <c r="Y38" s="2"/>
      <c r="Z38" s="2"/>
      <c r="AA38" s="2"/>
      <c r="AB38" s="2"/>
    </row>
    <row r="39" spans="1:28" ht="15" customHeight="1">
      <c r="A39" s="4"/>
      <c r="B39" s="12" t="s">
        <v>202</v>
      </c>
      <c r="C39" s="12"/>
      <c r="D39" s="16"/>
      <c r="E39" s="11"/>
      <c r="F39" s="11"/>
      <c r="G39" s="11"/>
      <c r="H39" s="11"/>
      <c r="I39" s="2"/>
      <c r="J39" s="2"/>
      <c r="K39" s="2"/>
      <c r="L39" s="2"/>
      <c r="M39" s="2"/>
      <c r="N39" s="2"/>
      <c r="O39" s="2"/>
      <c r="P39" s="2"/>
      <c r="Q39" s="2"/>
      <c r="R39" s="2"/>
      <c r="S39" s="2"/>
      <c r="T39" s="2"/>
      <c r="U39" s="2"/>
      <c r="V39" s="2"/>
      <c r="W39" s="2"/>
      <c r="X39" s="2"/>
      <c r="Y39" s="2"/>
      <c r="Z39" s="2"/>
      <c r="AA39" s="2"/>
      <c r="AB39" s="2"/>
    </row>
    <row r="40" spans="1:28" ht="15" customHeight="1">
      <c r="A40" s="4"/>
      <c r="B40" s="15"/>
      <c r="C40" s="119"/>
      <c r="E40" s="11"/>
      <c r="F40" s="11"/>
      <c r="G40" s="11"/>
      <c r="H40" s="11"/>
      <c r="I40" s="2"/>
      <c r="J40" s="2"/>
      <c r="K40" s="2"/>
      <c r="L40" s="2"/>
      <c r="M40" s="2"/>
      <c r="N40" s="2"/>
      <c r="O40" s="2"/>
      <c r="P40" s="2"/>
      <c r="Q40" s="2"/>
      <c r="R40" s="2"/>
      <c r="S40" s="2"/>
      <c r="T40" s="2"/>
      <c r="U40" s="2"/>
      <c r="V40" s="2"/>
      <c r="W40" s="2"/>
      <c r="X40" s="2"/>
      <c r="Y40" s="2"/>
      <c r="Z40" s="2"/>
      <c r="AA40" s="2"/>
      <c r="AB40" s="2"/>
    </row>
    <row r="41" spans="1:28" ht="15" customHeight="1">
      <c r="A41" s="4"/>
      <c r="B41" s="11" t="s">
        <v>221</v>
      </c>
      <c r="C41" s="119"/>
      <c r="D41" s="4"/>
      <c r="E41" s="11"/>
      <c r="F41" s="11"/>
      <c r="G41" s="11"/>
      <c r="H41" s="11"/>
      <c r="I41" s="2"/>
      <c r="J41" s="2"/>
      <c r="K41" s="2"/>
      <c r="L41" s="2"/>
      <c r="M41" s="2"/>
      <c r="N41" s="2"/>
      <c r="O41" s="2"/>
      <c r="P41" s="2"/>
      <c r="Q41" s="2"/>
      <c r="R41" s="2"/>
      <c r="S41" s="2"/>
      <c r="T41" s="2"/>
      <c r="U41" s="2"/>
      <c r="V41" s="2"/>
      <c r="W41" s="2"/>
      <c r="X41" s="2"/>
      <c r="Y41" s="2"/>
      <c r="Z41" s="2"/>
      <c r="AA41" s="2"/>
      <c r="AB41" s="2"/>
    </row>
    <row r="42" spans="1:28" s="4" customFormat="1" ht="23">
      <c r="B42" s="15"/>
      <c r="C42" s="170" t="s">
        <v>198</v>
      </c>
      <c r="D42" s="301" t="s">
        <v>194</v>
      </c>
      <c r="E42" s="11"/>
      <c r="F42" s="11"/>
      <c r="G42" s="11"/>
      <c r="H42" s="11"/>
    </row>
    <row r="43" spans="1:28" s="4" customFormat="1" ht="15" customHeight="1">
      <c r="B43" s="15"/>
      <c r="C43" s="4" t="s">
        <v>199</v>
      </c>
      <c r="D43" s="4" t="s">
        <v>195</v>
      </c>
      <c r="E43" s="11"/>
      <c r="F43" s="11"/>
      <c r="G43" s="11"/>
      <c r="H43" s="11"/>
    </row>
    <row r="44" spans="1:28" s="4" customFormat="1" ht="15" customHeight="1">
      <c r="B44" s="15"/>
      <c r="C44" s="4" t="s">
        <v>203</v>
      </c>
      <c r="D44" s="4" t="s">
        <v>204</v>
      </c>
      <c r="E44" s="11"/>
      <c r="F44" s="11"/>
      <c r="G44" s="11"/>
      <c r="H44" s="11"/>
    </row>
    <row r="45" spans="1:28" s="4" customFormat="1" ht="15" customHeight="1">
      <c r="B45" s="15"/>
      <c r="C45" s="170" t="s">
        <v>222</v>
      </c>
      <c r="D45" s="4" t="s">
        <v>286</v>
      </c>
      <c r="E45" s="11"/>
      <c r="F45" s="11"/>
      <c r="G45" s="11"/>
      <c r="H45" s="11"/>
    </row>
    <row r="46" spans="1:28" ht="15" customHeight="1">
      <c r="A46" s="4"/>
      <c r="B46" s="15"/>
      <c r="C46" s="119"/>
      <c r="D46" s="4"/>
      <c r="E46" s="11"/>
      <c r="F46" s="11"/>
      <c r="G46" s="11"/>
      <c r="H46" s="11"/>
      <c r="I46" s="2"/>
      <c r="J46" s="2"/>
      <c r="K46" s="2"/>
      <c r="L46" s="2"/>
      <c r="M46" s="2"/>
      <c r="N46" s="2"/>
      <c r="O46" s="2"/>
      <c r="P46" s="2"/>
      <c r="Q46" s="2"/>
      <c r="R46" s="2"/>
      <c r="S46" s="2"/>
      <c r="T46" s="2"/>
      <c r="U46" s="2"/>
      <c r="V46" s="2"/>
      <c r="W46" s="2"/>
      <c r="X46" s="2"/>
      <c r="Y46" s="2"/>
      <c r="Z46" s="2"/>
      <c r="AA46" s="2"/>
      <c r="AB46" s="2"/>
    </row>
    <row r="47" spans="1:28" ht="15" customHeight="1">
      <c r="A47" s="4"/>
      <c r="B47" s="11" t="s">
        <v>196</v>
      </c>
      <c r="C47" s="119"/>
      <c r="D47" s="4"/>
      <c r="E47" s="11"/>
      <c r="F47" s="11"/>
      <c r="G47" s="11"/>
      <c r="H47" s="11"/>
      <c r="I47" s="2"/>
      <c r="J47" s="2"/>
      <c r="K47" s="2"/>
      <c r="L47" s="2"/>
      <c r="M47" s="2"/>
      <c r="N47" s="2"/>
      <c r="O47" s="2"/>
      <c r="P47" s="2"/>
      <c r="Q47" s="2"/>
      <c r="R47" s="2"/>
      <c r="S47" s="2"/>
      <c r="T47" s="2"/>
      <c r="U47" s="2"/>
      <c r="V47" s="2"/>
      <c r="W47" s="2"/>
      <c r="X47" s="2"/>
      <c r="Y47" s="2"/>
      <c r="Z47" s="2"/>
      <c r="AA47" s="2"/>
      <c r="AB47" s="2"/>
    </row>
    <row r="48" spans="1:28" ht="15" customHeight="1">
      <c r="A48" s="4"/>
      <c r="B48" s="15"/>
      <c r="C48" s="119"/>
      <c r="E48" s="11"/>
      <c r="F48" s="11"/>
      <c r="G48" s="11"/>
      <c r="H48" s="11"/>
      <c r="I48" s="2"/>
      <c r="J48" s="2"/>
      <c r="K48" s="2"/>
      <c r="L48" s="2"/>
      <c r="M48" s="2"/>
      <c r="N48" s="2"/>
      <c r="O48" s="2"/>
      <c r="P48" s="2"/>
      <c r="Q48" s="2"/>
      <c r="R48" s="2"/>
      <c r="S48" s="2"/>
      <c r="T48" s="2"/>
      <c r="U48" s="2"/>
      <c r="V48" s="2"/>
      <c r="W48" s="2"/>
      <c r="X48" s="2"/>
      <c r="Y48" s="2"/>
      <c r="Z48" s="2"/>
      <c r="AA48" s="2"/>
      <c r="AB48" s="2"/>
    </row>
    <row r="49" spans="1:28" ht="15" customHeight="1">
      <c r="A49" s="4"/>
      <c r="B49" s="12" t="s">
        <v>64</v>
      </c>
      <c r="C49" s="12"/>
      <c r="D49" s="16"/>
      <c r="E49" s="11"/>
      <c r="F49" s="11"/>
      <c r="G49" s="11"/>
      <c r="H49" s="11"/>
      <c r="I49" s="2"/>
      <c r="J49" s="2"/>
      <c r="K49" s="2"/>
      <c r="L49" s="2"/>
      <c r="M49" s="2"/>
      <c r="N49" s="2"/>
      <c r="O49" s="2"/>
      <c r="P49" s="2"/>
      <c r="Q49" s="2"/>
      <c r="R49" s="2"/>
      <c r="S49" s="2"/>
      <c r="T49" s="2"/>
      <c r="U49" s="2"/>
      <c r="V49" s="2"/>
      <c r="W49" s="2"/>
      <c r="X49" s="2"/>
      <c r="Y49" s="2"/>
      <c r="Z49" s="2"/>
      <c r="AA49" s="2"/>
      <c r="AB49" s="2"/>
    </row>
    <row r="50" spans="1:28" ht="15" customHeight="1">
      <c r="A50" s="4"/>
      <c r="B50" s="17" t="s">
        <v>5</v>
      </c>
      <c r="C50" s="17"/>
      <c r="D50" s="11"/>
      <c r="E50" s="11"/>
      <c r="F50" s="11"/>
      <c r="G50" s="11"/>
      <c r="H50" s="11"/>
      <c r="I50" s="2"/>
      <c r="J50" s="2"/>
      <c r="K50" s="2"/>
      <c r="L50" s="2"/>
      <c r="M50" s="2"/>
      <c r="N50" s="2"/>
      <c r="O50" s="2"/>
      <c r="P50" s="2"/>
      <c r="Q50" s="2"/>
      <c r="R50" s="2"/>
      <c r="S50" s="2"/>
      <c r="T50" s="2"/>
      <c r="U50" s="2"/>
      <c r="V50" s="2"/>
      <c r="W50" s="2"/>
      <c r="X50" s="2"/>
      <c r="Y50" s="2"/>
      <c r="Z50" s="2"/>
      <c r="AA50" s="2"/>
      <c r="AB50" s="2"/>
    </row>
    <row r="51" spans="1:28" ht="6.75" customHeight="1">
      <c r="A51" s="4"/>
      <c r="B51" s="17"/>
      <c r="C51" s="17"/>
      <c r="D51" s="11"/>
      <c r="E51" s="11"/>
      <c r="F51" s="11"/>
      <c r="G51" s="11"/>
      <c r="H51" s="11"/>
      <c r="I51" s="2"/>
      <c r="J51" s="2"/>
      <c r="K51" s="2"/>
      <c r="L51" s="2"/>
      <c r="M51" s="2"/>
      <c r="N51" s="2"/>
      <c r="O51" s="2"/>
      <c r="P51" s="2"/>
      <c r="Q51" s="2"/>
      <c r="R51" s="2"/>
      <c r="S51" s="2"/>
      <c r="T51" s="2"/>
      <c r="U51" s="2"/>
      <c r="V51" s="2"/>
      <c r="W51" s="2"/>
      <c r="X51" s="2"/>
      <c r="Y51" s="2"/>
      <c r="Z51" s="2"/>
      <c r="AA51" s="2"/>
      <c r="AB51" s="2"/>
    </row>
    <row r="52" spans="1:28" ht="13.5" customHeight="1">
      <c r="A52" s="4"/>
      <c r="B52" s="18" t="s">
        <v>6</v>
      </c>
      <c r="C52" s="18"/>
      <c r="D52" s="18"/>
      <c r="E52" s="11"/>
      <c r="F52" s="11"/>
      <c r="G52" s="11"/>
      <c r="H52" s="11"/>
      <c r="I52" s="2"/>
      <c r="J52" s="2"/>
      <c r="K52" s="2"/>
      <c r="L52" s="2"/>
      <c r="M52" s="2"/>
      <c r="N52" s="2"/>
      <c r="O52" s="2"/>
      <c r="P52" s="2"/>
      <c r="Q52" s="2"/>
      <c r="R52" s="2"/>
      <c r="S52" s="2"/>
      <c r="T52" s="2"/>
      <c r="U52" s="2"/>
      <c r="V52" s="2"/>
      <c r="W52" s="2"/>
      <c r="X52" s="2"/>
      <c r="Y52" s="2"/>
      <c r="Z52" s="2"/>
      <c r="AA52" s="2"/>
      <c r="AB52" s="2"/>
    </row>
    <row r="53" spans="1:28" ht="15" customHeight="1">
      <c r="A53" s="4"/>
      <c r="B53" s="19" t="s">
        <v>7</v>
      </c>
      <c r="C53" s="19"/>
      <c r="D53" s="19"/>
      <c r="E53" s="11"/>
      <c r="F53" s="11"/>
      <c r="G53" s="11"/>
      <c r="H53" s="11"/>
      <c r="I53" s="2"/>
      <c r="J53" s="2"/>
      <c r="K53" s="2"/>
      <c r="L53" s="2"/>
      <c r="M53" s="2"/>
      <c r="N53" s="2"/>
      <c r="O53" s="2"/>
      <c r="P53" s="2"/>
      <c r="Q53" s="2"/>
      <c r="R53" s="2"/>
      <c r="S53" s="2"/>
      <c r="T53" s="2"/>
      <c r="U53" s="2"/>
      <c r="V53" s="2"/>
      <c r="W53" s="2"/>
      <c r="X53" s="2"/>
      <c r="Y53" s="2"/>
      <c r="Z53" s="2"/>
      <c r="AA53" s="2"/>
      <c r="AB53" s="2"/>
    </row>
    <row r="54" spans="1:28" ht="15" customHeight="1">
      <c r="A54" s="4"/>
      <c r="B54" s="20" t="s">
        <v>0</v>
      </c>
      <c r="C54" s="20"/>
      <c r="D54" s="20"/>
      <c r="E54" s="11"/>
      <c r="F54" s="11"/>
      <c r="G54" s="11"/>
      <c r="H54" s="11"/>
      <c r="I54" s="2"/>
      <c r="J54" s="2"/>
      <c r="K54" s="2"/>
      <c r="L54" s="2"/>
      <c r="M54" s="2"/>
      <c r="N54" s="2"/>
      <c r="O54" s="2"/>
      <c r="P54" s="2"/>
      <c r="Q54" s="2"/>
      <c r="R54" s="2"/>
      <c r="S54" s="2"/>
      <c r="T54" s="2"/>
      <c r="U54" s="2"/>
      <c r="V54" s="2"/>
      <c r="W54" s="2"/>
      <c r="X54" s="2"/>
      <c r="Y54" s="2"/>
      <c r="Z54" s="2"/>
      <c r="AA54" s="2"/>
      <c r="AB54" s="2"/>
    </row>
    <row r="55" spans="1:28" ht="15" customHeight="1">
      <c r="A55" s="4"/>
      <c r="B55" s="21" t="s">
        <v>8</v>
      </c>
      <c r="C55" s="21"/>
      <c r="D55" s="22"/>
      <c r="E55" s="11"/>
      <c r="F55" s="11"/>
      <c r="G55" s="11"/>
      <c r="H55" s="11"/>
      <c r="I55" s="2"/>
      <c r="J55" s="2"/>
      <c r="K55" s="2"/>
      <c r="L55" s="2"/>
      <c r="M55" s="2"/>
      <c r="N55" s="2"/>
      <c r="O55" s="2"/>
      <c r="P55" s="2"/>
      <c r="Q55" s="2"/>
      <c r="R55" s="2"/>
      <c r="S55" s="2"/>
      <c r="T55" s="2"/>
      <c r="U55" s="2"/>
      <c r="V55" s="2"/>
      <c r="W55" s="2"/>
      <c r="X55" s="2"/>
      <c r="Y55" s="2"/>
      <c r="Z55" s="2"/>
      <c r="AA55" s="2"/>
      <c r="AB55" s="2"/>
    </row>
    <row r="56" spans="1:28" ht="15" customHeight="1">
      <c r="A56" s="4"/>
      <c r="B56" s="23" t="s">
        <v>9</v>
      </c>
      <c r="C56" s="23"/>
      <c r="D56" s="24"/>
      <c r="E56" s="11"/>
      <c r="F56" s="11"/>
      <c r="G56" s="11"/>
      <c r="H56" s="11"/>
      <c r="I56" s="2"/>
      <c r="J56" s="2"/>
      <c r="K56" s="2"/>
      <c r="L56" s="2"/>
      <c r="M56" s="2"/>
      <c r="N56" s="2"/>
      <c r="O56" s="2"/>
      <c r="P56" s="2"/>
      <c r="Q56" s="2"/>
      <c r="R56" s="2"/>
      <c r="S56" s="2"/>
      <c r="T56" s="2"/>
      <c r="U56" s="2"/>
      <c r="V56" s="2"/>
      <c r="W56" s="2"/>
      <c r="X56" s="2"/>
      <c r="Y56" s="2"/>
      <c r="Z56" s="2"/>
      <c r="AA56" s="2"/>
      <c r="AB56" s="2"/>
    </row>
    <row r="57" spans="1:28" ht="15" customHeight="1">
      <c r="A57" s="4"/>
      <c r="B57" s="25" t="s">
        <v>10</v>
      </c>
      <c r="C57" s="26"/>
      <c r="D57" s="26"/>
      <c r="E57" s="11"/>
      <c r="F57" s="11"/>
      <c r="G57" s="11"/>
      <c r="H57" s="11"/>
      <c r="I57" s="2"/>
      <c r="J57" s="2"/>
      <c r="K57" s="2"/>
      <c r="L57" s="2"/>
      <c r="M57" s="2"/>
      <c r="N57" s="2"/>
      <c r="O57" s="2"/>
      <c r="P57" s="2"/>
      <c r="Q57" s="2"/>
      <c r="R57" s="2"/>
      <c r="S57" s="2"/>
      <c r="T57" s="2"/>
      <c r="U57" s="2"/>
      <c r="V57" s="2"/>
      <c r="W57" s="2"/>
      <c r="X57" s="2"/>
      <c r="Y57" s="2"/>
      <c r="Z57" s="2"/>
      <c r="AA57" s="2"/>
      <c r="AB57" s="2"/>
    </row>
    <row r="58" spans="1:28" ht="15" customHeight="1">
      <c r="A58" s="4"/>
      <c r="B58" s="15"/>
      <c r="C58" s="15"/>
      <c r="D58" s="11"/>
      <c r="E58" s="11"/>
      <c r="F58" s="11"/>
      <c r="G58" s="11"/>
      <c r="H58" s="11"/>
      <c r="I58" s="2"/>
      <c r="J58" s="2"/>
      <c r="K58" s="2"/>
      <c r="L58" s="2"/>
      <c r="M58" s="2"/>
      <c r="N58" s="2"/>
      <c r="O58" s="2"/>
      <c r="P58" s="2"/>
      <c r="Q58" s="2"/>
      <c r="R58" s="2"/>
      <c r="S58" s="2"/>
      <c r="T58" s="2"/>
      <c r="U58" s="2"/>
      <c r="V58" s="2"/>
      <c r="W58" s="2"/>
      <c r="X58" s="2"/>
      <c r="Y58" s="2"/>
      <c r="Z58" s="2"/>
      <c r="AA58" s="2"/>
      <c r="AB58" s="2"/>
    </row>
    <row r="59" spans="1:28">
      <c r="A59" s="4"/>
      <c r="B59" s="15"/>
      <c r="C59" s="15"/>
      <c r="D59" s="11"/>
      <c r="E59" s="11"/>
      <c r="F59" s="11"/>
      <c r="G59" s="11"/>
      <c r="H59" s="11"/>
      <c r="I59" s="2"/>
      <c r="J59" s="2"/>
      <c r="K59" s="2"/>
      <c r="L59" s="2"/>
      <c r="M59" s="2"/>
      <c r="N59" s="2"/>
      <c r="O59" s="2"/>
      <c r="P59" s="2"/>
      <c r="Q59" s="2"/>
      <c r="R59" s="2"/>
      <c r="S59" s="2"/>
      <c r="T59" s="2"/>
      <c r="U59" s="2"/>
      <c r="V59" s="2"/>
      <c r="W59" s="2"/>
      <c r="X59" s="2"/>
      <c r="Y59" s="2"/>
      <c r="Z59" s="2"/>
      <c r="AA59" s="2"/>
      <c r="AB59" s="2"/>
    </row>
    <row r="60" spans="1:28">
      <c r="E60" s="11"/>
      <c r="F60" s="11"/>
      <c r="G60" s="11"/>
      <c r="H60" s="11"/>
    </row>
    <row r="61" spans="1:28">
      <c r="E61" s="11"/>
      <c r="F61" s="11"/>
      <c r="G61" s="11"/>
      <c r="H61" s="11"/>
    </row>
    <row r="62" spans="1:28">
      <c r="E62" s="11"/>
      <c r="F62" s="11"/>
      <c r="G62" s="11"/>
      <c r="H62" s="11"/>
    </row>
    <row r="63" spans="1:28">
      <c r="A63" s="4"/>
      <c r="B63" s="5"/>
      <c r="C63" s="5"/>
      <c r="D63" s="5"/>
      <c r="E63" s="11"/>
      <c r="F63" s="11"/>
      <c r="G63" s="11"/>
      <c r="H63" s="11"/>
      <c r="I63" s="2"/>
      <c r="J63" s="2"/>
      <c r="K63" s="2"/>
      <c r="L63" s="2"/>
      <c r="M63" s="2"/>
      <c r="N63" s="2"/>
      <c r="O63" s="2"/>
      <c r="P63" s="2"/>
      <c r="Q63" s="2"/>
      <c r="R63" s="2"/>
      <c r="S63" s="2"/>
      <c r="T63" s="2"/>
      <c r="U63" s="2"/>
      <c r="V63" s="2"/>
      <c r="W63" s="2"/>
      <c r="X63" s="2"/>
      <c r="Y63" s="2"/>
      <c r="Z63" s="2"/>
      <c r="AA63" s="2"/>
      <c r="AB63" s="2"/>
    </row>
    <row r="64" spans="1:28">
      <c r="B64" s="3"/>
      <c r="C64" s="3"/>
      <c r="D64" s="3"/>
      <c r="E64" s="11"/>
      <c r="F64" s="11"/>
      <c r="G64" s="11"/>
      <c r="H64" s="11"/>
      <c r="I64" s="2"/>
      <c r="J64" s="2"/>
      <c r="K64" s="2"/>
      <c r="L64" s="2"/>
      <c r="M64" s="2"/>
      <c r="N64" s="2"/>
      <c r="O64" s="2"/>
      <c r="P64" s="2"/>
      <c r="Q64" s="2"/>
      <c r="R64" s="2"/>
      <c r="S64" s="2"/>
      <c r="T64" s="2"/>
      <c r="U64" s="2"/>
      <c r="V64" s="2"/>
      <c r="W64" s="2"/>
      <c r="X64" s="2"/>
      <c r="Y64" s="2"/>
      <c r="Z64" s="2"/>
      <c r="AA64" s="2"/>
      <c r="AB64" s="2"/>
    </row>
    <row r="65" spans="2:28">
      <c r="B65" s="3"/>
      <c r="C65" s="3"/>
      <c r="D65" s="3"/>
      <c r="E65" s="11"/>
      <c r="F65" s="11"/>
      <c r="G65" s="11"/>
      <c r="H65" s="11"/>
      <c r="I65" s="2"/>
      <c r="J65" s="2"/>
      <c r="K65" s="2"/>
      <c r="L65" s="2"/>
      <c r="M65" s="2"/>
      <c r="N65" s="2"/>
      <c r="O65" s="2"/>
      <c r="P65" s="2"/>
      <c r="Q65" s="2"/>
      <c r="R65" s="2"/>
      <c r="S65" s="2"/>
      <c r="T65" s="2"/>
      <c r="U65" s="2"/>
      <c r="V65" s="2"/>
      <c r="W65" s="2"/>
      <c r="X65" s="2"/>
      <c r="Y65" s="2"/>
      <c r="Z65" s="2"/>
      <c r="AA65" s="2"/>
      <c r="AB65" s="2"/>
    </row>
    <row r="66" spans="2:28">
      <c r="B66" s="3"/>
      <c r="C66" s="3"/>
      <c r="D66" s="3"/>
      <c r="E66" s="11"/>
      <c r="F66" s="11"/>
      <c r="G66" s="11"/>
      <c r="H66" s="11"/>
      <c r="I66" s="2"/>
      <c r="J66" s="2"/>
      <c r="K66" s="2"/>
      <c r="L66" s="2"/>
      <c r="M66" s="2"/>
      <c r="N66" s="2"/>
      <c r="O66" s="2"/>
      <c r="P66" s="2"/>
      <c r="Q66" s="2"/>
      <c r="R66" s="2"/>
      <c r="S66" s="2"/>
      <c r="T66" s="2"/>
      <c r="U66" s="2"/>
      <c r="V66" s="2"/>
      <c r="W66" s="2"/>
      <c r="X66" s="2"/>
      <c r="Y66" s="2"/>
      <c r="Z66" s="2"/>
      <c r="AA66" s="2"/>
      <c r="AB66" s="2"/>
    </row>
    <row r="67" spans="2:28">
      <c r="B67" s="3"/>
      <c r="C67" s="3"/>
      <c r="D67" s="3"/>
      <c r="E67" s="11"/>
      <c r="F67" s="11"/>
      <c r="G67" s="11"/>
      <c r="H67" s="11"/>
      <c r="I67" s="2"/>
      <c r="J67" s="2"/>
      <c r="K67" s="2"/>
      <c r="L67" s="2"/>
      <c r="M67" s="2"/>
      <c r="N67" s="2"/>
      <c r="O67" s="2"/>
      <c r="P67" s="2"/>
      <c r="Q67" s="2"/>
      <c r="R67" s="2"/>
      <c r="S67" s="2"/>
      <c r="T67" s="2"/>
      <c r="U67" s="2"/>
      <c r="V67" s="2"/>
      <c r="W67" s="2"/>
      <c r="X67" s="2"/>
      <c r="Y67" s="2"/>
      <c r="Z67" s="2"/>
      <c r="AA67" s="2"/>
      <c r="AB67" s="2"/>
    </row>
    <row r="68" spans="2:28">
      <c r="B68" s="3"/>
      <c r="C68" s="3"/>
      <c r="D68" s="3"/>
      <c r="E68" s="11"/>
      <c r="F68" s="11"/>
      <c r="G68" s="11"/>
      <c r="H68" s="11"/>
      <c r="I68" s="2"/>
      <c r="J68" s="2"/>
      <c r="K68" s="2"/>
      <c r="L68" s="2"/>
      <c r="M68" s="2"/>
      <c r="N68" s="2"/>
      <c r="O68" s="2"/>
      <c r="P68" s="2"/>
      <c r="Q68" s="2"/>
      <c r="R68" s="2"/>
      <c r="S68" s="2"/>
      <c r="T68" s="2"/>
      <c r="U68" s="2"/>
      <c r="V68" s="2"/>
      <c r="W68" s="2"/>
      <c r="X68" s="2"/>
      <c r="Y68" s="2"/>
      <c r="Z68" s="2"/>
      <c r="AA68" s="2"/>
      <c r="AB68" s="2"/>
    </row>
    <row r="69" spans="2:28">
      <c r="B69" s="3"/>
      <c r="C69" s="3"/>
      <c r="D69" s="3"/>
      <c r="E69" s="11"/>
      <c r="F69" s="11"/>
      <c r="G69" s="11"/>
      <c r="H69" s="11"/>
      <c r="I69" s="2"/>
      <c r="J69" s="2"/>
      <c r="K69" s="2"/>
      <c r="L69" s="2"/>
      <c r="M69" s="2"/>
      <c r="N69" s="2"/>
      <c r="O69" s="2"/>
      <c r="P69" s="2"/>
      <c r="Q69" s="2"/>
      <c r="R69" s="2"/>
      <c r="S69" s="2"/>
      <c r="T69" s="2"/>
      <c r="U69" s="2"/>
      <c r="V69" s="2"/>
      <c r="W69" s="2"/>
      <c r="X69" s="2"/>
      <c r="Y69" s="2"/>
      <c r="Z69" s="2"/>
      <c r="AA69" s="2"/>
      <c r="AB69" s="2"/>
    </row>
    <row r="70" spans="2:28">
      <c r="B70" s="3"/>
      <c r="C70" s="3"/>
      <c r="D70" s="3"/>
      <c r="E70" s="11"/>
      <c r="F70" s="11"/>
      <c r="G70" s="11"/>
      <c r="H70" s="11"/>
      <c r="I70" s="2"/>
      <c r="J70" s="2"/>
      <c r="K70" s="2"/>
      <c r="L70" s="2"/>
      <c r="M70" s="2"/>
      <c r="N70" s="2"/>
      <c r="O70" s="2"/>
      <c r="P70" s="2"/>
      <c r="Q70" s="2"/>
      <c r="R70" s="2"/>
      <c r="S70" s="2"/>
      <c r="T70" s="2"/>
      <c r="U70" s="2"/>
      <c r="V70" s="2"/>
      <c r="W70" s="2"/>
      <c r="X70" s="2"/>
      <c r="Y70" s="2"/>
      <c r="Z70" s="2"/>
      <c r="AA70" s="2"/>
      <c r="AB70" s="2"/>
    </row>
    <row r="71" spans="2:28">
      <c r="B71" s="3"/>
      <c r="C71" s="3"/>
      <c r="D71" s="3"/>
      <c r="E71" s="11"/>
      <c r="F71" s="11"/>
      <c r="G71" s="11"/>
      <c r="H71" s="11"/>
      <c r="I71" s="2"/>
      <c r="J71" s="2"/>
      <c r="K71" s="2"/>
      <c r="L71" s="2"/>
      <c r="M71" s="2"/>
      <c r="N71" s="2"/>
      <c r="O71" s="2"/>
      <c r="P71" s="2"/>
      <c r="Q71" s="2"/>
      <c r="R71" s="2"/>
      <c r="S71" s="2"/>
      <c r="T71" s="2"/>
      <c r="U71" s="2"/>
      <c r="V71" s="2"/>
      <c r="W71" s="2"/>
      <c r="X71" s="2"/>
      <c r="Y71" s="2"/>
      <c r="Z71" s="2"/>
      <c r="AA71" s="2"/>
      <c r="AB71" s="2"/>
    </row>
    <row r="72" spans="2:28">
      <c r="B72" s="3"/>
      <c r="C72" s="3"/>
      <c r="D72" s="3"/>
      <c r="E72" s="11"/>
      <c r="F72" s="11"/>
      <c r="G72" s="11"/>
      <c r="H72" s="11"/>
      <c r="I72" s="2"/>
      <c r="J72" s="2"/>
      <c r="K72" s="2"/>
      <c r="L72" s="2"/>
      <c r="M72" s="2"/>
      <c r="N72" s="2"/>
      <c r="O72" s="2"/>
      <c r="P72" s="2"/>
      <c r="Q72" s="2"/>
      <c r="R72" s="2"/>
      <c r="S72" s="2"/>
      <c r="T72" s="2"/>
      <c r="U72" s="2"/>
      <c r="V72" s="2"/>
      <c r="W72" s="2"/>
      <c r="X72" s="2"/>
      <c r="Y72" s="2"/>
      <c r="Z72" s="2"/>
      <c r="AA72" s="2"/>
      <c r="AB72" s="2"/>
    </row>
    <row r="73" spans="2:28">
      <c r="B73" s="3"/>
      <c r="C73" s="3"/>
      <c r="D73" s="3"/>
      <c r="E73" s="11"/>
      <c r="F73" s="11"/>
      <c r="G73" s="11"/>
      <c r="H73" s="11"/>
      <c r="I73" s="2"/>
      <c r="J73" s="2"/>
      <c r="K73" s="2"/>
      <c r="L73" s="2"/>
      <c r="M73" s="2"/>
      <c r="N73" s="2"/>
      <c r="O73" s="2"/>
      <c r="P73" s="2"/>
      <c r="Q73" s="2"/>
      <c r="R73" s="2"/>
      <c r="S73" s="2"/>
      <c r="T73" s="2"/>
      <c r="U73" s="2"/>
      <c r="V73" s="2"/>
      <c r="W73" s="2"/>
      <c r="X73" s="2"/>
      <c r="Y73" s="2"/>
      <c r="Z73" s="2"/>
      <c r="AA73" s="2"/>
      <c r="AB73" s="2"/>
    </row>
    <row r="74" spans="2:28">
      <c r="B74" s="3"/>
      <c r="C74" s="3"/>
      <c r="D74" s="3"/>
      <c r="E74" s="11"/>
      <c r="F74" s="11"/>
      <c r="G74" s="11"/>
      <c r="H74" s="11"/>
      <c r="I74" s="2"/>
      <c r="J74" s="2"/>
      <c r="K74" s="2"/>
      <c r="L74" s="2"/>
      <c r="M74" s="2"/>
      <c r="N74" s="2"/>
      <c r="O74" s="2"/>
      <c r="P74" s="2"/>
      <c r="Q74" s="2"/>
      <c r="R74" s="2"/>
      <c r="S74" s="2"/>
      <c r="T74" s="2"/>
      <c r="U74" s="2"/>
      <c r="V74" s="2"/>
      <c r="W74" s="2"/>
      <c r="X74" s="2"/>
      <c r="Y74" s="2"/>
      <c r="Z74" s="2"/>
      <c r="AA74" s="2"/>
      <c r="AB74" s="2"/>
    </row>
    <row r="75" spans="2:28">
      <c r="B75" s="3"/>
      <c r="C75" s="3"/>
      <c r="D75" s="3"/>
      <c r="E75" s="11"/>
      <c r="F75" s="11"/>
      <c r="G75" s="11"/>
      <c r="H75" s="11"/>
      <c r="I75" s="2"/>
      <c r="J75" s="2"/>
      <c r="K75" s="2"/>
      <c r="L75" s="2"/>
      <c r="M75" s="2"/>
      <c r="N75" s="2"/>
      <c r="O75" s="2"/>
      <c r="P75" s="2"/>
      <c r="Q75" s="2"/>
      <c r="R75" s="2"/>
      <c r="S75" s="2"/>
      <c r="T75" s="2"/>
      <c r="U75" s="2"/>
      <c r="V75" s="2"/>
      <c r="W75" s="2"/>
      <c r="X75" s="2"/>
      <c r="Y75" s="2"/>
      <c r="Z75" s="2"/>
      <c r="AA75" s="2"/>
      <c r="AB75" s="2"/>
    </row>
    <row r="76" spans="2:28">
      <c r="B76" s="3"/>
      <c r="C76" s="3"/>
      <c r="D76" s="3"/>
      <c r="E76" s="2"/>
      <c r="F76" s="2"/>
      <c r="G76" s="2"/>
      <c r="H76" s="2"/>
      <c r="I76" s="2"/>
      <c r="J76" s="2"/>
      <c r="K76" s="2"/>
      <c r="L76" s="2"/>
      <c r="M76" s="2"/>
      <c r="N76" s="2"/>
      <c r="O76" s="2"/>
      <c r="P76" s="2"/>
      <c r="Q76" s="2"/>
      <c r="R76" s="2"/>
      <c r="S76" s="2"/>
      <c r="T76" s="2"/>
      <c r="U76" s="2"/>
      <c r="V76" s="2"/>
      <c r="W76" s="2"/>
      <c r="X76" s="2"/>
      <c r="Y76" s="2"/>
      <c r="Z76" s="2"/>
      <c r="AA76" s="2"/>
      <c r="AB76" s="2"/>
    </row>
    <row r="77" spans="2:28">
      <c r="B77" s="3"/>
      <c r="C77" s="3"/>
      <c r="D77" s="3"/>
      <c r="E77" s="2"/>
      <c r="F77" s="2"/>
      <c r="G77" s="2"/>
      <c r="H77" s="2"/>
      <c r="I77" s="2"/>
      <c r="J77" s="2"/>
      <c r="K77" s="2"/>
      <c r="L77" s="2"/>
      <c r="M77" s="2"/>
      <c r="N77" s="2"/>
      <c r="O77" s="2"/>
      <c r="P77" s="2"/>
      <c r="Q77" s="2"/>
      <c r="R77" s="2"/>
      <c r="S77" s="2"/>
      <c r="T77" s="2"/>
      <c r="U77" s="2"/>
      <c r="V77" s="2"/>
      <c r="W77" s="2"/>
      <c r="X77" s="2"/>
      <c r="Y77" s="2"/>
      <c r="Z77" s="2"/>
      <c r="AA77" s="2"/>
      <c r="AB77" s="2"/>
    </row>
    <row r="78" spans="2:28">
      <c r="B78" s="3"/>
      <c r="C78" s="3"/>
      <c r="D78" s="3"/>
      <c r="E78" s="2"/>
      <c r="F78" s="2"/>
      <c r="G78" s="2"/>
      <c r="H78" s="2"/>
      <c r="I78" s="2"/>
      <c r="J78" s="2"/>
      <c r="K78" s="2"/>
      <c r="L78" s="2"/>
      <c r="M78" s="2"/>
      <c r="N78" s="2"/>
      <c r="O78" s="2"/>
      <c r="P78" s="2"/>
      <c r="Q78" s="2"/>
      <c r="R78" s="2"/>
      <c r="S78" s="2"/>
      <c r="T78" s="2"/>
      <c r="U78" s="2"/>
      <c r="V78" s="2"/>
      <c r="W78" s="2"/>
      <c r="X78" s="2"/>
      <c r="Y78" s="2"/>
      <c r="Z78" s="2"/>
      <c r="AA78" s="2"/>
      <c r="AB78" s="2"/>
    </row>
    <row r="79" spans="2:28">
      <c r="B79" s="3"/>
      <c r="C79" s="3"/>
      <c r="D79" s="3"/>
      <c r="E79" s="2"/>
      <c r="F79" s="2"/>
      <c r="G79" s="2"/>
      <c r="H79" s="2"/>
      <c r="I79" s="2"/>
      <c r="J79" s="2"/>
      <c r="K79" s="2"/>
      <c r="L79" s="2"/>
      <c r="M79" s="2"/>
      <c r="N79" s="2"/>
      <c r="O79" s="2"/>
      <c r="P79" s="2"/>
      <c r="Q79" s="2"/>
      <c r="R79" s="2"/>
      <c r="S79" s="2"/>
      <c r="T79" s="2"/>
      <c r="U79" s="2"/>
      <c r="V79" s="2"/>
      <c r="W79" s="2"/>
      <c r="X79" s="2"/>
      <c r="Y79" s="2"/>
      <c r="Z79" s="2"/>
      <c r="AA79" s="2"/>
      <c r="AB79" s="2"/>
    </row>
    <row r="80" spans="2:28">
      <c r="B80" s="3"/>
      <c r="C80" s="3"/>
      <c r="D80" s="3"/>
      <c r="E80" s="2"/>
      <c r="F80" s="2"/>
      <c r="G80" s="2"/>
      <c r="H80" s="2"/>
      <c r="I80" s="2"/>
      <c r="J80" s="2"/>
      <c r="K80" s="2"/>
      <c r="L80" s="2"/>
      <c r="M80" s="2"/>
      <c r="N80" s="2"/>
      <c r="O80" s="2"/>
      <c r="P80" s="2"/>
      <c r="Q80" s="2"/>
      <c r="R80" s="2"/>
      <c r="S80" s="2"/>
      <c r="T80" s="2"/>
      <c r="U80" s="2"/>
      <c r="V80" s="2"/>
      <c r="W80" s="2"/>
      <c r="X80" s="2"/>
      <c r="Y80" s="2"/>
      <c r="Z80" s="2"/>
      <c r="AA80" s="2"/>
      <c r="AB80" s="2"/>
    </row>
    <row r="81" spans="2:28">
      <c r="B81" s="3"/>
      <c r="C81" s="3"/>
      <c r="D81" s="3"/>
      <c r="E81" s="2"/>
      <c r="F81" s="2"/>
      <c r="G81" s="2"/>
      <c r="H81" s="2"/>
      <c r="I81" s="2"/>
      <c r="J81" s="2"/>
      <c r="K81" s="2"/>
      <c r="L81" s="2"/>
      <c r="M81" s="2"/>
      <c r="N81" s="2"/>
      <c r="O81" s="2"/>
      <c r="P81" s="2"/>
      <c r="Q81" s="2"/>
      <c r="R81" s="2"/>
      <c r="S81" s="2"/>
      <c r="T81" s="2"/>
      <c r="U81" s="2"/>
      <c r="V81" s="2"/>
      <c r="W81" s="2"/>
      <c r="X81" s="2"/>
      <c r="Y81" s="2"/>
      <c r="Z81" s="2"/>
      <c r="AA81" s="2"/>
      <c r="AB81" s="2"/>
    </row>
    <row r="82" spans="2:28">
      <c r="B82" s="3"/>
      <c r="C82" s="3"/>
      <c r="D82" s="3"/>
      <c r="E82" s="2"/>
      <c r="F82" s="2"/>
      <c r="G82" s="2"/>
      <c r="H82" s="2"/>
      <c r="I82" s="2"/>
      <c r="J82" s="2"/>
      <c r="K82" s="2"/>
      <c r="L82" s="2"/>
      <c r="M82" s="2"/>
      <c r="N82" s="2"/>
      <c r="O82" s="2"/>
      <c r="P82" s="2"/>
      <c r="Q82" s="2"/>
      <c r="R82" s="2"/>
      <c r="S82" s="2"/>
      <c r="T82" s="2"/>
      <c r="U82" s="2"/>
      <c r="V82" s="2"/>
      <c r="W82" s="2"/>
      <c r="X82" s="2"/>
      <c r="Y82" s="2"/>
      <c r="Z82" s="2"/>
      <c r="AA82" s="2"/>
      <c r="AB82" s="2"/>
    </row>
    <row r="83" spans="2:28">
      <c r="B83" s="3"/>
      <c r="C83" s="3"/>
      <c r="D83" s="3"/>
      <c r="E83" s="2"/>
      <c r="F83" s="2"/>
      <c r="G83" s="2"/>
      <c r="H83" s="2"/>
      <c r="I83" s="2"/>
      <c r="J83" s="2"/>
      <c r="K83" s="2"/>
      <c r="L83" s="2"/>
      <c r="M83" s="2"/>
      <c r="N83" s="2"/>
      <c r="O83" s="2"/>
      <c r="P83" s="2"/>
      <c r="Q83" s="2"/>
      <c r="R83" s="2"/>
      <c r="S83" s="2"/>
      <c r="T83" s="2"/>
      <c r="U83" s="2"/>
      <c r="V83" s="2"/>
      <c r="W83" s="2"/>
      <c r="X83" s="2"/>
      <c r="Y83" s="2"/>
      <c r="Z83" s="2"/>
      <c r="AA83" s="2"/>
      <c r="AB83" s="2"/>
    </row>
    <row r="84" spans="2:28">
      <c r="B84" s="3"/>
      <c r="C84" s="3"/>
      <c r="D84" s="3"/>
      <c r="E84" s="2"/>
      <c r="F84" s="2"/>
      <c r="G84" s="2"/>
      <c r="H84" s="2"/>
      <c r="I84" s="2"/>
      <c r="J84" s="2"/>
      <c r="K84" s="2"/>
      <c r="L84" s="2"/>
      <c r="M84" s="2"/>
      <c r="N84" s="2"/>
      <c r="O84" s="2"/>
      <c r="P84" s="2"/>
      <c r="Q84" s="2"/>
      <c r="R84" s="2"/>
      <c r="S84" s="2"/>
      <c r="T84" s="2"/>
      <c r="U84" s="2"/>
      <c r="V84" s="2"/>
      <c r="W84" s="2"/>
      <c r="X84" s="2"/>
      <c r="Y84" s="2"/>
      <c r="Z84" s="2"/>
      <c r="AA84" s="2"/>
      <c r="AB84" s="2"/>
    </row>
    <row r="85" spans="2:28">
      <c r="B85" s="3"/>
      <c r="C85" s="3"/>
      <c r="D85" s="3"/>
      <c r="E85" s="2"/>
      <c r="F85" s="2"/>
      <c r="G85" s="2"/>
      <c r="H85" s="2"/>
      <c r="I85" s="2"/>
      <c r="J85" s="2"/>
      <c r="K85" s="2"/>
      <c r="L85" s="2"/>
      <c r="M85" s="2"/>
      <c r="N85" s="2"/>
      <c r="O85" s="2"/>
      <c r="P85" s="2"/>
      <c r="Q85" s="2"/>
      <c r="R85" s="2"/>
      <c r="S85" s="2"/>
      <c r="T85" s="2"/>
      <c r="U85" s="2"/>
      <c r="V85" s="2"/>
      <c r="W85" s="2"/>
      <c r="X85" s="2"/>
      <c r="Y85" s="2"/>
      <c r="Z85" s="2"/>
      <c r="AA85" s="2"/>
      <c r="AB85" s="2"/>
    </row>
    <row r="86" spans="2:28">
      <c r="B86" s="3"/>
      <c r="C86" s="3"/>
      <c r="D86" s="3"/>
      <c r="E86" s="2"/>
      <c r="F86" s="2"/>
      <c r="G86" s="2"/>
      <c r="H86" s="2"/>
      <c r="I86" s="2"/>
      <c r="J86" s="2"/>
      <c r="K86" s="2"/>
      <c r="L86" s="2"/>
      <c r="M86" s="2"/>
      <c r="N86" s="2"/>
      <c r="O86" s="2"/>
      <c r="P86" s="2"/>
      <c r="Q86" s="2"/>
      <c r="R86" s="2"/>
      <c r="S86" s="2"/>
      <c r="T86" s="2"/>
      <c r="U86" s="2"/>
      <c r="V86" s="2"/>
      <c r="W86" s="2"/>
      <c r="X86" s="2"/>
      <c r="Y86" s="2"/>
      <c r="Z86" s="2"/>
      <c r="AA86" s="2"/>
      <c r="AB86" s="2"/>
    </row>
    <row r="87" spans="2:28">
      <c r="B87" s="3"/>
      <c r="C87" s="3"/>
      <c r="D87" s="3"/>
      <c r="E87" s="2"/>
      <c r="F87" s="2"/>
      <c r="G87" s="2"/>
      <c r="H87" s="2"/>
      <c r="I87" s="2"/>
      <c r="J87" s="2"/>
      <c r="K87" s="2"/>
      <c r="L87" s="2"/>
      <c r="M87" s="2"/>
      <c r="N87" s="2"/>
      <c r="O87" s="2"/>
      <c r="P87" s="2"/>
      <c r="Q87" s="2"/>
      <c r="R87" s="2"/>
      <c r="S87" s="2"/>
      <c r="T87" s="2"/>
      <c r="U87" s="2"/>
      <c r="V87" s="2"/>
      <c r="W87" s="2"/>
      <c r="X87" s="2"/>
      <c r="Y87" s="2"/>
      <c r="Z87" s="2"/>
      <c r="AA87" s="2"/>
      <c r="AB87" s="2"/>
    </row>
    <row r="88" spans="2:28">
      <c r="B88" s="3"/>
      <c r="C88" s="3"/>
      <c r="D88" s="3"/>
      <c r="E88" s="2"/>
      <c r="F88" s="2"/>
      <c r="G88" s="2"/>
      <c r="H88" s="2"/>
      <c r="I88" s="2"/>
      <c r="J88" s="2"/>
      <c r="K88" s="2"/>
      <c r="L88" s="2"/>
      <c r="M88" s="2"/>
      <c r="N88" s="2"/>
      <c r="O88" s="2"/>
      <c r="P88" s="2"/>
      <c r="Q88" s="2"/>
      <c r="R88" s="2"/>
      <c r="S88" s="2"/>
      <c r="T88" s="2"/>
      <c r="U88" s="2"/>
      <c r="V88" s="2"/>
      <c r="W88" s="2"/>
      <c r="X88" s="2"/>
      <c r="Y88" s="2"/>
      <c r="Z88" s="2"/>
      <c r="AA88" s="2"/>
      <c r="AB88" s="2"/>
    </row>
    <row r="89" spans="2:28">
      <c r="B89" s="3"/>
      <c r="C89" s="3"/>
      <c r="D89" s="3"/>
      <c r="E89" s="2"/>
      <c r="F89" s="2"/>
      <c r="G89" s="2"/>
      <c r="H89" s="2"/>
      <c r="I89" s="2"/>
      <c r="J89" s="2"/>
      <c r="K89" s="2"/>
      <c r="L89" s="2"/>
      <c r="M89" s="2"/>
      <c r="N89" s="2"/>
      <c r="O89" s="2"/>
      <c r="P89" s="2"/>
      <c r="Q89" s="2"/>
      <c r="R89" s="2"/>
      <c r="S89" s="2"/>
      <c r="T89" s="2"/>
      <c r="U89" s="2"/>
      <c r="V89" s="2"/>
      <c r="W89" s="2"/>
      <c r="X89" s="2"/>
      <c r="Y89" s="2"/>
      <c r="Z89" s="2"/>
      <c r="AA89" s="2"/>
      <c r="AB89" s="2"/>
    </row>
    <row r="90" spans="2:28">
      <c r="B90" s="3"/>
      <c r="C90" s="3"/>
      <c r="D90" s="3"/>
      <c r="E90" s="2"/>
      <c r="F90" s="2"/>
      <c r="G90" s="2"/>
      <c r="H90" s="2"/>
      <c r="I90" s="2"/>
      <c r="J90" s="2"/>
      <c r="K90" s="2"/>
      <c r="L90" s="2"/>
      <c r="M90" s="2"/>
      <c r="N90" s="2"/>
      <c r="O90" s="2"/>
      <c r="P90" s="2"/>
      <c r="Q90" s="2"/>
      <c r="R90" s="2"/>
      <c r="S90" s="2"/>
      <c r="T90" s="2"/>
      <c r="U90" s="2"/>
      <c r="V90" s="2"/>
      <c r="W90" s="2"/>
      <c r="X90" s="2"/>
      <c r="Y90" s="2"/>
      <c r="Z90" s="2"/>
      <c r="AA90" s="2"/>
      <c r="AB90" s="2"/>
    </row>
  </sheetData>
  <hyperlinks>
    <hyperlink ref="D7"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C5"/>
  <sheetViews>
    <sheetView showGridLines="0" topLeftCell="A3" workbookViewId="0"/>
  </sheetViews>
  <sheetFormatPr defaultRowHeight="11.5"/>
  <sheetData>
    <row r="5" spans="3:3" ht="15.5">
      <c r="C5" s="1"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6"/>
  <sheetViews>
    <sheetView showGridLines="0" topLeftCell="A112" workbookViewId="0">
      <selection activeCell="AD126" sqref="AD126"/>
    </sheetView>
  </sheetViews>
  <sheetFormatPr defaultColWidth="9.09765625" defaultRowHeight="11.5" outlineLevelCol="1"/>
  <cols>
    <col min="1" max="1" width="3.09765625" style="31" customWidth="1"/>
    <col min="2" max="2" width="77.09765625" style="31" bestFit="1" customWidth="1"/>
    <col min="3" max="3" width="5.09765625" style="31" bestFit="1" customWidth="1"/>
    <col min="4" max="4" width="9.09765625" style="31"/>
    <col min="5" max="5" width="11.09765625" style="31" bestFit="1" customWidth="1"/>
    <col min="6" max="25" width="12.59765625" style="33" hidden="1" customWidth="1" outlineLevel="1"/>
    <col min="26" max="26" width="14.69921875" style="33" customWidth="1" collapsed="1"/>
    <col min="27" max="30" width="14.69921875" style="33" customWidth="1"/>
    <col min="31" max="31" width="12.59765625" style="33" customWidth="1"/>
    <col min="32" max="32" width="9.09765625" style="33"/>
    <col min="33" max="16384" width="9.09765625" style="31"/>
  </cols>
  <sheetData>
    <row r="1" spans="2:32">
      <c r="B1" s="106"/>
    </row>
    <row r="2" spans="2:32" ht="18">
      <c r="B2" s="34" t="s">
        <v>101</v>
      </c>
    </row>
    <row r="3" spans="2:32">
      <c r="B3" s="79" t="s">
        <v>170</v>
      </c>
    </row>
    <row r="4" spans="2:32">
      <c r="B4" s="31" t="s">
        <v>288</v>
      </c>
    </row>
    <row r="5" spans="2:32" s="106" customFormat="1">
      <c r="B5" s="106" t="s">
        <v>287</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row>
    <row r="6" spans="2:32" s="106" customFormat="1">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2:32">
      <c r="B7" s="114" t="s">
        <v>28</v>
      </c>
      <c r="C7" s="114"/>
      <c r="D7" s="114"/>
      <c r="F7" s="89"/>
      <c r="G7" s="89"/>
      <c r="Z7" s="147" t="s">
        <v>29</v>
      </c>
    </row>
    <row r="8" spans="2:32">
      <c r="B8" s="155" t="str">
        <f>B14</f>
        <v>TABLE 1.1 - USAGE VOLUMES</v>
      </c>
      <c r="C8" s="40"/>
      <c r="D8" s="40"/>
      <c r="E8" s="40"/>
      <c r="F8" s="156"/>
      <c r="G8" s="156"/>
      <c r="H8" s="156"/>
      <c r="I8" s="156"/>
      <c r="J8" s="156"/>
      <c r="K8" s="156"/>
      <c r="L8" s="156"/>
      <c r="M8" s="156"/>
      <c r="N8" s="156"/>
      <c r="O8" s="156"/>
      <c r="P8" s="156"/>
      <c r="Q8" s="156"/>
      <c r="R8" s="156"/>
      <c r="S8" s="156"/>
      <c r="T8" s="156"/>
      <c r="U8" s="156"/>
      <c r="V8" s="156"/>
      <c r="W8" s="156"/>
      <c r="X8" s="156"/>
      <c r="Y8" s="156"/>
      <c r="Z8" s="40">
        <f>ROW(B14)</f>
        <v>14</v>
      </c>
    </row>
    <row r="9" spans="2:32">
      <c r="B9" s="157" t="str">
        <f>B37</f>
        <v>TABLE 1.2 - ENTITLEMENT VOLUMES</v>
      </c>
      <c r="C9" s="37"/>
      <c r="D9" s="37"/>
      <c r="E9" s="37"/>
      <c r="F9" s="86"/>
      <c r="G9" s="86"/>
      <c r="H9" s="86"/>
      <c r="I9" s="86"/>
      <c r="J9" s="86"/>
      <c r="K9" s="86"/>
      <c r="L9" s="86"/>
      <c r="M9" s="86"/>
      <c r="N9" s="86"/>
      <c r="O9" s="86"/>
      <c r="P9" s="86"/>
      <c r="Q9" s="86"/>
      <c r="R9" s="86"/>
      <c r="S9" s="86"/>
      <c r="T9" s="86"/>
      <c r="U9" s="86"/>
      <c r="V9" s="86"/>
      <c r="W9" s="86"/>
      <c r="X9" s="86"/>
      <c r="Y9" s="86"/>
      <c r="Z9" s="37">
        <f>ROW(B37)</f>
        <v>37</v>
      </c>
    </row>
    <row r="10" spans="2:32">
      <c r="B10" s="157" t="str">
        <f>B75</f>
        <v>TABLE 1.3 - ACTUAL WATER ALLOCATIONS</v>
      </c>
      <c r="C10" s="37"/>
      <c r="D10" s="37"/>
      <c r="E10" s="37"/>
      <c r="F10" s="86"/>
      <c r="G10" s="86"/>
      <c r="H10" s="86"/>
      <c r="I10" s="86"/>
      <c r="J10" s="86"/>
      <c r="K10" s="86"/>
      <c r="L10" s="86"/>
      <c r="M10" s="86"/>
      <c r="N10" s="86"/>
      <c r="O10" s="86"/>
      <c r="P10" s="86"/>
      <c r="Q10" s="86"/>
      <c r="R10" s="86"/>
      <c r="S10" s="86"/>
      <c r="T10" s="86"/>
      <c r="U10" s="86"/>
      <c r="V10" s="86"/>
      <c r="W10" s="86"/>
      <c r="X10" s="86"/>
      <c r="Y10" s="86"/>
      <c r="Z10" s="37">
        <f>ROW(B75)</f>
        <v>75</v>
      </c>
    </row>
    <row r="11" spans="2:32">
      <c r="B11" s="35" t="str">
        <f>B115</f>
        <v>TABLE 1.4 - FISH RIVER WATER SUPPLY SCHEME (FRWS) MINOR CUSTOMER NUMBERS AND MAQ ENTITLEMENT LEVELS</v>
      </c>
      <c r="C11" s="35"/>
      <c r="D11" s="35"/>
      <c r="E11" s="35"/>
      <c r="F11" s="93"/>
      <c r="G11" s="93"/>
      <c r="H11" s="93"/>
      <c r="I11" s="93"/>
      <c r="J11" s="93"/>
      <c r="K11" s="93"/>
      <c r="L11" s="93"/>
      <c r="M11" s="93"/>
      <c r="N11" s="93"/>
      <c r="O11" s="93"/>
      <c r="P11" s="93"/>
      <c r="Q11" s="93"/>
      <c r="R11" s="93"/>
      <c r="S11" s="93"/>
      <c r="T11" s="93"/>
      <c r="U11" s="93"/>
      <c r="V11" s="93"/>
      <c r="W11" s="93"/>
      <c r="X11" s="93"/>
      <c r="Y11" s="93"/>
      <c r="Z11" s="35">
        <f>ROW(B115)</f>
        <v>115</v>
      </c>
    </row>
    <row r="12" spans="2:32">
      <c r="B12" s="106"/>
    </row>
    <row r="14" spans="2:32">
      <c r="B14" s="32" t="s">
        <v>61</v>
      </c>
    </row>
    <row r="15" spans="2:32" ht="12" customHeight="1">
      <c r="B15" s="39" t="s">
        <v>25</v>
      </c>
      <c r="C15" s="40" t="s">
        <v>27</v>
      </c>
      <c r="D15" s="40"/>
      <c r="E15" s="40"/>
      <c r="F15" s="140">
        <f t="shared" ref="F15:Y15" si="0">G15-1</f>
        <v>1997</v>
      </c>
      <c r="G15" s="140">
        <f t="shared" si="0"/>
        <v>1998</v>
      </c>
      <c r="H15" s="140">
        <f t="shared" si="0"/>
        <v>1999</v>
      </c>
      <c r="I15" s="140">
        <f t="shared" si="0"/>
        <v>2000</v>
      </c>
      <c r="J15" s="140">
        <f t="shared" si="0"/>
        <v>2001</v>
      </c>
      <c r="K15" s="140">
        <f t="shared" si="0"/>
        <v>2002</v>
      </c>
      <c r="L15" s="140">
        <f t="shared" si="0"/>
        <v>2003</v>
      </c>
      <c r="M15" s="140">
        <f t="shared" si="0"/>
        <v>2004</v>
      </c>
      <c r="N15" s="140">
        <f t="shared" si="0"/>
        <v>2005</v>
      </c>
      <c r="O15" s="140">
        <f t="shared" si="0"/>
        <v>2006</v>
      </c>
      <c r="P15" s="140">
        <f t="shared" si="0"/>
        <v>2007</v>
      </c>
      <c r="Q15" s="140">
        <f t="shared" si="0"/>
        <v>2008</v>
      </c>
      <c r="R15" s="140">
        <f t="shared" si="0"/>
        <v>2009</v>
      </c>
      <c r="S15" s="140">
        <f t="shared" si="0"/>
        <v>2010</v>
      </c>
      <c r="T15" s="140">
        <f t="shared" si="0"/>
        <v>2011</v>
      </c>
      <c r="U15" s="140">
        <f t="shared" si="0"/>
        <v>2012</v>
      </c>
      <c r="V15" s="140">
        <f t="shared" si="0"/>
        <v>2013</v>
      </c>
      <c r="W15" s="140">
        <f t="shared" si="0"/>
        <v>2014</v>
      </c>
      <c r="X15" s="140">
        <f t="shared" si="0"/>
        <v>2015</v>
      </c>
      <c r="Y15" s="140">
        <f t="shared" si="0"/>
        <v>2016</v>
      </c>
      <c r="Z15" s="140">
        <f>AA15-1</f>
        <v>2017</v>
      </c>
      <c r="AA15" s="140">
        <f>'2017 Determination - Revenue'!F15</f>
        <v>2018</v>
      </c>
      <c r="AB15" s="140">
        <f>'2017 Determination - Revenue'!G15</f>
        <v>2019</v>
      </c>
      <c r="AC15" s="140">
        <f>'2017 Determination - Revenue'!H15</f>
        <v>2020</v>
      </c>
      <c r="AD15" s="302">
        <f>'2017 Determination - Revenue'!I15</f>
        <v>2021</v>
      </c>
      <c r="AE15" s="160"/>
    </row>
    <row r="16" spans="2:32" s="106" customFormat="1" ht="12" customHeight="1">
      <c r="B16" s="42" t="s">
        <v>26</v>
      </c>
      <c r="C16" s="37"/>
      <c r="D16" s="37"/>
      <c r="E16" s="37"/>
      <c r="F16" s="139" t="str">
        <f t="shared" ref="F16:Z16" si="1">F15-1&amp;"-"&amp;RIGHT(F15,2)</f>
        <v>1996-97</v>
      </c>
      <c r="G16" s="139" t="str">
        <f t="shared" si="1"/>
        <v>1997-98</v>
      </c>
      <c r="H16" s="139" t="str">
        <f t="shared" si="1"/>
        <v>1998-99</v>
      </c>
      <c r="I16" s="139" t="str">
        <f t="shared" si="1"/>
        <v>1999-00</v>
      </c>
      <c r="J16" s="139" t="str">
        <f t="shared" si="1"/>
        <v>2000-01</v>
      </c>
      <c r="K16" s="139" t="str">
        <f t="shared" si="1"/>
        <v>2001-02</v>
      </c>
      <c r="L16" s="139" t="str">
        <f t="shared" si="1"/>
        <v>2002-03</v>
      </c>
      <c r="M16" s="139" t="str">
        <f t="shared" si="1"/>
        <v>2003-04</v>
      </c>
      <c r="N16" s="139" t="str">
        <f t="shared" si="1"/>
        <v>2004-05</v>
      </c>
      <c r="O16" s="139" t="str">
        <f t="shared" si="1"/>
        <v>2005-06</v>
      </c>
      <c r="P16" s="139" t="str">
        <f t="shared" si="1"/>
        <v>2006-07</v>
      </c>
      <c r="Q16" s="139" t="str">
        <f t="shared" si="1"/>
        <v>2007-08</v>
      </c>
      <c r="R16" s="139" t="str">
        <f t="shared" si="1"/>
        <v>2008-09</v>
      </c>
      <c r="S16" s="139" t="str">
        <f t="shared" si="1"/>
        <v>2009-10</v>
      </c>
      <c r="T16" s="139" t="str">
        <f t="shared" si="1"/>
        <v>2010-11</v>
      </c>
      <c r="U16" s="139" t="str">
        <f t="shared" si="1"/>
        <v>2011-12</v>
      </c>
      <c r="V16" s="139" t="str">
        <f t="shared" si="1"/>
        <v>2012-13</v>
      </c>
      <c r="W16" s="139" t="str">
        <f t="shared" si="1"/>
        <v>2013-14</v>
      </c>
      <c r="X16" s="139" t="str">
        <f t="shared" si="1"/>
        <v>2014-15</v>
      </c>
      <c r="Y16" s="139" t="str">
        <f t="shared" si="1"/>
        <v>2015-16</v>
      </c>
      <c r="Z16" s="139" t="str">
        <f t="shared" si="1"/>
        <v>2016-17</v>
      </c>
      <c r="AA16" s="139" t="str">
        <f>AA15-1&amp;"-"&amp;RIGHT(AA15,2)</f>
        <v>2017-18</v>
      </c>
      <c r="AB16" s="139" t="s">
        <v>91</v>
      </c>
      <c r="AC16" s="139" t="s">
        <v>206</v>
      </c>
      <c r="AD16" s="303" t="s">
        <v>223</v>
      </c>
      <c r="AE16" s="161"/>
      <c r="AF16" s="33"/>
    </row>
    <row r="17" spans="2:35">
      <c r="B17" s="42"/>
      <c r="C17" s="37"/>
      <c r="D17" s="37"/>
      <c r="E17" s="37"/>
      <c r="F17" s="141" t="s">
        <v>102</v>
      </c>
      <c r="G17" s="137" t="str">
        <f>$F$17</f>
        <v>Actual</v>
      </c>
      <c r="H17" s="137" t="str">
        <f t="shared" ref="H17:AA17" si="2">$F$17</f>
        <v>Actual</v>
      </c>
      <c r="I17" s="137" t="str">
        <f t="shared" si="2"/>
        <v>Actual</v>
      </c>
      <c r="J17" s="137" t="str">
        <f t="shared" si="2"/>
        <v>Actual</v>
      </c>
      <c r="K17" s="137" t="str">
        <f t="shared" si="2"/>
        <v>Actual</v>
      </c>
      <c r="L17" s="137" t="str">
        <f t="shared" si="2"/>
        <v>Actual</v>
      </c>
      <c r="M17" s="137" t="str">
        <f t="shared" si="2"/>
        <v>Actual</v>
      </c>
      <c r="N17" s="137" t="str">
        <f t="shared" si="2"/>
        <v>Actual</v>
      </c>
      <c r="O17" s="137" t="str">
        <f t="shared" si="2"/>
        <v>Actual</v>
      </c>
      <c r="P17" s="137" t="str">
        <f t="shared" si="2"/>
        <v>Actual</v>
      </c>
      <c r="Q17" s="137" t="str">
        <f t="shared" si="2"/>
        <v>Actual</v>
      </c>
      <c r="R17" s="137" t="str">
        <f t="shared" si="2"/>
        <v>Actual</v>
      </c>
      <c r="S17" s="137" t="str">
        <f t="shared" si="2"/>
        <v>Actual</v>
      </c>
      <c r="T17" s="137" t="str">
        <f t="shared" si="2"/>
        <v>Actual</v>
      </c>
      <c r="U17" s="137" t="str">
        <f t="shared" si="2"/>
        <v>Actual</v>
      </c>
      <c r="V17" s="137" t="str">
        <f t="shared" si="2"/>
        <v>Actual</v>
      </c>
      <c r="W17" s="137" t="str">
        <f t="shared" si="2"/>
        <v>Actual</v>
      </c>
      <c r="X17" s="137" t="str">
        <f t="shared" si="2"/>
        <v>Actual</v>
      </c>
      <c r="Y17" s="137" t="str">
        <f t="shared" si="2"/>
        <v>Actual</v>
      </c>
      <c r="Z17" s="137" t="str">
        <f t="shared" si="2"/>
        <v>Actual</v>
      </c>
      <c r="AA17" s="137" t="str">
        <f t="shared" si="2"/>
        <v>Actual</v>
      </c>
      <c r="AB17" s="162" t="s">
        <v>102</v>
      </c>
      <c r="AC17" s="162" t="s">
        <v>207</v>
      </c>
      <c r="AD17" s="162" t="s">
        <v>103</v>
      </c>
      <c r="AE17" s="91"/>
    </row>
    <row r="18" spans="2:35">
      <c r="B18" s="42"/>
      <c r="C18" s="37"/>
      <c r="D18" s="37"/>
      <c r="E18" s="37"/>
      <c r="F18" s="92"/>
      <c r="G18" s="92"/>
      <c r="H18" s="92"/>
      <c r="I18" s="92"/>
      <c r="J18" s="92"/>
      <c r="K18" s="92"/>
      <c r="L18" s="92"/>
      <c r="M18" s="92"/>
      <c r="N18" s="92"/>
      <c r="O18" s="92"/>
      <c r="P18" s="92"/>
      <c r="Q18" s="92"/>
      <c r="R18" s="92"/>
      <c r="S18" s="92"/>
      <c r="T18" s="92"/>
      <c r="U18" s="92"/>
      <c r="V18" s="92"/>
      <c r="W18" s="92"/>
      <c r="X18" s="92"/>
      <c r="Y18" s="92"/>
      <c r="Z18" s="92"/>
      <c r="AA18" s="92"/>
      <c r="AB18" s="92"/>
      <c r="AC18" s="164"/>
      <c r="AD18" s="164"/>
      <c r="AE18" s="91"/>
    </row>
    <row r="19" spans="2:35" ht="12">
      <c r="B19" s="48" t="s">
        <v>36</v>
      </c>
      <c r="C19" s="37"/>
      <c r="D19" s="37"/>
      <c r="E19" s="37"/>
      <c r="F19" s="86"/>
      <c r="G19" s="86"/>
      <c r="H19" s="86"/>
      <c r="I19" s="86"/>
      <c r="J19" s="86"/>
      <c r="K19" s="86"/>
      <c r="L19" s="86"/>
      <c r="M19" s="86"/>
      <c r="N19" s="86"/>
      <c r="O19" s="86"/>
      <c r="P19" s="86"/>
      <c r="Q19" s="86"/>
      <c r="R19" s="86"/>
      <c r="S19" s="86"/>
      <c r="T19" s="86"/>
      <c r="U19" s="86"/>
      <c r="V19" s="86"/>
      <c r="W19" s="86"/>
      <c r="X19" s="86"/>
      <c r="Y19" s="86"/>
      <c r="Z19" s="96"/>
      <c r="AA19" s="86"/>
      <c r="AB19" s="86"/>
      <c r="AC19" s="87"/>
      <c r="AD19" s="87"/>
      <c r="AE19" s="91"/>
    </row>
    <row r="20" spans="2:35" ht="12" customHeight="1">
      <c r="B20" s="42" t="str">
        <f>'2017 Determination - Revenue'!$B$33</f>
        <v>Border</v>
      </c>
      <c r="C20" s="27" t="s">
        <v>15</v>
      </c>
      <c r="D20" s="37"/>
      <c r="E20" s="37"/>
      <c r="F20" s="100">
        <v>169812</v>
      </c>
      <c r="G20" s="100">
        <v>187883</v>
      </c>
      <c r="H20" s="100">
        <v>164331</v>
      </c>
      <c r="I20" s="100">
        <v>180863</v>
      </c>
      <c r="J20" s="100">
        <v>231793</v>
      </c>
      <c r="K20" s="100">
        <v>182622</v>
      </c>
      <c r="L20" s="100">
        <v>123803</v>
      </c>
      <c r="M20" s="100">
        <v>100542.36</v>
      </c>
      <c r="N20" s="100">
        <v>107564</v>
      </c>
      <c r="O20" s="100">
        <v>134417</v>
      </c>
      <c r="P20" s="100">
        <v>131934</v>
      </c>
      <c r="Q20" s="100">
        <v>112269</v>
      </c>
      <c r="R20" s="100">
        <v>117688</v>
      </c>
      <c r="S20" s="100">
        <v>110391.2</v>
      </c>
      <c r="T20" s="100">
        <v>187024.6</v>
      </c>
      <c r="U20" s="100">
        <v>160312</v>
      </c>
      <c r="V20" s="100">
        <v>220696</v>
      </c>
      <c r="W20" s="100">
        <v>197467.59999999998</v>
      </c>
      <c r="X20" s="100">
        <v>41672.9</v>
      </c>
      <c r="Y20" s="100">
        <v>100403.8</v>
      </c>
      <c r="Z20" s="100">
        <v>232303.30000000002</v>
      </c>
      <c r="AA20" s="100">
        <v>139604.9</v>
      </c>
      <c r="AB20" s="100">
        <v>145591.30000000002</v>
      </c>
      <c r="AC20" s="100">
        <v>0</v>
      </c>
      <c r="AD20" s="100">
        <v>147948.14799999999</v>
      </c>
      <c r="AE20" s="173"/>
      <c r="AG20" s="390"/>
      <c r="AH20" s="390"/>
      <c r="AI20" s="390"/>
    </row>
    <row r="21" spans="2:35">
      <c r="B21" s="42" t="str">
        <f>'2017 Determination - Revenue'!$B$34</f>
        <v>Gwydir</v>
      </c>
      <c r="C21" s="37" t="str">
        <f>C$20</f>
        <v>ML</v>
      </c>
      <c r="D21" s="37"/>
      <c r="E21" s="37"/>
      <c r="F21" s="100">
        <v>394616</v>
      </c>
      <c r="G21" s="100">
        <v>454913</v>
      </c>
      <c r="H21" s="100">
        <v>374762</v>
      </c>
      <c r="I21" s="100">
        <v>417837</v>
      </c>
      <c r="J21" s="100">
        <v>425315</v>
      </c>
      <c r="K21" s="100">
        <v>443145</v>
      </c>
      <c r="L21" s="100">
        <v>278986</v>
      </c>
      <c r="M21" s="100">
        <v>159250</v>
      </c>
      <c r="N21" s="100">
        <v>154840</v>
      </c>
      <c r="O21" s="100">
        <v>218496</v>
      </c>
      <c r="P21" s="100">
        <v>129467</v>
      </c>
      <c r="Q21" s="100">
        <v>79132</v>
      </c>
      <c r="R21" s="100">
        <v>143199</v>
      </c>
      <c r="S21" s="100">
        <v>46959</v>
      </c>
      <c r="T21" s="100">
        <v>245148</v>
      </c>
      <c r="U21" s="100">
        <v>200724.1</v>
      </c>
      <c r="V21" s="100">
        <v>428699.4</v>
      </c>
      <c r="W21" s="100">
        <v>408995.39999999997</v>
      </c>
      <c r="X21" s="100">
        <v>153199.6</v>
      </c>
      <c r="Y21" s="100">
        <v>85020.5</v>
      </c>
      <c r="Z21" s="100">
        <v>332713</v>
      </c>
      <c r="AA21" s="100">
        <v>315045.70000000007</v>
      </c>
      <c r="AB21" s="100">
        <v>121129.9</v>
      </c>
      <c r="AC21" s="100">
        <v>20000</v>
      </c>
      <c r="AD21" s="100">
        <v>239365.08000000002</v>
      </c>
      <c r="AE21" s="173"/>
      <c r="AG21" s="390"/>
      <c r="AH21" s="390"/>
      <c r="AI21" s="390"/>
    </row>
    <row r="22" spans="2:35">
      <c r="B22" s="42" t="str">
        <f>'2017 Determination - Revenue'!$B$35</f>
        <v>Namoi</v>
      </c>
      <c r="C22" s="37" t="str">
        <f t="shared" ref="C22:C33" si="3">C$20</f>
        <v>ML</v>
      </c>
      <c r="D22" s="37"/>
      <c r="E22" s="37"/>
      <c r="F22" s="100">
        <v>198965.3</v>
      </c>
      <c r="G22" s="100">
        <v>323274.03000000003</v>
      </c>
      <c r="H22" s="100">
        <v>216487.31</v>
      </c>
      <c r="I22" s="100">
        <v>246477.68</v>
      </c>
      <c r="J22" s="100">
        <v>248842.49</v>
      </c>
      <c r="K22" s="100">
        <v>280339.88</v>
      </c>
      <c r="L22" s="100">
        <v>236853.11</v>
      </c>
      <c r="M22" s="100">
        <v>80652.710000000006</v>
      </c>
      <c r="N22" s="100">
        <v>96650</v>
      </c>
      <c r="O22" s="100">
        <v>141325.29999999999</v>
      </c>
      <c r="P22" s="100">
        <v>66558.5</v>
      </c>
      <c r="Q22" s="100">
        <v>51211.6</v>
      </c>
      <c r="R22" s="100">
        <v>97482</v>
      </c>
      <c r="S22" s="100">
        <v>75152</v>
      </c>
      <c r="T22" s="100">
        <v>149958</v>
      </c>
      <c r="U22" s="100">
        <v>128271.7</v>
      </c>
      <c r="V22" s="100">
        <v>281246.7</v>
      </c>
      <c r="W22" s="100">
        <v>271541.50000000006</v>
      </c>
      <c r="X22" s="100">
        <v>66353.899999999994</v>
      </c>
      <c r="Y22" s="100">
        <v>38334.799999999996</v>
      </c>
      <c r="Z22" s="100">
        <v>213598</v>
      </c>
      <c r="AA22" s="100">
        <v>180155.6</v>
      </c>
      <c r="AB22" s="100">
        <v>47490.3</v>
      </c>
      <c r="AC22" s="100">
        <v>2000</v>
      </c>
      <c r="AD22" s="100">
        <v>149924.7885</v>
      </c>
      <c r="AE22" s="173"/>
      <c r="AG22" s="390"/>
      <c r="AH22" s="390"/>
      <c r="AI22" s="390"/>
    </row>
    <row r="23" spans="2:35">
      <c r="B23" s="42" t="str">
        <f>'2017 Determination - Revenue'!$B$36</f>
        <v>Peel</v>
      </c>
      <c r="C23" s="37" t="str">
        <f t="shared" si="3"/>
        <v>ML</v>
      </c>
      <c r="D23" s="37"/>
      <c r="E23" s="37"/>
      <c r="F23" s="100">
        <v>5641</v>
      </c>
      <c r="G23" s="100">
        <v>16020</v>
      </c>
      <c r="H23" s="100">
        <v>5561</v>
      </c>
      <c r="I23" s="100">
        <v>7309</v>
      </c>
      <c r="J23" s="100">
        <v>10241</v>
      </c>
      <c r="K23" s="100">
        <v>14671</v>
      </c>
      <c r="L23" s="100">
        <v>21805</v>
      </c>
      <c r="M23" s="100">
        <v>13325</v>
      </c>
      <c r="N23" s="100">
        <v>15165</v>
      </c>
      <c r="O23" s="100">
        <v>14753</v>
      </c>
      <c r="P23" s="100">
        <v>9718</v>
      </c>
      <c r="Q23" s="100">
        <v>9080</v>
      </c>
      <c r="R23" s="100">
        <v>10183</v>
      </c>
      <c r="S23" s="100">
        <v>17517</v>
      </c>
      <c r="T23" s="100">
        <v>6915</v>
      </c>
      <c r="U23" s="100">
        <v>4218.7</v>
      </c>
      <c r="V23" s="100">
        <v>13317.1</v>
      </c>
      <c r="W23" s="100">
        <v>17412.7</v>
      </c>
      <c r="X23" s="100">
        <v>6052.9000000000005</v>
      </c>
      <c r="Y23" s="100">
        <v>11011.499999999998</v>
      </c>
      <c r="Z23" s="100">
        <v>10365.900000000001</v>
      </c>
      <c r="AA23" s="100">
        <v>22083.99</v>
      </c>
      <c r="AB23" s="100">
        <v>18581.800000000003</v>
      </c>
      <c r="AC23" s="100">
        <v>6000</v>
      </c>
      <c r="AD23" s="100">
        <v>12686.329500000002</v>
      </c>
      <c r="AE23" s="173"/>
      <c r="AG23" s="390"/>
      <c r="AH23" s="390"/>
      <c r="AI23" s="390"/>
    </row>
    <row r="24" spans="2:35">
      <c r="B24" s="42" t="str">
        <f>'2017 Determination - Revenue'!$B$37</f>
        <v>Lachlan</v>
      </c>
      <c r="C24" s="37" t="str">
        <f t="shared" si="3"/>
        <v>ML</v>
      </c>
      <c r="D24" s="37"/>
      <c r="E24" s="37"/>
      <c r="F24" s="100">
        <v>436000</v>
      </c>
      <c r="G24" s="100">
        <v>414000</v>
      </c>
      <c r="H24" s="100">
        <v>278000</v>
      </c>
      <c r="I24" s="100">
        <v>285000</v>
      </c>
      <c r="J24" s="100">
        <v>407000</v>
      </c>
      <c r="K24" s="100">
        <v>439572.22</v>
      </c>
      <c r="L24" s="100">
        <v>237252.44</v>
      </c>
      <c r="M24" s="100">
        <v>43509.97</v>
      </c>
      <c r="N24" s="100">
        <v>21164.7</v>
      </c>
      <c r="O24" s="100">
        <v>112435.93</v>
      </c>
      <c r="P24" s="100">
        <v>57260.200000000004</v>
      </c>
      <c r="Q24" s="100">
        <v>30776.5</v>
      </c>
      <c r="R24" s="100">
        <v>27797.599999999999</v>
      </c>
      <c r="S24" s="100">
        <v>11786.7</v>
      </c>
      <c r="T24" s="100">
        <v>85698.8</v>
      </c>
      <c r="U24" s="100">
        <v>212768.7</v>
      </c>
      <c r="V24" s="100">
        <v>394082.4</v>
      </c>
      <c r="W24" s="100">
        <v>248401.7</v>
      </c>
      <c r="X24" s="100">
        <v>178283.19999999998</v>
      </c>
      <c r="Y24" s="100">
        <v>199222.9</v>
      </c>
      <c r="Z24" s="100">
        <v>206757.9</v>
      </c>
      <c r="AA24" s="100">
        <v>347405.69999999995</v>
      </c>
      <c r="AB24" s="100">
        <v>278111.3</v>
      </c>
      <c r="AC24" s="100">
        <v>144000</v>
      </c>
      <c r="AD24" s="100">
        <v>191214.44299999997</v>
      </c>
      <c r="AE24" s="173"/>
      <c r="AG24" s="390"/>
      <c r="AH24" s="390"/>
      <c r="AI24" s="390"/>
    </row>
    <row r="25" spans="2:35">
      <c r="B25" s="42" t="str">
        <f>'2017 Determination - Revenue'!$B$38</f>
        <v>Macquarie</v>
      </c>
      <c r="C25" s="37" t="str">
        <f t="shared" si="3"/>
        <v>ML</v>
      </c>
      <c r="D25" s="37"/>
      <c r="E25" s="37"/>
      <c r="F25" s="100">
        <v>348937</v>
      </c>
      <c r="G25" s="100">
        <v>403989</v>
      </c>
      <c r="H25" s="100">
        <v>336071</v>
      </c>
      <c r="I25" s="100">
        <v>385748</v>
      </c>
      <c r="J25" s="100">
        <v>464188</v>
      </c>
      <c r="K25" s="100">
        <v>545663.54</v>
      </c>
      <c r="L25" s="100">
        <v>375914.33</v>
      </c>
      <c r="M25" s="100">
        <v>174168.35</v>
      </c>
      <c r="N25" s="100">
        <v>63783.6</v>
      </c>
      <c r="O25" s="100">
        <v>180723</v>
      </c>
      <c r="P25" s="100">
        <v>204745</v>
      </c>
      <c r="Q25" s="100">
        <v>30867</v>
      </c>
      <c r="R25" s="100">
        <v>65439</v>
      </c>
      <c r="S25" s="100">
        <v>73820</v>
      </c>
      <c r="T25" s="100">
        <v>203146</v>
      </c>
      <c r="U25" s="100">
        <v>296617.90000000002</v>
      </c>
      <c r="V25" s="100">
        <v>558856.4</v>
      </c>
      <c r="W25" s="100">
        <v>268934.09999999998</v>
      </c>
      <c r="X25" s="100">
        <v>90827.299999999988</v>
      </c>
      <c r="Y25" s="100">
        <v>109532.90000000001</v>
      </c>
      <c r="Z25" s="100">
        <v>232194</v>
      </c>
      <c r="AA25" s="100">
        <v>399824.6</v>
      </c>
      <c r="AB25" s="100">
        <v>255839.3</v>
      </c>
      <c r="AC25" s="100">
        <v>30000</v>
      </c>
      <c r="AD25" s="100">
        <v>249041.61599999998</v>
      </c>
      <c r="AE25" s="173"/>
      <c r="AG25" s="390"/>
      <c r="AH25" s="390"/>
      <c r="AI25" s="390"/>
    </row>
    <row r="26" spans="2:35">
      <c r="B26" s="42" t="str">
        <f>'2017 Determination - Revenue'!$B$39</f>
        <v>Murray</v>
      </c>
      <c r="C26" s="37" t="str">
        <f t="shared" si="3"/>
        <v>ML</v>
      </c>
      <c r="D26" s="37"/>
      <c r="E26" s="37"/>
      <c r="F26" s="100">
        <v>2571846.7923076921</v>
      </c>
      <c r="G26" s="100">
        <v>2171575.7923076921</v>
      </c>
      <c r="H26" s="100">
        <v>2263389.7923076921</v>
      </c>
      <c r="I26" s="100">
        <v>1452484.7923076923</v>
      </c>
      <c r="J26" s="100">
        <v>2424464.7923076921</v>
      </c>
      <c r="K26" s="100">
        <v>2275610.7923076921</v>
      </c>
      <c r="L26" s="100">
        <v>1168771.7923076923</v>
      </c>
      <c r="M26" s="100">
        <v>1506283.7923076923</v>
      </c>
      <c r="N26" s="100">
        <v>1284123.7</v>
      </c>
      <c r="O26" s="100">
        <v>1692042.2</v>
      </c>
      <c r="P26" s="100">
        <v>602536.1</v>
      </c>
      <c r="Q26" s="100">
        <v>289197.3</v>
      </c>
      <c r="R26" s="100">
        <v>501322.4</v>
      </c>
      <c r="S26" s="100">
        <v>679952.1</v>
      </c>
      <c r="T26" s="100">
        <v>960984.60000000009</v>
      </c>
      <c r="U26" s="100">
        <v>1848920.7000000002</v>
      </c>
      <c r="V26" s="100">
        <v>2514563.6999999997</v>
      </c>
      <c r="W26" s="100">
        <v>2056232.1</v>
      </c>
      <c r="X26" s="100">
        <v>1764682.1</v>
      </c>
      <c r="Y26" s="100">
        <v>1103217.1000000001</v>
      </c>
      <c r="Z26" s="100">
        <v>1877178.8</v>
      </c>
      <c r="AA26" s="100">
        <v>1701381.0999999999</v>
      </c>
      <c r="AB26" s="100">
        <v>768313.29999999993</v>
      </c>
      <c r="AC26" s="100">
        <v>482000</v>
      </c>
      <c r="AD26" s="100">
        <v>1419324.9750000001</v>
      </c>
      <c r="AE26" s="173"/>
      <c r="AG26" s="390"/>
      <c r="AH26" s="390"/>
      <c r="AI26" s="390"/>
    </row>
    <row r="27" spans="2:35">
      <c r="B27" s="42" t="str">
        <f>'2017 Determination - Revenue'!$B$40</f>
        <v>Murrumbidgee</v>
      </c>
      <c r="C27" s="37" t="str">
        <f t="shared" si="3"/>
        <v>ML</v>
      </c>
      <c r="D27" s="37"/>
      <c r="E27" s="37"/>
      <c r="F27" s="100">
        <v>2685719.4076923076</v>
      </c>
      <c r="G27" s="100">
        <v>2516719.4076923076</v>
      </c>
      <c r="H27" s="100">
        <v>2193719.4076923076</v>
      </c>
      <c r="I27" s="100">
        <v>1787719.4076923076</v>
      </c>
      <c r="J27" s="100">
        <v>2272719.4076923076</v>
      </c>
      <c r="K27" s="100">
        <v>2328719.4076923076</v>
      </c>
      <c r="L27" s="100">
        <v>1804719.4076923076</v>
      </c>
      <c r="M27" s="100">
        <v>1729719.4076923076</v>
      </c>
      <c r="N27" s="100">
        <v>1534368.1</v>
      </c>
      <c r="O27" s="100">
        <v>1938642.7</v>
      </c>
      <c r="P27" s="100">
        <v>952257.7</v>
      </c>
      <c r="Q27" s="100">
        <v>566132.6</v>
      </c>
      <c r="R27" s="100">
        <v>929755.50000000012</v>
      </c>
      <c r="S27" s="100">
        <v>893689.5</v>
      </c>
      <c r="T27" s="100">
        <v>1364777.6</v>
      </c>
      <c r="U27" s="100">
        <v>1739421.3</v>
      </c>
      <c r="V27" s="100">
        <v>2353487.6</v>
      </c>
      <c r="W27" s="100">
        <v>1777486.6</v>
      </c>
      <c r="X27" s="100">
        <v>1883941.7999999998</v>
      </c>
      <c r="Y27" s="100">
        <v>1419128.5</v>
      </c>
      <c r="Z27" s="100">
        <v>1902516.4</v>
      </c>
      <c r="AA27" s="100">
        <v>1715237.9</v>
      </c>
      <c r="AB27" s="100">
        <v>1012155.8</v>
      </c>
      <c r="AC27" s="100">
        <v>710000</v>
      </c>
      <c r="AD27" s="100">
        <v>1593152.4283333332</v>
      </c>
      <c r="AE27" s="173"/>
      <c r="AG27" s="390"/>
      <c r="AH27" s="390"/>
      <c r="AI27" s="390"/>
    </row>
    <row r="28" spans="2:35">
      <c r="B28" s="42" t="str">
        <f>'2017 Determination - Revenue'!$B$41</f>
        <v>Lowbidgee</v>
      </c>
      <c r="C28" s="37" t="str">
        <f t="shared" si="3"/>
        <v>ML</v>
      </c>
      <c r="D28" s="37"/>
      <c r="E28" s="37"/>
      <c r="F28" s="100"/>
      <c r="G28" s="100"/>
      <c r="H28" s="100"/>
      <c r="I28" s="100"/>
      <c r="J28" s="100"/>
      <c r="K28" s="100"/>
      <c r="L28" s="100"/>
      <c r="M28" s="100"/>
      <c r="N28" s="100"/>
      <c r="O28" s="100"/>
      <c r="P28" s="100"/>
      <c r="Q28" s="100"/>
      <c r="R28" s="100"/>
      <c r="S28" s="100"/>
      <c r="T28" s="100"/>
      <c r="U28" s="100"/>
      <c r="V28" s="100">
        <v>92544</v>
      </c>
      <c r="W28" s="100">
        <v>8392</v>
      </c>
      <c r="X28" s="100">
        <v>82587</v>
      </c>
      <c r="Y28" s="100">
        <v>12840</v>
      </c>
      <c r="Z28" s="100">
        <v>59350</v>
      </c>
      <c r="AA28" s="100">
        <v>0</v>
      </c>
      <c r="AB28" s="100"/>
      <c r="AC28" s="100"/>
      <c r="AD28" s="100"/>
      <c r="AE28" s="173"/>
      <c r="AG28" s="390"/>
      <c r="AH28" s="390"/>
      <c r="AI28" s="390"/>
    </row>
    <row r="29" spans="2:35">
      <c r="B29" s="42"/>
      <c r="C29" s="37"/>
      <c r="D29" s="37"/>
      <c r="E29" s="37"/>
      <c r="F29" s="86"/>
      <c r="G29" s="86"/>
      <c r="H29" s="86"/>
      <c r="I29" s="86"/>
      <c r="J29" s="86"/>
      <c r="K29" s="86"/>
      <c r="L29" s="86"/>
      <c r="M29" s="86"/>
      <c r="N29" s="86"/>
      <c r="O29" s="86"/>
      <c r="P29" s="86"/>
      <c r="Q29" s="86"/>
      <c r="R29" s="86"/>
      <c r="S29" s="86"/>
      <c r="T29" s="86"/>
      <c r="U29" s="86"/>
      <c r="V29" s="86"/>
      <c r="W29" s="86"/>
      <c r="X29" s="86"/>
      <c r="Y29" s="86"/>
      <c r="Z29" s="86"/>
      <c r="AA29" s="86"/>
      <c r="AB29" s="86"/>
      <c r="AC29" s="87"/>
      <c r="AD29" s="87"/>
      <c r="AE29" s="91"/>
      <c r="AG29" s="193"/>
      <c r="AH29" s="193"/>
      <c r="AI29" s="193"/>
    </row>
    <row r="30" spans="2:35" ht="12">
      <c r="B30" s="48" t="s">
        <v>40</v>
      </c>
      <c r="C30" s="37"/>
      <c r="D30" s="37"/>
      <c r="E30" s="37"/>
      <c r="F30" s="104" t="s">
        <v>152</v>
      </c>
      <c r="G30" s="101"/>
      <c r="H30" s="101"/>
      <c r="I30" s="101"/>
      <c r="J30" s="101"/>
      <c r="K30" s="101"/>
      <c r="L30" s="101"/>
      <c r="M30" s="101"/>
      <c r="N30" s="101"/>
      <c r="O30" s="101"/>
      <c r="P30" s="101"/>
      <c r="Q30" s="101"/>
      <c r="R30" s="101"/>
      <c r="S30" s="101"/>
      <c r="T30" s="101"/>
      <c r="U30" s="101"/>
      <c r="V30" s="101"/>
      <c r="W30" s="101"/>
      <c r="X30" s="101"/>
      <c r="Y30" s="101"/>
      <c r="Z30" s="101"/>
      <c r="AA30" s="101"/>
      <c r="AB30" s="101"/>
      <c r="AC30" s="87"/>
      <c r="AD30" s="87"/>
      <c r="AE30" s="91"/>
      <c r="AG30" s="193"/>
      <c r="AH30" s="193"/>
      <c r="AI30" s="193"/>
    </row>
    <row r="31" spans="2:35" ht="12" customHeight="1">
      <c r="B31" s="28" t="s">
        <v>44</v>
      </c>
      <c r="C31" s="27" t="s">
        <v>119</v>
      </c>
      <c r="D31" s="37"/>
      <c r="E31" s="37"/>
      <c r="F31" s="101"/>
      <c r="G31" s="101"/>
      <c r="H31" s="101"/>
      <c r="I31" s="101"/>
      <c r="J31" s="100">
        <v>2466600</v>
      </c>
      <c r="K31" s="100">
        <v>3215700</v>
      </c>
      <c r="L31" s="100">
        <v>2318514</v>
      </c>
      <c r="M31" s="100">
        <v>571786</v>
      </c>
      <c r="N31" s="100">
        <v>1496500</v>
      </c>
      <c r="O31" s="100">
        <v>962500</v>
      </c>
      <c r="P31" s="100">
        <v>2726200</v>
      </c>
      <c r="Q31" s="100">
        <v>1291700</v>
      </c>
      <c r="R31" s="100">
        <v>630600</v>
      </c>
      <c r="S31" s="100">
        <v>394900</v>
      </c>
      <c r="T31" s="100">
        <v>2046800</v>
      </c>
      <c r="U31" s="100">
        <v>612100</v>
      </c>
      <c r="V31" s="100">
        <v>1336800</v>
      </c>
      <c r="W31" s="100">
        <v>1643600</v>
      </c>
      <c r="X31" s="100">
        <v>755130</v>
      </c>
      <c r="Y31" s="100">
        <v>2179600</v>
      </c>
      <c r="Z31" s="100">
        <v>1539580</v>
      </c>
      <c r="AA31" s="100">
        <v>5512622</v>
      </c>
      <c r="AB31" s="100">
        <v>4090029</v>
      </c>
      <c r="AC31" s="100">
        <v>773555</v>
      </c>
      <c r="AD31" s="100">
        <v>1883749.4210526317</v>
      </c>
      <c r="AE31" s="91"/>
      <c r="AG31" s="390"/>
      <c r="AH31" s="390"/>
      <c r="AI31" s="390"/>
    </row>
    <row r="32" spans="2:35" s="106" customFormat="1" ht="12" customHeight="1">
      <c r="B32" s="28" t="s">
        <v>53</v>
      </c>
      <c r="C32" s="37" t="str">
        <f t="shared" si="3"/>
        <v>ML</v>
      </c>
      <c r="D32" s="37"/>
      <c r="E32" s="37"/>
      <c r="F32" s="100">
        <v>72</v>
      </c>
      <c r="G32" s="100">
        <v>54</v>
      </c>
      <c r="H32" s="100">
        <v>48</v>
      </c>
      <c r="I32" s="100">
        <v>50</v>
      </c>
      <c r="J32" s="100">
        <v>50</v>
      </c>
      <c r="K32" s="100">
        <v>50</v>
      </c>
      <c r="L32" s="100">
        <v>66</v>
      </c>
      <c r="M32" s="100">
        <v>60</v>
      </c>
      <c r="N32" s="100">
        <v>45</v>
      </c>
      <c r="O32" s="100">
        <v>64</v>
      </c>
      <c r="P32" s="100">
        <v>47</v>
      </c>
      <c r="Q32" s="100">
        <v>40</v>
      </c>
      <c r="R32" s="100">
        <v>42</v>
      </c>
      <c r="S32" s="100">
        <v>40</v>
      </c>
      <c r="T32" s="100">
        <v>30</v>
      </c>
      <c r="U32" s="100">
        <v>36</v>
      </c>
      <c r="V32" s="100">
        <v>41</v>
      </c>
      <c r="W32" s="100">
        <v>54</v>
      </c>
      <c r="X32" s="100">
        <v>65</v>
      </c>
      <c r="Y32" s="100">
        <v>51.097000000000001</v>
      </c>
      <c r="Z32" s="100">
        <v>70.8</v>
      </c>
      <c r="AA32" s="100">
        <v>56.5</v>
      </c>
      <c r="AB32" s="100">
        <v>61.56</v>
      </c>
      <c r="AC32" s="100">
        <v>31.396000000000001</v>
      </c>
      <c r="AD32" s="100">
        <v>50.997849999999993</v>
      </c>
      <c r="AE32" s="91"/>
      <c r="AF32" s="33"/>
      <c r="AG32" s="390"/>
      <c r="AH32" s="390"/>
      <c r="AI32" s="390"/>
    </row>
    <row r="33" spans="1:35">
      <c r="B33" s="28" t="s">
        <v>58</v>
      </c>
      <c r="C33" s="37" t="str">
        <f t="shared" si="3"/>
        <v>ML</v>
      </c>
      <c r="D33" s="37"/>
      <c r="E33" s="37"/>
      <c r="F33" s="100">
        <v>186</v>
      </c>
      <c r="G33" s="100">
        <v>138</v>
      </c>
      <c r="H33" s="100">
        <v>123</v>
      </c>
      <c r="I33" s="100">
        <v>129</v>
      </c>
      <c r="J33" s="100">
        <v>129</v>
      </c>
      <c r="K33" s="100">
        <v>129</v>
      </c>
      <c r="L33" s="100">
        <v>170</v>
      </c>
      <c r="M33" s="100">
        <v>155</v>
      </c>
      <c r="N33" s="100">
        <v>116</v>
      </c>
      <c r="O33" s="100">
        <v>164</v>
      </c>
      <c r="P33" s="100">
        <v>112</v>
      </c>
      <c r="Q33" s="100">
        <v>110</v>
      </c>
      <c r="R33" s="100">
        <v>104</v>
      </c>
      <c r="S33" s="100">
        <v>88</v>
      </c>
      <c r="T33" s="100">
        <v>97</v>
      </c>
      <c r="U33" s="100">
        <v>92</v>
      </c>
      <c r="V33" s="100">
        <v>65</v>
      </c>
      <c r="W33" s="100">
        <v>66</v>
      </c>
      <c r="X33" s="100">
        <v>80</v>
      </c>
      <c r="Y33" s="100">
        <v>73.823999999999998</v>
      </c>
      <c r="Z33" s="100">
        <v>65.659000000000006</v>
      </c>
      <c r="AA33" s="100">
        <v>65.659000000000006</v>
      </c>
      <c r="AB33" s="100">
        <v>82.213999999999999</v>
      </c>
      <c r="AC33" s="100">
        <v>46.064</v>
      </c>
      <c r="AD33" s="100">
        <v>105.14985000000001</v>
      </c>
      <c r="AE33" s="91"/>
      <c r="AG33" s="390"/>
      <c r="AH33" s="390"/>
      <c r="AI33" s="390"/>
    </row>
    <row r="34" spans="1:35">
      <c r="B34" s="44"/>
      <c r="C34" s="35"/>
      <c r="D34" s="35"/>
      <c r="E34" s="35"/>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4"/>
      <c r="AG34" s="193"/>
      <c r="AH34" s="193"/>
      <c r="AI34" s="193"/>
    </row>
    <row r="35" spans="1:35">
      <c r="A35" s="37"/>
      <c r="B35" s="37"/>
      <c r="C35" s="37"/>
      <c r="D35" s="37"/>
      <c r="E35" s="37"/>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G35" s="193"/>
      <c r="AH35" s="193"/>
      <c r="AI35" s="193"/>
    </row>
    <row r="36" spans="1:35" s="106" customFormat="1">
      <c r="A36" s="37"/>
      <c r="B36" s="37"/>
      <c r="C36" s="37"/>
      <c r="D36" s="37"/>
      <c r="E36" s="37"/>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33"/>
      <c r="AG36" s="193"/>
      <c r="AH36" s="193"/>
      <c r="AI36" s="193"/>
    </row>
    <row r="37" spans="1:35">
      <c r="A37" s="37"/>
      <c r="B37" s="32" t="s">
        <v>62</v>
      </c>
      <c r="C37" s="37"/>
      <c r="D37" s="37"/>
      <c r="E37" s="37"/>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G37" s="193"/>
      <c r="AH37" s="193"/>
      <c r="AI37" s="193"/>
    </row>
    <row r="38" spans="1:35">
      <c r="B38" s="61" t="str">
        <f>'2017 Determination - Revenue'!B$16</f>
        <v>Financial year</v>
      </c>
      <c r="C38" s="40" t="str">
        <f>'2017 Determination - Revenue'!C$28</f>
        <v>Units</v>
      </c>
      <c r="D38" s="40"/>
      <c r="E38" s="40"/>
      <c r="F38" s="122" t="str">
        <f t="shared" ref="F38:Z38" si="4">F$16</f>
        <v>1996-97</v>
      </c>
      <c r="G38" s="122" t="str">
        <f t="shared" si="4"/>
        <v>1997-98</v>
      </c>
      <c r="H38" s="122" t="str">
        <f t="shared" si="4"/>
        <v>1998-99</v>
      </c>
      <c r="I38" s="122" t="str">
        <f t="shared" si="4"/>
        <v>1999-00</v>
      </c>
      <c r="J38" s="122" t="str">
        <f t="shared" si="4"/>
        <v>2000-01</v>
      </c>
      <c r="K38" s="122" t="str">
        <f t="shared" si="4"/>
        <v>2001-02</v>
      </c>
      <c r="L38" s="122" t="str">
        <f t="shared" si="4"/>
        <v>2002-03</v>
      </c>
      <c r="M38" s="122" t="str">
        <f t="shared" si="4"/>
        <v>2003-04</v>
      </c>
      <c r="N38" s="122" t="str">
        <f t="shared" si="4"/>
        <v>2004-05</v>
      </c>
      <c r="O38" s="122" t="str">
        <f t="shared" si="4"/>
        <v>2005-06</v>
      </c>
      <c r="P38" s="122" t="str">
        <f t="shared" si="4"/>
        <v>2006-07</v>
      </c>
      <c r="Q38" s="122" t="str">
        <f t="shared" si="4"/>
        <v>2007-08</v>
      </c>
      <c r="R38" s="122" t="str">
        <f t="shared" si="4"/>
        <v>2008-09</v>
      </c>
      <c r="S38" s="122" t="str">
        <f t="shared" si="4"/>
        <v>2009-10</v>
      </c>
      <c r="T38" s="122" t="str">
        <f t="shared" si="4"/>
        <v>2010-11</v>
      </c>
      <c r="U38" s="122" t="str">
        <f t="shared" si="4"/>
        <v>2011-12</v>
      </c>
      <c r="V38" s="122" t="str">
        <f t="shared" si="4"/>
        <v>2012-13</v>
      </c>
      <c r="W38" s="122" t="str">
        <f t="shared" si="4"/>
        <v>2013-14</v>
      </c>
      <c r="X38" s="122" t="str">
        <f t="shared" si="4"/>
        <v>2014-15</v>
      </c>
      <c r="Y38" s="122" t="str">
        <f t="shared" si="4"/>
        <v>2015-16</v>
      </c>
      <c r="Z38" s="122" t="str">
        <f t="shared" si="4"/>
        <v>2016-17</v>
      </c>
      <c r="AA38" s="122" t="str">
        <f>AA$16</f>
        <v>2017-18</v>
      </c>
      <c r="AB38" s="122" t="str">
        <f>AB$16</f>
        <v>2018-19</v>
      </c>
      <c r="AC38" s="122" t="str">
        <f>AC$16</f>
        <v>2019-20</v>
      </c>
      <c r="AD38" s="122" t="str">
        <f>AD$16</f>
        <v>2020-21</v>
      </c>
      <c r="AE38" s="122"/>
      <c r="AG38" s="193"/>
      <c r="AH38" s="193"/>
      <c r="AI38" s="193"/>
    </row>
    <row r="39" spans="1:35">
      <c r="B39" s="48"/>
      <c r="C39" s="37"/>
      <c r="D39" s="37"/>
      <c r="E39" s="37"/>
      <c r="F39" s="138" t="str">
        <f t="shared" ref="F39:AD39" si="5">F$17</f>
        <v>Actual</v>
      </c>
      <c r="G39" s="138" t="str">
        <f t="shared" si="5"/>
        <v>Actual</v>
      </c>
      <c r="H39" s="138" t="str">
        <f t="shared" si="5"/>
        <v>Actual</v>
      </c>
      <c r="I39" s="138" t="str">
        <f t="shared" si="5"/>
        <v>Actual</v>
      </c>
      <c r="J39" s="138" t="str">
        <f t="shared" si="5"/>
        <v>Actual</v>
      </c>
      <c r="K39" s="138" t="str">
        <f t="shared" si="5"/>
        <v>Actual</v>
      </c>
      <c r="L39" s="138" t="str">
        <f t="shared" si="5"/>
        <v>Actual</v>
      </c>
      <c r="M39" s="138" t="str">
        <f t="shared" si="5"/>
        <v>Actual</v>
      </c>
      <c r="N39" s="138" t="str">
        <f t="shared" si="5"/>
        <v>Actual</v>
      </c>
      <c r="O39" s="138" t="str">
        <f t="shared" si="5"/>
        <v>Actual</v>
      </c>
      <c r="P39" s="138" t="str">
        <f t="shared" si="5"/>
        <v>Actual</v>
      </c>
      <c r="Q39" s="138" t="str">
        <f t="shared" si="5"/>
        <v>Actual</v>
      </c>
      <c r="R39" s="138" t="str">
        <f t="shared" si="5"/>
        <v>Actual</v>
      </c>
      <c r="S39" s="138" t="str">
        <f t="shared" si="5"/>
        <v>Actual</v>
      </c>
      <c r="T39" s="138" t="str">
        <f t="shared" si="5"/>
        <v>Actual</v>
      </c>
      <c r="U39" s="138" t="str">
        <f t="shared" si="5"/>
        <v>Actual</v>
      </c>
      <c r="V39" s="138" t="str">
        <f t="shared" si="5"/>
        <v>Actual</v>
      </c>
      <c r="W39" s="138" t="str">
        <f t="shared" si="5"/>
        <v>Actual</v>
      </c>
      <c r="X39" s="138" t="str">
        <f t="shared" si="5"/>
        <v>Actual</v>
      </c>
      <c r="Y39" s="138" t="str">
        <f t="shared" si="5"/>
        <v>Actual</v>
      </c>
      <c r="Z39" s="138" t="str">
        <f t="shared" si="5"/>
        <v>Actual</v>
      </c>
      <c r="AA39" s="138" t="str">
        <f t="shared" si="5"/>
        <v>Actual</v>
      </c>
      <c r="AB39" s="138" t="str">
        <f t="shared" si="5"/>
        <v>Actual</v>
      </c>
      <c r="AC39" s="138" t="str">
        <f t="shared" si="5"/>
        <v>Estimate</v>
      </c>
      <c r="AD39" s="138" t="str">
        <f t="shared" si="5"/>
        <v>Forecast</v>
      </c>
      <c r="AE39" s="138"/>
      <c r="AG39" s="193"/>
      <c r="AH39" s="193"/>
      <c r="AI39" s="193"/>
    </row>
    <row r="40" spans="1:35" ht="12">
      <c r="B40" s="48" t="s">
        <v>30</v>
      </c>
      <c r="C40" s="37"/>
      <c r="D40" s="37"/>
      <c r="E40" s="37"/>
      <c r="F40" s="86"/>
      <c r="G40" s="86"/>
      <c r="H40" s="86"/>
      <c r="I40" s="86"/>
      <c r="J40" s="86"/>
      <c r="K40" s="86"/>
      <c r="L40" s="86"/>
      <c r="M40" s="86"/>
      <c r="N40" s="86"/>
      <c r="O40" s="86"/>
      <c r="P40" s="86"/>
      <c r="Q40" s="86"/>
      <c r="R40" s="86"/>
      <c r="S40" s="86"/>
      <c r="T40" s="86"/>
      <c r="U40" s="86"/>
      <c r="V40" s="86"/>
      <c r="W40" s="86"/>
      <c r="X40" s="86"/>
      <c r="Y40" s="101"/>
      <c r="Z40" s="96"/>
      <c r="AA40" s="86"/>
      <c r="AB40" s="86"/>
      <c r="AC40" s="87"/>
      <c r="AD40" s="87"/>
      <c r="AE40" s="91"/>
      <c r="AG40" s="193"/>
      <c r="AH40" s="193"/>
      <c r="AI40" s="193"/>
    </row>
    <row r="41" spans="1:35" ht="12" customHeight="1">
      <c r="B41" s="42" t="str">
        <f>'2017 Determination - Revenue'!$B$33</f>
        <v>Border</v>
      </c>
      <c r="C41" s="37" t="str">
        <f t="shared" ref="C41:C49" si="6">C$20</f>
        <v>ML</v>
      </c>
      <c r="D41" s="37"/>
      <c r="E41" s="37"/>
      <c r="F41" s="100"/>
      <c r="G41" s="100"/>
      <c r="H41" s="100"/>
      <c r="I41" s="100"/>
      <c r="J41" s="100"/>
      <c r="K41" s="100"/>
      <c r="L41" s="100"/>
      <c r="M41" s="100"/>
      <c r="N41" s="100"/>
      <c r="O41" s="100"/>
      <c r="P41" s="100"/>
      <c r="Q41" s="100"/>
      <c r="R41" s="100"/>
      <c r="S41" s="100"/>
      <c r="T41" s="100"/>
      <c r="U41" s="100"/>
      <c r="V41" s="100"/>
      <c r="W41" s="100"/>
      <c r="X41" s="100">
        <v>263238</v>
      </c>
      <c r="Y41" s="100">
        <v>263238</v>
      </c>
      <c r="Z41" s="100">
        <v>263218</v>
      </c>
      <c r="AA41" s="100">
        <v>263281</v>
      </c>
      <c r="AB41" s="100">
        <v>263218</v>
      </c>
      <c r="AC41" s="100">
        <v>263218</v>
      </c>
      <c r="AD41" s="100">
        <v>263218</v>
      </c>
      <c r="AE41" s="91"/>
      <c r="AG41" s="390"/>
      <c r="AH41" s="390"/>
      <c r="AI41" s="390"/>
    </row>
    <row r="42" spans="1:35">
      <c r="B42" s="42" t="str">
        <f>'2017 Determination - Revenue'!$B$34</f>
        <v>Gwydir</v>
      </c>
      <c r="C42" s="37" t="str">
        <f t="shared" si="6"/>
        <v>ML</v>
      </c>
      <c r="D42" s="37"/>
      <c r="E42" s="37"/>
      <c r="F42" s="100"/>
      <c r="G42" s="100"/>
      <c r="H42" s="100"/>
      <c r="I42" s="100"/>
      <c r="J42" s="100"/>
      <c r="K42" s="100"/>
      <c r="L42" s="100"/>
      <c r="M42" s="100"/>
      <c r="N42" s="100"/>
      <c r="O42" s="100"/>
      <c r="P42" s="100"/>
      <c r="Q42" s="100"/>
      <c r="R42" s="100"/>
      <c r="S42" s="100"/>
      <c r="T42" s="100"/>
      <c r="U42" s="100"/>
      <c r="V42" s="100"/>
      <c r="W42" s="100"/>
      <c r="X42" s="100">
        <v>509665</v>
      </c>
      <c r="Y42" s="100">
        <v>509665</v>
      </c>
      <c r="Z42" s="100">
        <v>509665</v>
      </c>
      <c r="AA42" s="100">
        <v>509665</v>
      </c>
      <c r="AB42" s="100">
        <v>509665</v>
      </c>
      <c r="AC42" s="100">
        <v>509665</v>
      </c>
      <c r="AD42" s="100">
        <v>509665</v>
      </c>
      <c r="AE42" s="91"/>
      <c r="AG42" s="390"/>
      <c r="AH42" s="390"/>
      <c r="AI42" s="390"/>
    </row>
    <row r="43" spans="1:35">
      <c r="B43" s="42" t="str">
        <f>'2017 Determination - Revenue'!$B$35</f>
        <v>Namoi</v>
      </c>
      <c r="C43" s="37" t="str">
        <f t="shared" si="6"/>
        <v>ML</v>
      </c>
      <c r="D43" s="37"/>
      <c r="E43" s="37"/>
      <c r="F43" s="100"/>
      <c r="G43" s="100"/>
      <c r="H43" s="100"/>
      <c r="I43" s="100"/>
      <c r="J43" s="100"/>
      <c r="K43" s="100"/>
      <c r="L43" s="100"/>
      <c r="M43" s="100"/>
      <c r="N43" s="100"/>
      <c r="O43" s="100"/>
      <c r="P43" s="100"/>
      <c r="Q43" s="100"/>
      <c r="R43" s="100"/>
      <c r="S43" s="100"/>
      <c r="T43" s="100"/>
      <c r="U43" s="100"/>
      <c r="V43" s="100"/>
      <c r="W43" s="100"/>
      <c r="X43" s="100">
        <v>256211.5</v>
      </c>
      <c r="Y43" s="100">
        <v>256211.5</v>
      </c>
      <c r="Z43" s="100">
        <v>256211.5</v>
      </c>
      <c r="AA43" s="100">
        <v>256528.7</v>
      </c>
      <c r="AB43" s="100">
        <v>256529</v>
      </c>
      <c r="AC43" s="100">
        <v>256529</v>
      </c>
      <c r="AD43" s="100">
        <v>256529</v>
      </c>
      <c r="AE43" s="91"/>
      <c r="AG43" s="390"/>
      <c r="AH43" s="390"/>
      <c r="AI43" s="390"/>
    </row>
    <row r="44" spans="1:35">
      <c r="B44" s="42" t="str">
        <f>'2017 Determination - Revenue'!$B$36</f>
        <v>Peel</v>
      </c>
      <c r="C44" s="37" t="str">
        <f t="shared" si="6"/>
        <v>ML</v>
      </c>
      <c r="D44" s="37"/>
      <c r="E44" s="37"/>
      <c r="F44" s="100"/>
      <c r="G44" s="100"/>
      <c r="H44" s="100"/>
      <c r="I44" s="100"/>
      <c r="J44" s="100"/>
      <c r="K44" s="100"/>
      <c r="L44" s="100"/>
      <c r="M44" s="100"/>
      <c r="N44" s="100"/>
      <c r="O44" s="100"/>
      <c r="P44" s="100"/>
      <c r="Q44" s="100"/>
      <c r="R44" s="100"/>
      <c r="S44" s="100"/>
      <c r="T44" s="100"/>
      <c r="U44" s="100"/>
      <c r="V44" s="100"/>
      <c r="W44" s="100"/>
      <c r="X44" s="100">
        <v>30428</v>
      </c>
      <c r="Y44" s="100">
        <v>30428</v>
      </c>
      <c r="Z44" s="100">
        <v>30428</v>
      </c>
      <c r="AA44" s="100">
        <v>29635</v>
      </c>
      <c r="AB44" s="100">
        <v>29635</v>
      </c>
      <c r="AC44" s="100">
        <v>29635</v>
      </c>
      <c r="AD44" s="100">
        <v>29635</v>
      </c>
      <c r="AE44" s="91"/>
      <c r="AG44" s="390"/>
      <c r="AH44" s="390"/>
      <c r="AI44" s="390"/>
    </row>
    <row r="45" spans="1:35">
      <c r="B45" s="42" t="str">
        <f>'2017 Determination - Revenue'!$B$37</f>
        <v>Lachlan</v>
      </c>
      <c r="C45" s="37" t="str">
        <f t="shared" si="6"/>
        <v>ML</v>
      </c>
      <c r="D45" s="37"/>
      <c r="E45" s="37"/>
      <c r="F45" s="100"/>
      <c r="G45" s="100"/>
      <c r="H45" s="100"/>
      <c r="I45" s="100"/>
      <c r="J45" s="100"/>
      <c r="K45" s="100"/>
      <c r="L45" s="100"/>
      <c r="M45" s="100"/>
      <c r="N45" s="100"/>
      <c r="O45" s="100"/>
      <c r="P45" s="100"/>
      <c r="Q45" s="100"/>
      <c r="R45" s="100"/>
      <c r="S45" s="100"/>
      <c r="T45" s="100"/>
      <c r="U45" s="100"/>
      <c r="V45" s="100"/>
      <c r="W45" s="100"/>
      <c r="X45" s="100">
        <v>633346.39999999991</v>
      </c>
      <c r="Y45" s="100">
        <v>633166.39999999991</v>
      </c>
      <c r="Z45" s="100">
        <v>633166.4</v>
      </c>
      <c r="AA45" s="100">
        <v>633166.4</v>
      </c>
      <c r="AB45" s="100">
        <v>633166</v>
      </c>
      <c r="AC45" s="100">
        <v>633166</v>
      </c>
      <c r="AD45" s="100">
        <v>633166</v>
      </c>
      <c r="AE45" s="91"/>
      <c r="AG45" s="390"/>
      <c r="AH45" s="390"/>
      <c r="AI45" s="390"/>
    </row>
    <row r="46" spans="1:35">
      <c r="B46" s="42" t="str">
        <f>'2017 Determination - Revenue'!$B$38</f>
        <v>Macquarie</v>
      </c>
      <c r="C46" s="37" t="str">
        <f t="shared" si="6"/>
        <v>ML</v>
      </c>
      <c r="D46" s="37"/>
      <c r="E46" s="37"/>
      <c r="F46" s="100"/>
      <c r="G46" s="100"/>
      <c r="H46" s="100"/>
      <c r="I46" s="100"/>
      <c r="J46" s="100"/>
      <c r="K46" s="100"/>
      <c r="L46" s="100"/>
      <c r="M46" s="100"/>
      <c r="N46" s="100"/>
      <c r="O46" s="100"/>
      <c r="P46" s="100"/>
      <c r="Q46" s="100"/>
      <c r="R46" s="100"/>
      <c r="S46" s="100"/>
      <c r="T46" s="100"/>
      <c r="U46" s="100"/>
      <c r="V46" s="100"/>
      <c r="W46" s="100"/>
      <c r="X46" s="100">
        <v>632466</v>
      </c>
      <c r="Y46" s="100">
        <v>632466.10000000009</v>
      </c>
      <c r="Z46" s="100">
        <v>632466.1</v>
      </c>
      <c r="AA46" s="100">
        <v>632466.1</v>
      </c>
      <c r="AB46" s="100">
        <v>632466</v>
      </c>
      <c r="AC46" s="100">
        <v>632466</v>
      </c>
      <c r="AD46" s="100">
        <v>632466</v>
      </c>
      <c r="AE46" s="91"/>
      <c r="AG46" s="390"/>
      <c r="AH46" s="390"/>
      <c r="AI46" s="390"/>
    </row>
    <row r="47" spans="1:35">
      <c r="B47" s="42" t="str">
        <f>'2017 Determination - Revenue'!$B$39</f>
        <v>Murray</v>
      </c>
      <c r="C47" s="37" t="str">
        <f t="shared" si="6"/>
        <v>ML</v>
      </c>
      <c r="D47" s="37"/>
      <c r="E47" s="37"/>
      <c r="F47" s="100"/>
      <c r="G47" s="100"/>
      <c r="H47" s="100"/>
      <c r="I47" s="100"/>
      <c r="J47" s="100"/>
      <c r="K47" s="100"/>
      <c r="L47" s="100"/>
      <c r="M47" s="100"/>
      <c r="N47" s="100"/>
      <c r="O47" s="100"/>
      <c r="P47" s="100"/>
      <c r="Q47" s="100"/>
      <c r="R47" s="100"/>
      <c r="S47" s="100"/>
      <c r="T47" s="100"/>
      <c r="U47" s="100"/>
      <c r="V47" s="100"/>
      <c r="W47" s="100"/>
      <c r="X47" s="100">
        <v>2081289.0999999999</v>
      </c>
      <c r="Y47" s="100">
        <v>2083271.0999999999</v>
      </c>
      <c r="Z47" s="100">
        <v>2083271.1</v>
      </c>
      <c r="AA47" s="100">
        <v>2083271.1</v>
      </c>
      <c r="AB47" s="100">
        <v>2083603</v>
      </c>
      <c r="AC47" s="100">
        <v>2083603</v>
      </c>
      <c r="AD47" s="100">
        <v>2083603</v>
      </c>
      <c r="AE47" s="91"/>
      <c r="AG47" s="390"/>
      <c r="AH47" s="390"/>
      <c r="AI47" s="390"/>
    </row>
    <row r="48" spans="1:35">
      <c r="B48" s="42" t="str">
        <f>'2017 Determination - Revenue'!$B$40</f>
        <v>Murrumbidgee</v>
      </c>
      <c r="C48" s="37" t="str">
        <f t="shared" si="6"/>
        <v>ML</v>
      </c>
      <c r="D48" s="37"/>
      <c r="E48" s="37"/>
      <c r="F48" s="100"/>
      <c r="G48" s="100"/>
      <c r="H48" s="100"/>
      <c r="I48" s="100"/>
      <c r="J48" s="100"/>
      <c r="K48" s="100"/>
      <c r="L48" s="100"/>
      <c r="M48" s="100"/>
      <c r="N48" s="100"/>
      <c r="O48" s="100"/>
      <c r="P48" s="100"/>
      <c r="Q48" s="100"/>
      <c r="R48" s="100"/>
      <c r="S48" s="100"/>
      <c r="T48" s="100"/>
      <c r="U48" s="100"/>
      <c r="V48" s="100"/>
      <c r="W48" s="100"/>
      <c r="X48" s="100">
        <v>2267962.6</v>
      </c>
      <c r="Y48" s="100">
        <v>2267962.6000000006</v>
      </c>
      <c r="Z48" s="100">
        <v>2267962.6</v>
      </c>
      <c r="AA48" s="100">
        <v>2267962.6</v>
      </c>
      <c r="AB48" s="100">
        <v>2267963</v>
      </c>
      <c r="AC48" s="100">
        <v>2267963</v>
      </c>
      <c r="AD48" s="100">
        <v>2267963</v>
      </c>
      <c r="AE48" s="91"/>
      <c r="AG48" s="390"/>
      <c r="AH48" s="390"/>
      <c r="AI48" s="390"/>
    </row>
    <row r="49" spans="2:35">
      <c r="B49" s="42" t="str">
        <f>'2017 Determination - Revenue'!$B$41</f>
        <v>Lowbidgee</v>
      </c>
      <c r="C49" s="37" t="str">
        <f t="shared" si="6"/>
        <v>ML</v>
      </c>
      <c r="D49" s="37"/>
      <c r="E49" s="37"/>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91"/>
      <c r="AG49" s="390"/>
      <c r="AH49" s="390"/>
      <c r="AI49" s="390"/>
    </row>
    <row r="50" spans="2:35">
      <c r="B50" s="42"/>
      <c r="C50" s="37"/>
      <c r="D50" s="37"/>
      <c r="E50" s="37"/>
      <c r="F50" s="86"/>
      <c r="G50" s="86"/>
      <c r="H50" s="86"/>
      <c r="I50" s="86"/>
      <c r="J50" s="86"/>
      <c r="K50" s="86"/>
      <c r="L50" s="86"/>
      <c r="M50" s="86"/>
      <c r="N50" s="86"/>
      <c r="O50" s="86"/>
      <c r="P50" s="86"/>
      <c r="Q50" s="86"/>
      <c r="R50" s="86"/>
      <c r="S50" s="86"/>
      <c r="T50" s="86"/>
      <c r="U50" s="86"/>
      <c r="V50" s="86"/>
      <c r="W50" s="86"/>
      <c r="X50" s="86"/>
      <c r="Y50" s="101"/>
      <c r="Z50" s="86"/>
      <c r="AA50" s="86"/>
      <c r="AB50" s="86"/>
      <c r="AC50" s="86"/>
      <c r="AD50" s="86"/>
      <c r="AE50" s="91"/>
      <c r="AG50" s="193"/>
      <c r="AH50" s="193"/>
      <c r="AI50" s="193"/>
    </row>
    <row r="51" spans="2:35" ht="12">
      <c r="B51" s="48" t="s">
        <v>31</v>
      </c>
      <c r="C51" s="37"/>
      <c r="D51" s="37"/>
      <c r="E51" s="37"/>
      <c r="F51" s="86"/>
      <c r="G51" s="86"/>
      <c r="H51" s="86"/>
      <c r="I51" s="86"/>
      <c r="J51" s="86"/>
      <c r="K51" s="86"/>
      <c r="L51" s="86"/>
      <c r="M51" s="86"/>
      <c r="N51" s="86"/>
      <c r="O51" s="86"/>
      <c r="P51" s="86"/>
      <c r="Q51" s="86"/>
      <c r="R51" s="86"/>
      <c r="S51" s="86"/>
      <c r="T51" s="86"/>
      <c r="U51" s="86"/>
      <c r="V51" s="86"/>
      <c r="W51" s="86"/>
      <c r="X51" s="86"/>
      <c r="Y51" s="101"/>
      <c r="Z51" s="96"/>
      <c r="AA51" s="86"/>
      <c r="AB51" s="86"/>
      <c r="AC51" s="86"/>
      <c r="AD51" s="86"/>
      <c r="AE51" s="91"/>
      <c r="AG51" s="193"/>
      <c r="AH51" s="193"/>
      <c r="AI51" s="193"/>
    </row>
    <row r="52" spans="2:35" ht="12" customHeight="1">
      <c r="B52" s="42" t="str">
        <f>'2017 Determination - Revenue'!$B$33</f>
        <v>Border</v>
      </c>
      <c r="C52" s="37" t="str">
        <f t="shared" ref="C52:C60" si="7">C$20</f>
        <v>ML</v>
      </c>
      <c r="D52" s="37"/>
      <c r="E52" s="37"/>
      <c r="F52" s="100"/>
      <c r="G52" s="100"/>
      <c r="H52" s="100"/>
      <c r="I52" s="100"/>
      <c r="J52" s="100"/>
      <c r="K52" s="100"/>
      <c r="L52" s="100"/>
      <c r="M52" s="100"/>
      <c r="N52" s="100"/>
      <c r="O52" s="100"/>
      <c r="P52" s="100"/>
      <c r="Q52" s="100"/>
      <c r="R52" s="100"/>
      <c r="S52" s="100"/>
      <c r="T52" s="100"/>
      <c r="U52" s="100"/>
      <c r="V52" s="100"/>
      <c r="W52" s="100"/>
      <c r="X52" s="100">
        <v>3122</v>
      </c>
      <c r="Y52" s="100">
        <v>3121</v>
      </c>
      <c r="Z52" s="100">
        <v>3141</v>
      </c>
      <c r="AA52" s="100">
        <v>3141</v>
      </c>
      <c r="AB52" s="100">
        <v>3141</v>
      </c>
      <c r="AC52" s="100">
        <v>3141</v>
      </c>
      <c r="AD52" s="100">
        <v>3141</v>
      </c>
      <c r="AE52" s="91"/>
      <c r="AG52" s="390"/>
      <c r="AH52" s="390"/>
      <c r="AI52" s="390"/>
    </row>
    <row r="53" spans="2:35">
      <c r="B53" s="42" t="str">
        <f>'2017 Determination - Revenue'!$B$34</f>
        <v>Gwydir</v>
      </c>
      <c r="C53" s="37" t="str">
        <f t="shared" si="7"/>
        <v>ML</v>
      </c>
      <c r="D53" s="37"/>
      <c r="E53" s="37"/>
      <c r="F53" s="100"/>
      <c r="G53" s="100"/>
      <c r="H53" s="100"/>
      <c r="I53" s="100"/>
      <c r="J53" s="100"/>
      <c r="K53" s="100"/>
      <c r="L53" s="100"/>
      <c r="M53" s="100"/>
      <c r="N53" s="100"/>
      <c r="O53" s="100"/>
      <c r="P53" s="100"/>
      <c r="Q53" s="100"/>
      <c r="R53" s="100"/>
      <c r="S53" s="100"/>
      <c r="T53" s="100"/>
      <c r="U53" s="100"/>
      <c r="V53" s="100"/>
      <c r="W53" s="100"/>
      <c r="X53" s="100">
        <v>26839.9</v>
      </c>
      <c r="Y53" s="100">
        <v>26919.9</v>
      </c>
      <c r="Z53" s="100">
        <v>26919.9</v>
      </c>
      <c r="AA53" s="100">
        <v>26919.9</v>
      </c>
      <c r="AB53" s="100">
        <v>26920</v>
      </c>
      <c r="AC53" s="100">
        <v>26920</v>
      </c>
      <c r="AD53" s="100">
        <v>26920</v>
      </c>
      <c r="AE53" s="91"/>
      <c r="AG53" s="390"/>
      <c r="AH53" s="390"/>
      <c r="AI53" s="390"/>
    </row>
    <row r="54" spans="2:35">
      <c r="B54" s="42" t="str">
        <f>'2017 Determination - Revenue'!$B$35</f>
        <v>Namoi</v>
      </c>
      <c r="C54" s="37" t="str">
        <f t="shared" si="7"/>
        <v>ML</v>
      </c>
      <c r="D54" s="37"/>
      <c r="E54" s="37"/>
      <c r="F54" s="100"/>
      <c r="G54" s="100"/>
      <c r="H54" s="100"/>
      <c r="I54" s="100"/>
      <c r="J54" s="100"/>
      <c r="K54" s="100"/>
      <c r="L54" s="100"/>
      <c r="M54" s="100"/>
      <c r="N54" s="100"/>
      <c r="O54" s="100"/>
      <c r="P54" s="100"/>
      <c r="Q54" s="100"/>
      <c r="R54" s="100"/>
      <c r="S54" s="100"/>
      <c r="T54" s="100"/>
      <c r="U54" s="100"/>
      <c r="V54" s="100"/>
      <c r="W54" s="100"/>
      <c r="X54" s="100">
        <v>8882</v>
      </c>
      <c r="Y54" s="100">
        <v>8866</v>
      </c>
      <c r="Z54" s="100">
        <v>8866</v>
      </c>
      <c r="AA54" s="100">
        <v>8866</v>
      </c>
      <c r="AB54" s="100">
        <v>8866</v>
      </c>
      <c r="AC54" s="100">
        <v>8866</v>
      </c>
      <c r="AD54" s="100">
        <v>8866</v>
      </c>
      <c r="AE54" s="91"/>
      <c r="AG54" s="390"/>
      <c r="AH54" s="390"/>
      <c r="AI54" s="390"/>
    </row>
    <row r="55" spans="2:35">
      <c r="B55" s="42" t="str">
        <f>'2017 Determination - Revenue'!$B$36</f>
        <v>Peel</v>
      </c>
      <c r="C55" s="37" t="str">
        <f t="shared" si="7"/>
        <v>ML</v>
      </c>
      <c r="D55" s="37"/>
      <c r="E55" s="37"/>
      <c r="F55" s="100"/>
      <c r="G55" s="100"/>
      <c r="H55" s="100"/>
      <c r="I55" s="100"/>
      <c r="J55" s="100"/>
      <c r="K55" s="100"/>
      <c r="L55" s="100"/>
      <c r="M55" s="100"/>
      <c r="N55" s="100"/>
      <c r="O55" s="100"/>
      <c r="P55" s="100"/>
      <c r="Q55" s="100"/>
      <c r="R55" s="100"/>
      <c r="S55" s="100"/>
      <c r="T55" s="100"/>
      <c r="U55" s="100"/>
      <c r="V55" s="100"/>
      <c r="W55" s="100"/>
      <c r="X55" s="100">
        <v>17367</v>
      </c>
      <c r="Y55" s="100">
        <v>17367</v>
      </c>
      <c r="Z55" s="100">
        <v>17367</v>
      </c>
      <c r="AA55" s="100">
        <v>17367</v>
      </c>
      <c r="AB55" s="100">
        <v>17367</v>
      </c>
      <c r="AC55" s="100">
        <v>17367</v>
      </c>
      <c r="AD55" s="100">
        <v>17367</v>
      </c>
      <c r="AE55" s="91"/>
      <c r="AG55" s="390"/>
      <c r="AH55" s="390"/>
      <c r="AI55" s="390"/>
    </row>
    <row r="56" spans="2:35">
      <c r="B56" s="42" t="str">
        <f>'2017 Determination - Revenue'!$B$37</f>
        <v>Lachlan</v>
      </c>
      <c r="C56" s="37" t="str">
        <f t="shared" si="7"/>
        <v>ML</v>
      </c>
      <c r="D56" s="37"/>
      <c r="E56" s="37"/>
      <c r="F56" s="100"/>
      <c r="G56" s="100"/>
      <c r="H56" s="100"/>
      <c r="I56" s="100"/>
      <c r="J56" s="100"/>
      <c r="K56" s="100"/>
      <c r="L56" s="100"/>
      <c r="M56" s="100"/>
      <c r="N56" s="100"/>
      <c r="O56" s="100"/>
      <c r="P56" s="100"/>
      <c r="Q56" s="100"/>
      <c r="R56" s="100"/>
      <c r="S56" s="100"/>
      <c r="T56" s="100"/>
      <c r="U56" s="100"/>
      <c r="V56" s="100"/>
      <c r="W56" s="100"/>
      <c r="X56" s="100">
        <v>57512.000000000007</v>
      </c>
      <c r="Y56" s="100">
        <v>57304</v>
      </c>
      <c r="Z56" s="100">
        <v>57301</v>
      </c>
      <c r="AA56" s="100">
        <v>57302</v>
      </c>
      <c r="AB56" s="100">
        <v>57252</v>
      </c>
      <c r="AC56" s="100">
        <v>57296</v>
      </c>
      <c r="AD56" s="100">
        <v>57252</v>
      </c>
      <c r="AE56" s="91"/>
      <c r="AG56" s="390"/>
      <c r="AH56" s="390"/>
      <c r="AI56" s="390"/>
    </row>
    <row r="57" spans="2:35">
      <c r="B57" s="42" t="str">
        <f>'2017 Determination - Revenue'!$B$38</f>
        <v>Macquarie</v>
      </c>
      <c r="C57" s="37" t="str">
        <f t="shared" si="7"/>
        <v>ML</v>
      </c>
      <c r="D57" s="37"/>
      <c r="E57" s="37"/>
      <c r="F57" s="100"/>
      <c r="G57" s="100"/>
      <c r="H57" s="100"/>
      <c r="I57" s="100"/>
      <c r="J57" s="100"/>
      <c r="K57" s="100"/>
      <c r="L57" s="100"/>
      <c r="M57" s="100"/>
      <c r="N57" s="100"/>
      <c r="O57" s="100"/>
      <c r="P57" s="100"/>
      <c r="Q57" s="100"/>
      <c r="R57" s="100"/>
      <c r="S57" s="100"/>
      <c r="T57" s="100"/>
      <c r="U57" s="100"/>
      <c r="V57" s="100"/>
      <c r="W57" s="100"/>
      <c r="X57" s="100">
        <v>42720.5</v>
      </c>
      <c r="Y57" s="100">
        <v>42712</v>
      </c>
      <c r="Z57" s="100">
        <v>42688</v>
      </c>
      <c r="AA57" s="100">
        <v>42688</v>
      </c>
      <c r="AB57" s="100">
        <v>42691</v>
      </c>
      <c r="AC57" s="100">
        <v>42666</v>
      </c>
      <c r="AD57" s="100">
        <v>42691</v>
      </c>
      <c r="AE57" s="91"/>
      <c r="AG57" s="390"/>
      <c r="AH57" s="390"/>
      <c r="AI57" s="390"/>
    </row>
    <row r="58" spans="2:35">
      <c r="B58" s="42" t="str">
        <f>'2017 Determination - Revenue'!$B$39</f>
        <v>Murray</v>
      </c>
      <c r="C58" s="37" t="str">
        <f t="shared" si="7"/>
        <v>ML</v>
      </c>
      <c r="D58" s="37"/>
      <c r="E58" s="37"/>
      <c r="F58" s="100"/>
      <c r="G58" s="100"/>
      <c r="H58" s="100"/>
      <c r="I58" s="100"/>
      <c r="J58" s="100"/>
      <c r="K58" s="100"/>
      <c r="L58" s="100"/>
      <c r="M58" s="100"/>
      <c r="N58" s="100"/>
      <c r="O58" s="100"/>
      <c r="P58" s="100"/>
      <c r="Q58" s="100"/>
      <c r="R58" s="100"/>
      <c r="S58" s="100"/>
      <c r="T58" s="100"/>
      <c r="U58" s="100"/>
      <c r="V58" s="100"/>
      <c r="W58" s="100"/>
      <c r="X58" s="100">
        <v>261515</v>
      </c>
      <c r="Y58" s="100">
        <v>263603.09999999998</v>
      </c>
      <c r="Z58" s="100">
        <v>263590.09999999998</v>
      </c>
      <c r="AA58" s="100">
        <v>263555.09999999998</v>
      </c>
      <c r="AB58" s="100">
        <v>263575</v>
      </c>
      <c r="AC58" s="100">
        <v>267499</v>
      </c>
      <c r="AD58" s="100">
        <v>263575</v>
      </c>
      <c r="AE58" s="91"/>
      <c r="AG58" s="390"/>
      <c r="AH58" s="390"/>
      <c r="AI58" s="390"/>
    </row>
    <row r="59" spans="2:35">
      <c r="B59" s="42" t="str">
        <f>'2017 Determination - Revenue'!$B$40</f>
        <v>Murrumbidgee</v>
      </c>
      <c r="C59" s="37" t="str">
        <f t="shared" si="7"/>
        <v>ML</v>
      </c>
      <c r="D59" s="37"/>
      <c r="E59" s="37"/>
      <c r="F59" s="100"/>
      <c r="G59" s="100"/>
      <c r="H59" s="100"/>
      <c r="I59" s="100"/>
      <c r="J59" s="100"/>
      <c r="K59" s="100"/>
      <c r="L59" s="100"/>
      <c r="M59" s="100"/>
      <c r="N59" s="100"/>
      <c r="O59" s="100"/>
      <c r="P59" s="100"/>
      <c r="Q59" s="100"/>
      <c r="R59" s="100"/>
      <c r="S59" s="100"/>
      <c r="T59" s="100"/>
      <c r="U59" s="100"/>
      <c r="V59" s="100"/>
      <c r="W59" s="100"/>
      <c r="X59" s="100">
        <v>438310.60000000009</v>
      </c>
      <c r="Y59" s="100">
        <v>438327.60000000009</v>
      </c>
      <c r="Z59" s="100">
        <v>438327.6</v>
      </c>
      <c r="AA59" s="100">
        <v>438327.6</v>
      </c>
      <c r="AB59" s="100">
        <v>438328</v>
      </c>
      <c r="AC59" s="100">
        <v>441723</v>
      </c>
      <c r="AD59" s="100">
        <v>438328</v>
      </c>
      <c r="AE59" s="91"/>
      <c r="AG59" s="390"/>
      <c r="AH59" s="390"/>
      <c r="AI59" s="390"/>
    </row>
    <row r="60" spans="2:35">
      <c r="B60" s="42" t="str">
        <f>'2017 Determination - Revenue'!$B$41</f>
        <v>Lowbidgee</v>
      </c>
      <c r="C60" s="37" t="str">
        <f t="shared" si="7"/>
        <v>ML</v>
      </c>
      <c r="D60" s="37"/>
      <c r="E60" s="37"/>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91"/>
      <c r="AG60" s="390"/>
      <c r="AH60" s="390"/>
      <c r="AI60" s="390"/>
    </row>
    <row r="61" spans="2:35">
      <c r="B61" s="42"/>
      <c r="C61" s="37"/>
      <c r="D61" s="37"/>
      <c r="E61" s="37"/>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91"/>
      <c r="AG61" s="193"/>
      <c r="AH61" s="193"/>
      <c r="AI61" s="193"/>
    </row>
    <row r="62" spans="2:35" ht="12">
      <c r="B62" s="48" t="s">
        <v>32</v>
      </c>
      <c r="C62" s="37"/>
      <c r="D62" s="37"/>
      <c r="E62" s="37"/>
      <c r="F62" s="87"/>
      <c r="G62" s="87"/>
      <c r="H62" s="87"/>
      <c r="I62" s="87"/>
      <c r="J62" s="87"/>
      <c r="K62" s="87"/>
      <c r="L62" s="87"/>
      <c r="M62" s="87"/>
      <c r="N62" s="87"/>
      <c r="O62" s="87"/>
      <c r="P62" s="87"/>
      <c r="Q62" s="87"/>
      <c r="R62" s="87"/>
      <c r="S62" s="87"/>
      <c r="T62" s="87"/>
      <c r="U62" s="87"/>
      <c r="V62" s="87"/>
      <c r="W62" s="87"/>
      <c r="X62" s="87"/>
      <c r="Y62" s="101"/>
      <c r="Z62" s="96"/>
      <c r="AA62" s="86"/>
      <c r="AB62" s="86"/>
      <c r="AC62" s="86"/>
      <c r="AD62" s="86"/>
      <c r="AE62" s="91"/>
      <c r="AG62" s="193"/>
      <c r="AH62" s="193"/>
      <c r="AI62" s="193"/>
    </row>
    <row r="63" spans="2:35" ht="12" customHeight="1">
      <c r="B63" s="42" t="str">
        <f>'2017 Determination - Revenue'!$B$33</f>
        <v>Border</v>
      </c>
      <c r="C63" s="37" t="str">
        <f t="shared" ref="C63:C71" si="8">C$20</f>
        <v>ML</v>
      </c>
      <c r="D63" s="37"/>
      <c r="E63" s="37"/>
      <c r="F63" s="100"/>
      <c r="G63" s="100"/>
      <c r="H63" s="100"/>
      <c r="I63" s="100"/>
      <c r="J63" s="100"/>
      <c r="K63" s="100"/>
      <c r="L63" s="100"/>
      <c r="M63" s="100"/>
      <c r="N63" s="100"/>
      <c r="O63" s="100"/>
      <c r="P63" s="100"/>
      <c r="Q63" s="100"/>
      <c r="R63" s="100"/>
      <c r="S63" s="100"/>
      <c r="T63" s="100"/>
      <c r="U63" s="100"/>
      <c r="V63" s="100"/>
      <c r="W63" s="100"/>
      <c r="X63" s="100">
        <v>0</v>
      </c>
      <c r="Y63" s="100">
        <v>0</v>
      </c>
      <c r="Z63" s="100">
        <v>0</v>
      </c>
      <c r="AA63" s="100">
        <v>0</v>
      </c>
      <c r="AB63" s="100">
        <v>0</v>
      </c>
      <c r="AC63" s="100">
        <v>0</v>
      </c>
      <c r="AD63" s="100">
        <v>0</v>
      </c>
      <c r="AE63" s="91"/>
      <c r="AG63" s="390"/>
      <c r="AH63" s="390"/>
      <c r="AI63" s="390"/>
    </row>
    <row r="64" spans="2:35">
      <c r="B64" s="42" t="str">
        <f>'2017 Determination - Revenue'!$B$34</f>
        <v>Gwydir</v>
      </c>
      <c r="C64" s="37" t="str">
        <f t="shared" si="8"/>
        <v>ML</v>
      </c>
      <c r="D64" s="37"/>
      <c r="E64" s="37"/>
      <c r="F64" s="100"/>
      <c r="G64" s="100"/>
      <c r="H64" s="100"/>
      <c r="I64" s="100"/>
      <c r="J64" s="100"/>
      <c r="K64" s="100"/>
      <c r="L64" s="100"/>
      <c r="M64" s="100"/>
      <c r="N64" s="100"/>
      <c r="O64" s="100"/>
      <c r="P64" s="100"/>
      <c r="Q64" s="100"/>
      <c r="R64" s="100"/>
      <c r="S64" s="100"/>
      <c r="T64" s="100"/>
      <c r="U64" s="100"/>
      <c r="V64" s="100"/>
      <c r="W64" s="100"/>
      <c r="X64" s="100">
        <v>0</v>
      </c>
      <c r="Y64" s="100">
        <v>0</v>
      </c>
      <c r="Z64" s="100">
        <v>0</v>
      </c>
      <c r="AA64" s="100">
        <v>0</v>
      </c>
      <c r="AB64" s="100">
        <v>0</v>
      </c>
      <c r="AC64" s="100">
        <v>0</v>
      </c>
      <c r="AD64" s="100">
        <v>0</v>
      </c>
      <c r="AE64" s="91"/>
      <c r="AG64" s="390"/>
      <c r="AH64" s="390"/>
      <c r="AI64" s="390"/>
    </row>
    <row r="65" spans="2:35">
      <c r="B65" s="42" t="str">
        <f>'2017 Determination - Revenue'!$B$35</f>
        <v>Namoi</v>
      </c>
      <c r="C65" s="37" t="str">
        <f t="shared" si="8"/>
        <v>ML</v>
      </c>
      <c r="D65" s="37"/>
      <c r="E65" s="37"/>
      <c r="F65" s="100"/>
      <c r="G65" s="100"/>
      <c r="H65" s="100"/>
      <c r="I65" s="100"/>
      <c r="J65" s="100"/>
      <c r="K65" s="100"/>
      <c r="L65" s="100"/>
      <c r="M65" s="100"/>
      <c r="N65" s="100"/>
      <c r="O65" s="100"/>
      <c r="P65" s="100"/>
      <c r="Q65" s="100"/>
      <c r="R65" s="100"/>
      <c r="S65" s="100"/>
      <c r="T65" s="100"/>
      <c r="U65" s="100"/>
      <c r="V65" s="100"/>
      <c r="W65" s="100"/>
      <c r="X65" s="100">
        <v>0</v>
      </c>
      <c r="Y65" s="100">
        <v>0</v>
      </c>
      <c r="Z65" s="100">
        <v>0</v>
      </c>
      <c r="AA65" s="100">
        <v>0</v>
      </c>
      <c r="AB65" s="100">
        <v>0</v>
      </c>
      <c r="AC65" s="100">
        <v>0</v>
      </c>
      <c r="AD65" s="100">
        <v>0</v>
      </c>
      <c r="AE65" s="91"/>
      <c r="AG65" s="390"/>
      <c r="AH65" s="390"/>
      <c r="AI65" s="390"/>
    </row>
    <row r="66" spans="2:35">
      <c r="B66" s="42" t="str">
        <f>'2017 Determination - Revenue'!$B$36</f>
        <v>Peel</v>
      </c>
      <c r="C66" s="37" t="str">
        <f t="shared" si="8"/>
        <v>ML</v>
      </c>
      <c r="D66" s="37"/>
      <c r="E66" s="37"/>
      <c r="F66" s="100"/>
      <c r="G66" s="100"/>
      <c r="H66" s="100"/>
      <c r="I66" s="100"/>
      <c r="J66" s="100"/>
      <c r="K66" s="100"/>
      <c r="L66" s="100"/>
      <c r="M66" s="100"/>
      <c r="N66" s="100"/>
      <c r="O66" s="100"/>
      <c r="P66" s="100"/>
      <c r="Q66" s="100"/>
      <c r="R66" s="100"/>
      <c r="S66" s="100"/>
      <c r="T66" s="100"/>
      <c r="U66" s="100"/>
      <c r="V66" s="100"/>
      <c r="W66" s="100"/>
      <c r="X66" s="100">
        <v>0</v>
      </c>
      <c r="Y66" s="100">
        <v>0</v>
      </c>
      <c r="Z66" s="100">
        <v>0</v>
      </c>
      <c r="AA66" s="100">
        <v>0</v>
      </c>
      <c r="AB66" s="100">
        <v>0</v>
      </c>
      <c r="AC66" s="100">
        <v>0</v>
      </c>
      <c r="AD66" s="100">
        <v>0</v>
      </c>
      <c r="AE66" s="91"/>
      <c r="AG66" s="390"/>
      <c r="AH66" s="390"/>
      <c r="AI66" s="390"/>
    </row>
    <row r="67" spans="2:35">
      <c r="B67" s="42" t="str">
        <f>'2017 Determination - Revenue'!$B$37</f>
        <v>Lachlan</v>
      </c>
      <c r="C67" s="37" t="str">
        <f t="shared" si="8"/>
        <v>ML</v>
      </c>
      <c r="D67" s="37"/>
      <c r="E67" s="37"/>
      <c r="F67" s="100"/>
      <c r="G67" s="100"/>
      <c r="H67" s="100"/>
      <c r="I67" s="100"/>
      <c r="J67" s="100"/>
      <c r="K67" s="100"/>
      <c r="L67" s="100"/>
      <c r="M67" s="100"/>
      <c r="N67" s="100"/>
      <c r="O67" s="100"/>
      <c r="P67" s="100"/>
      <c r="Q67" s="100"/>
      <c r="R67" s="100"/>
      <c r="S67" s="100"/>
      <c r="T67" s="100"/>
      <c r="U67" s="100"/>
      <c r="V67" s="100"/>
      <c r="W67" s="100"/>
      <c r="X67" s="100">
        <v>0</v>
      </c>
      <c r="Y67" s="100">
        <v>0</v>
      </c>
      <c r="Z67" s="100">
        <v>0</v>
      </c>
      <c r="AA67" s="100">
        <v>0</v>
      </c>
      <c r="AB67" s="100">
        <v>0</v>
      </c>
      <c r="AC67" s="100">
        <v>0</v>
      </c>
      <c r="AD67" s="100">
        <v>0</v>
      </c>
      <c r="AE67" s="91"/>
      <c r="AG67" s="390"/>
      <c r="AH67" s="390"/>
      <c r="AI67" s="390"/>
    </row>
    <row r="68" spans="2:35">
      <c r="B68" s="42" t="str">
        <f>'2017 Determination - Revenue'!$B$38</f>
        <v>Macquarie</v>
      </c>
      <c r="C68" s="37" t="str">
        <f t="shared" si="8"/>
        <v>ML</v>
      </c>
      <c r="D68" s="37"/>
      <c r="E68" s="37"/>
      <c r="F68" s="100"/>
      <c r="G68" s="100"/>
      <c r="H68" s="100"/>
      <c r="I68" s="100"/>
      <c r="J68" s="100"/>
      <c r="K68" s="100"/>
      <c r="L68" s="100"/>
      <c r="M68" s="100"/>
      <c r="N68" s="100"/>
      <c r="O68" s="100"/>
      <c r="P68" s="100"/>
      <c r="Q68" s="100"/>
      <c r="R68" s="100"/>
      <c r="S68" s="100"/>
      <c r="T68" s="100"/>
      <c r="U68" s="100"/>
      <c r="V68" s="100"/>
      <c r="W68" s="100"/>
      <c r="X68" s="100">
        <v>0</v>
      </c>
      <c r="Y68" s="100">
        <v>0</v>
      </c>
      <c r="Z68" s="100">
        <v>0</v>
      </c>
      <c r="AA68" s="100">
        <v>0</v>
      </c>
      <c r="AB68" s="100">
        <v>0</v>
      </c>
      <c r="AC68" s="100">
        <v>0</v>
      </c>
      <c r="AD68" s="100">
        <v>0</v>
      </c>
      <c r="AE68" s="91"/>
      <c r="AG68" s="390"/>
      <c r="AH68" s="390"/>
      <c r="AI68" s="390"/>
    </row>
    <row r="69" spans="2:35">
      <c r="B69" s="42" t="str">
        <f>'2017 Determination - Revenue'!$B$39</f>
        <v>Murray</v>
      </c>
      <c r="C69" s="37" t="str">
        <f t="shared" si="8"/>
        <v>ML</v>
      </c>
      <c r="D69" s="37"/>
      <c r="E69" s="37"/>
      <c r="F69" s="100"/>
      <c r="G69" s="100"/>
      <c r="H69" s="100"/>
      <c r="I69" s="100"/>
      <c r="J69" s="100"/>
      <c r="K69" s="100"/>
      <c r="L69" s="100"/>
      <c r="M69" s="100"/>
      <c r="N69" s="100"/>
      <c r="O69" s="100"/>
      <c r="P69" s="100"/>
      <c r="Q69" s="100"/>
      <c r="R69" s="100"/>
      <c r="S69" s="100"/>
      <c r="T69" s="100"/>
      <c r="U69" s="100"/>
      <c r="V69" s="100"/>
      <c r="W69" s="100"/>
      <c r="X69" s="100">
        <v>0</v>
      </c>
      <c r="Y69" s="100">
        <v>0</v>
      </c>
      <c r="Z69" s="100">
        <v>0</v>
      </c>
      <c r="AA69" s="100">
        <v>0</v>
      </c>
      <c r="AB69" s="100">
        <v>0</v>
      </c>
      <c r="AC69" s="100">
        <v>0</v>
      </c>
      <c r="AD69" s="100">
        <v>0</v>
      </c>
      <c r="AE69" s="91"/>
      <c r="AG69" s="390"/>
      <c r="AH69" s="390"/>
      <c r="AI69" s="390"/>
    </row>
    <row r="70" spans="2:35">
      <c r="B70" s="42" t="str">
        <f>'2017 Determination - Revenue'!$B$40</f>
        <v>Murrumbidgee</v>
      </c>
      <c r="C70" s="37" t="str">
        <f t="shared" si="8"/>
        <v>ML</v>
      </c>
      <c r="D70" s="37"/>
      <c r="E70" s="37"/>
      <c r="F70" s="100"/>
      <c r="G70" s="100"/>
      <c r="H70" s="100"/>
      <c r="I70" s="100"/>
      <c r="J70" s="100"/>
      <c r="K70" s="100"/>
      <c r="L70" s="100"/>
      <c r="M70" s="100"/>
      <c r="N70" s="100"/>
      <c r="O70" s="100"/>
      <c r="P70" s="100"/>
      <c r="Q70" s="100"/>
      <c r="R70" s="100"/>
      <c r="S70" s="100"/>
      <c r="T70" s="100"/>
      <c r="U70" s="100"/>
      <c r="V70" s="100"/>
      <c r="W70" s="100"/>
      <c r="X70" s="100">
        <v>0</v>
      </c>
      <c r="Y70" s="100">
        <v>0</v>
      </c>
      <c r="Z70" s="100">
        <v>0</v>
      </c>
      <c r="AA70" s="100">
        <v>0</v>
      </c>
      <c r="AB70" s="100">
        <v>0</v>
      </c>
      <c r="AC70" s="100">
        <v>0</v>
      </c>
      <c r="AD70" s="100">
        <v>0</v>
      </c>
      <c r="AE70" s="91"/>
      <c r="AG70" s="390"/>
      <c r="AH70" s="390"/>
      <c r="AI70" s="390"/>
    </row>
    <row r="71" spans="2:35">
      <c r="B71" s="42" t="str">
        <f>'2017 Determination - Revenue'!$B$41</f>
        <v>Lowbidgee</v>
      </c>
      <c r="C71" s="37" t="str">
        <f t="shared" si="8"/>
        <v>ML</v>
      </c>
      <c r="D71" s="37"/>
      <c r="E71" s="37"/>
      <c r="F71" s="100"/>
      <c r="G71" s="100"/>
      <c r="H71" s="100"/>
      <c r="I71" s="100"/>
      <c r="J71" s="100"/>
      <c r="K71" s="100"/>
      <c r="L71" s="100"/>
      <c r="M71" s="100"/>
      <c r="N71" s="100"/>
      <c r="O71" s="100"/>
      <c r="P71" s="100"/>
      <c r="Q71" s="100"/>
      <c r="R71" s="100"/>
      <c r="S71" s="100"/>
      <c r="T71" s="100"/>
      <c r="U71" s="100"/>
      <c r="V71" s="100"/>
      <c r="W71" s="100"/>
      <c r="X71" s="100">
        <v>747000</v>
      </c>
      <c r="Y71" s="100">
        <v>747000</v>
      </c>
      <c r="Z71" s="100">
        <v>747000</v>
      </c>
      <c r="AA71" s="100">
        <v>747000</v>
      </c>
      <c r="AB71" s="100">
        <v>747000</v>
      </c>
      <c r="AC71" s="100">
        <v>747000</v>
      </c>
      <c r="AD71" s="100">
        <v>747000</v>
      </c>
      <c r="AE71" s="91"/>
      <c r="AG71" s="390"/>
      <c r="AH71" s="390"/>
      <c r="AI71" s="390"/>
    </row>
    <row r="72" spans="2:35">
      <c r="B72" s="44"/>
      <c r="C72" s="35"/>
      <c r="D72" s="35"/>
      <c r="E72" s="35"/>
      <c r="F72" s="93"/>
      <c r="G72" s="93"/>
      <c r="H72" s="93"/>
      <c r="I72" s="93"/>
      <c r="J72" s="93"/>
      <c r="K72" s="93"/>
      <c r="L72" s="93"/>
      <c r="M72" s="93"/>
      <c r="N72" s="93"/>
      <c r="O72" s="93"/>
      <c r="P72" s="93"/>
      <c r="Q72" s="93"/>
      <c r="R72" s="93"/>
      <c r="S72" s="93"/>
      <c r="T72" s="93"/>
      <c r="U72" s="93"/>
      <c r="V72" s="93"/>
      <c r="W72" s="93"/>
      <c r="X72" s="93"/>
      <c r="Y72" s="93"/>
      <c r="Z72" s="93"/>
      <c r="AA72" s="93"/>
      <c r="AB72" s="93"/>
      <c r="AC72" s="165"/>
      <c r="AD72" s="165"/>
      <c r="AE72" s="94"/>
      <c r="AG72" s="193"/>
      <c r="AH72" s="193"/>
      <c r="AI72" s="193"/>
    </row>
    <row r="73" spans="2:35">
      <c r="AG73" s="193"/>
      <c r="AH73" s="193"/>
      <c r="AI73" s="193"/>
    </row>
    <row r="74" spans="2:35" s="106" customFormat="1">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193"/>
      <c r="AH74" s="193"/>
      <c r="AI74" s="193"/>
    </row>
    <row r="75" spans="2:35">
      <c r="B75" s="32" t="s">
        <v>120</v>
      </c>
      <c r="AG75" s="193"/>
      <c r="AH75" s="193"/>
      <c r="AI75" s="193"/>
    </row>
    <row r="76" spans="2:35">
      <c r="B76" s="61" t="str">
        <f>'2017 Determination - Revenue'!B$16</f>
        <v>Financial year</v>
      </c>
      <c r="C76" s="40" t="str">
        <f>'2017 Determination - Revenue'!C$28</f>
        <v>Units</v>
      </c>
      <c r="D76" s="40"/>
      <c r="E76" s="40"/>
      <c r="F76" s="122" t="str">
        <f t="shared" ref="F76:Z76" si="9">F$16</f>
        <v>1996-97</v>
      </c>
      <c r="G76" s="122" t="str">
        <f t="shared" si="9"/>
        <v>1997-98</v>
      </c>
      <c r="H76" s="122" t="str">
        <f t="shared" si="9"/>
        <v>1998-99</v>
      </c>
      <c r="I76" s="122" t="str">
        <f t="shared" si="9"/>
        <v>1999-00</v>
      </c>
      <c r="J76" s="122" t="str">
        <f t="shared" si="9"/>
        <v>2000-01</v>
      </c>
      <c r="K76" s="122" t="str">
        <f t="shared" si="9"/>
        <v>2001-02</v>
      </c>
      <c r="L76" s="122" t="str">
        <f t="shared" si="9"/>
        <v>2002-03</v>
      </c>
      <c r="M76" s="122" t="str">
        <f t="shared" si="9"/>
        <v>2003-04</v>
      </c>
      <c r="N76" s="122" t="str">
        <f t="shared" si="9"/>
        <v>2004-05</v>
      </c>
      <c r="O76" s="122" t="str">
        <f t="shared" si="9"/>
        <v>2005-06</v>
      </c>
      <c r="P76" s="122" t="str">
        <f t="shared" si="9"/>
        <v>2006-07</v>
      </c>
      <c r="Q76" s="122" t="str">
        <f t="shared" si="9"/>
        <v>2007-08</v>
      </c>
      <c r="R76" s="122" t="str">
        <f t="shared" si="9"/>
        <v>2008-09</v>
      </c>
      <c r="S76" s="122" t="str">
        <f t="shared" si="9"/>
        <v>2009-10</v>
      </c>
      <c r="T76" s="122" t="str">
        <f t="shared" si="9"/>
        <v>2010-11</v>
      </c>
      <c r="U76" s="122" t="str">
        <f t="shared" si="9"/>
        <v>2011-12</v>
      </c>
      <c r="V76" s="122" t="str">
        <f t="shared" si="9"/>
        <v>2012-13</v>
      </c>
      <c r="W76" s="122" t="str">
        <f t="shared" si="9"/>
        <v>2013-14</v>
      </c>
      <c r="X76" s="122" t="str">
        <f t="shared" si="9"/>
        <v>2014-15</v>
      </c>
      <c r="Y76" s="122" t="str">
        <f t="shared" si="9"/>
        <v>2015-16</v>
      </c>
      <c r="Z76" s="122" t="str">
        <f t="shared" si="9"/>
        <v>2016-17</v>
      </c>
      <c r="AA76" s="122" t="str">
        <f>AA$16</f>
        <v>2017-18</v>
      </c>
      <c r="AB76" s="122" t="str">
        <f>AB$16</f>
        <v>2018-19</v>
      </c>
      <c r="AC76" s="122" t="str">
        <f>AC$16</f>
        <v>2019-20</v>
      </c>
      <c r="AD76" s="122" t="str">
        <f>AD$16</f>
        <v>2020-21</v>
      </c>
      <c r="AE76" s="90"/>
      <c r="AG76" s="193"/>
      <c r="AH76" s="193"/>
      <c r="AI76" s="193"/>
    </row>
    <row r="77" spans="2:35">
      <c r="B77" s="42"/>
      <c r="D77" s="37"/>
      <c r="E77" s="37"/>
      <c r="F77" s="138" t="str">
        <f>F39</f>
        <v>Actual</v>
      </c>
      <c r="G77" s="138" t="str">
        <f t="shared" ref="G77:AA77" si="10">G39</f>
        <v>Actual</v>
      </c>
      <c r="H77" s="138" t="str">
        <f t="shared" si="10"/>
        <v>Actual</v>
      </c>
      <c r="I77" s="138" t="str">
        <f t="shared" si="10"/>
        <v>Actual</v>
      </c>
      <c r="J77" s="138" t="str">
        <f t="shared" si="10"/>
        <v>Actual</v>
      </c>
      <c r="K77" s="138" t="str">
        <f t="shared" si="10"/>
        <v>Actual</v>
      </c>
      <c r="L77" s="138" t="str">
        <f t="shared" si="10"/>
        <v>Actual</v>
      </c>
      <c r="M77" s="138" t="str">
        <f t="shared" si="10"/>
        <v>Actual</v>
      </c>
      <c r="N77" s="138" t="str">
        <f t="shared" si="10"/>
        <v>Actual</v>
      </c>
      <c r="O77" s="138" t="str">
        <f t="shared" si="10"/>
        <v>Actual</v>
      </c>
      <c r="P77" s="138" t="str">
        <f t="shared" si="10"/>
        <v>Actual</v>
      </c>
      <c r="Q77" s="138" t="str">
        <f t="shared" si="10"/>
        <v>Actual</v>
      </c>
      <c r="R77" s="138" t="str">
        <f t="shared" si="10"/>
        <v>Actual</v>
      </c>
      <c r="S77" s="138" t="str">
        <f t="shared" si="10"/>
        <v>Actual</v>
      </c>
      <c r="T77" s="138" t="str">
        <f t="shared" si="10"/>
        <v>Actual</v>
      </c>
      <c r="U77" s="138" t="str">
        <f t="shared" si="10"/>
        <v>Actual</v>
      </c>
      <c r="V77" s="138" t="str">
        <f t="shared" si="10"/>
        <v>Actual</v>
      </c>
      <c r="W77" s="138" t="str">
        <f t="shared" si="10"/>
        <v>Actual</v>
      </c>
      <c r="X77" s="138" t="str">
        <f t="shared" si="10"/>
        <v>Actual</v>
      </c>
      <c r="Y77" s="138" t="str">
        <f t="shared" si="10"/>
        <v>Actual</v>
      </c>
      <c r="Z77" s="138" t="str">
        <f t="shared" si="10"/>
        <v>Actual</v>
      </c>
      <c r="AA77" s="138" t="str">
        <f t="shared" si="10"/>
        <v>Actual</v>
      </c>
      <c r="AB77" s="138" t="str">
        <f t="shared" ref="AB77" si="11">AB$17</f>
        <v>Actual</v>
      </c>
      <c r="AC77" s="138" t="str">
        <f>AC39</f>
        <v>Estimate</v>
      </c>
      <c r="AD77" s="138" t="str">
        <f>AD39</f>
        <v>Forecast</v>
      </c>
      <c r="AE77" s="91"/>
      <c r="AG77" s="193"/>
      <c r="AH77" s="193"/>
      <c r="AI77" s="193"/>
    </row>
    <row r="78" spans="2:35" ht="12">
      <c r="B78" s="81" t="s">
        <v>179</v>
      </c>
      <c r="C78" s="37"/>
      <c r="D78" s="37"/>
      <c r="E78" s="37"/>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91"/>
      <c r="AG78" s="193"/>
      <c r="AH78" s="193"/>
      <c r="AI78" s="193"/>
    </row>
    <row r="79" spans="2:35" ht="12">
      <c r="B79" s="48" t="s">
        <v>30</v>
      </c>
      <c r="C79" s="37"/>
      <c r="D79" s="37"/>
      <c r="E79" s="37"/>
      <c r="F79" s="86"/>
      <c r="G79" s="86"/>
      <c r="H79" s="86"/>
      <c r="I79" s="86"/>
      <c r="J79" s="86"/>
      <c r="K79" s="86"/>
      <c r="L79" s="86"/>
      <c r="M79" s="86"/>
      <c r="N79" s="86"/>
      <c r="O79" s="86"/>
      <c r="P79" s="86"/>
      <c r="Q79" s="86"/>
      <c r="R79" s="86"/>
      <c r="S79" s="86"/>
      <c r="T79" s="86"/>
      <c r="U79" s="86"/>
      <c r="V79" s="86"/>
      <c r="W79" s="86"/>
      <c r="X79" s="86"/>
      <c r="Y79" s="86"/>
      <c r="Z79" s="96"/>
      <c r="AA79" s="86"/>
      <c r="AB79" s="86"/>
      <c r="AC79" s="86"/>
      <c r="AD79" s="86"/>
      <c r="AE79" s="91"/>
      <c r="AG79" s="193"/>
      <c r="AH79" s="193"/>
      <c r="AI79" s="193"/>
    </row>
    <row r="80" spans="2:35" ht="12" customHeight="1">
      <c r="B80" s="42" t="str">
        <f>'2017 Determination - Revenue'!$B$33</f>
        <v>Border</v>
      </c>
      <c r="C80" s="49" t="str">
        <f>'2017 Determination - Revenue'!$C$22</f>
        <v>%</v>
      </c>
      <c r="D80" s="37"/>
      <c r="E80" s="37"/>
      <c r="F80" s="29">
        <v>0.65</v>
      </c>
      <c r="G80" s="29">
        <v>0.55000000000000004</v>
      </c>
      <c r="H80" s="29">
        <v>0.35</v>
      </c>
      <c r="I80" s="29">
        <v>0.6</v>
      </c>
      <c r="J80" s="29">
        <v>0.4</v>
      </c>
      <c r="K80" s="29">
        <v>0.96160074708827048</v>
      </c>
      <c r="L80" s="29">
        <v>0.13839384105607955</v>
      </c>
      <c r="M80" s="29">
        <v>0.539439584742478</v>
      </c>
      <c r="N80" s="29">
        <v>0.16670339942696896</v>
      </c>
      <c r="O80" s="29">
        <v>0.3804940350611139</v>
      </c>
      <c r="P80" s="29">
        <v>0.25184189888614927</v>
      </c>
      <c r="Q80" s="29">
        <v>0.25349809885931562</v>
      </c>
      <c r="R80" s="29">
        <v>0.23741444866920153</v>
      </c>
      <c r="S80" s="29">
        <v>2.688212927756654E-2</v>
      </c>
      <c r="T80" s="29">
        <v>1</v>
      </c>
      <c r="U80" s="29">
        <v>1</v>
      </c>
      <c r="V80" s="29">
        <v>1</v>
      </c>
      <c r="W80" s="99">
        <v>0.35189999999999999</v>
      </c>
      <c r="X80" s="99">
        <v>0.1</v>
      </c>
      <c r="Y80" s="29">
        <v>0.32705384480963978</v>
      </c>
      <c r="Z80" s="29">
        <v>1.1238046030286699</v>
      </c>
      <c r="AA80" s="99">
        <v>0.26300000000000001</v>
      </c>
      <c r="AB80" s="99">
        <v>0.03</v>
      </c>
      <c r="AC80" s="99">
        <v>0</v>
      </c>
      <c r="AD80" s="99">
        <v>0.4576013315452726</v>
      </c>
      <c r="AE80" s="91"/>
      <c r="AG80" s="390"/>
      <c r="AH80" s="390"/>
      <c r="AI80" s="390"/>
    </row>
    <row r="81" spans="2:35">
      <c r="B81" s="42" t="str">
        <f>'2017 Determination - Revenue'!$B$34</f>
        <v>Gwydir</v>
      </c>
      <c r="C81" s="49" t="str">
        <f>'2017 Determination - Revenue'!$C$22</f>
        <v>%</v>
      </c>
      <c r="D81" s="37"/>
      <c r="E81" s="37"/>
      <c r="F81" s="29">
        <v>0.75</v>
      </c>
      <c r="G81" s="29">
        <v>0.82</v>
      </c>
      <c r="H81" s="29">
        <v>1.6818532818532819</v>
      </c>
      <c r="I81" s="29">
        <v>0.49365735483382545</v>
      </c>
      <c r="J81" s="29">
        <v>0.44698039215686275</v>
      </c>
      <c r="K81" s="29">
        <v>0.26623529411764707</v>
      </c>
      <c r="L81" s="29">
        <v>0</v>
      </c>
      <c r="M81" s="29">
        <v>0.30715686274509807</v>
      </c>
      <c r="N81" s="29">
        <v>4.598039215686274E-2</v>
      </c>
      <c r="O81" s="29">
        <v>0.21882630029440631</v>
      </c>
      <c r="P81" s="29">
        <v>0</v>
      </c>
      <c r="Q81" s="29">
        <v>0.24245098039215687</v>
      </c>
      <c r="R81" s="29">
        <v>0</v>
      </c>
      <c r="S81" s="29">
        <v>0</v>
      </c>
      <c r="T81" s="29">
        <v>0.82900000000000007</v>
      </c>
      <c r="U81" s="29">
        <v>1</v>
      </c>
      <c r="V81" s="29">
        <v>1.62</v>
      </c>
      <c r="W81" s="29">
        <v>0</v>
      </c>
      <c r="X81" s="29">
        <v>0</v>
      </c>
      <c r="Y81" s="29">
        <v>5.2815084418196247E-2</v>
      </c>
      <c r="Z81" s="29">
        <v>0.78630178646758153</v>
      </c>
      <c r="AA81" s="99">
        <v>0.17600000000000002</v>
      </c>
      <c r="AB81" s="99">
        <v>0</v>
      </c>
      <c r="AC81" s="99">
        <v>0</v>
      </c>
      <c r="AD81" s="99">
        <v>0.32427022237913189</v>
      </c>
      <c r="AE81" s="91"/>
      <c r="AG81" s="390"/>
      <c r="AH81" s="390"/>
      <c r="AI81" s="390"/>
    </row>
    <row r="82" spans="2:35">
      <c r="B82" s="42" t="str">
        <f>'2017 Determination - Revenue'!$B$35</f>
        <v>Namoi</v>
      </c>
      <c r="C82" s="49" t="str">
        <f>'2017 Determination - Revenue'!$C$22</f>
        <v>%</v>
      </c>
      <c r="D82" s="37"/>
      <c r="E82" s="37"/>
      <c r="F82" s="29">
        <v>1</v>
      </c>
      <c r="G82" s="29">
        <v>1</v>
      </c>
      <c r="H82" s="29">
        <v>2.3193548387096774</v>
      </c>
      <c r="I82" s="29">
        <v>0.66704453441295553</v>
      </c>
      <c r="J82" s="29">
        <v>1.2267206477732793</v>
      </c>
      <c r="K82" s="29">
        <v>0.29801619433198379</v>
      </c>
      <c r="L82" s="29">
        <v>0</v>
      </c>
      <c r="M82" s="29">
        <v>0.46469635627530365</v>
      </c>
      <c r="N82" s="29">
        <v>0.14133603238866396</v>
      </c>
      <c r="O82" s="29">
        <v>0.29975719497365222</v>
      </c>
      <c r="P82" s="29">
        <v>0</v>
      </c>
      <c r="Q82" s="29">
        <v>0.1362753036437247</v>
      </c>
      <c r="R82" s="29">
        <v>0.23732793522267207</v>
      </c>
      <c r="S82" s="29">
        <v>5.7489878542510116E-3</v>
      </c>
      <c r="T82" s="29">
        <v>1.093</v>
      </c>
      <c r="U82" s="29">
        <v>1.165</v>
      </c>
      <c r="V82" s="29">
        <v>1</v>
      </c>
      <c r="W82" s="29">
        <v>0.53180000000000005</v>
      </c>
      <c r="X82" s="29">
        <v>0.04</v>
      </c>
      <c r="Y82" s="29">
        <v>2.2961498605644164E-2</v>
      </c>
      <c r="Z82" s="29">
        <v>1.2368683685158548</v>
      </c>
      <c r="AA82" s="99">
        <v>0.11</v>
      </c>
      <c r="AB82" s="99">
        <v>0.05</v>
      </c>
      <c r="AC82" s="99">
        <v>0</v>
      </c>
      <c r="AD82" s="99">
        <v>0.43632765269989926</v>
      </c>
      <c r="AE82" s="91"/>
      <c r="AG82" s="390"/>
      <c r="AH82" s="390"/>
      <c r="AI82" s="390"/>
    </row>
    <row r="83" spans="2:35">
      <c r="B83" s="42" t="str">
        <f>'2017 Determination - Revenue'!$B$36</f>
        <v>Peel</v>
      </c>
      <c r="C83" s="49" t="str">
        <f>'2017 Determination - Revenue'!$C$22</f>
        <v>%</v>
      </c>
      <c r="D83" s="37"/>
      <c r="E83" s="37"/>
      <c r="F83" s="29">
        <v>0.65</v>
      </c>
      <c r="G83" s="29">
        <v>1</v>
      </c>
      <c r="H83" s="29">
        <v>1</v>
      </c>
      <c r="I83" s="29">
        <v>1</v>
      </c>
      <c r="J83" s="29">
        <v>1</v>
      </c>
      <c r="K83" s="29">
        <v>1</v>
      </c>
      <c r="L83" s="29">
        <v>0.6</v>
      </c>
      <c r="M83" s="29">
        <v>0.35</v>
      </c>
      <c r="N83" s="29">
        <v>0.65</v>
      </c>
      <c r="O83" s="29">
        <v>0.45</v>
      </c>
      <c r="P83" s="29">
        <v>0</v>
      </c>
      <c r="Q83" s="29">
        <v>0.5</v>
      </c>
      <c r="R83" s="29">
        <v>0.8</v>
      </c>
      <c r="S83" s="29">
        <v>0</v>
      </c>
      <c r="T83" s="29">
        <v>1</v>
      </c>
      <c r="U83" s="29">
        <v>1</v>
      </c>
      <c r="V83" s="29">
        <v>0.83</v>
      </c>
      <c r="W83" s="29">
        <v>0.45</v>
      </c>
      <c r="X83" s="29">
        <v>0</v>
      </c>
      <c r="Y83" s="29">
        <v>0.17000460102537135</v>
      </c>
      <c r="Z83" s="29">
        <v>0.99999671355330622</v>
      </c>
      <c r="AA83" s="99">
        <v>1.0270000000000001</v>
      </c>
      <c r="AB83" s="99">
        <v>0.38</v>
      </c>
      <c r="AC83" s="99">
        <v>0</v>
      </c>
      <c r="AD83" s="99">
        <v>0.61035006572893402</v>
      </c>
      <c r="AE83" s="91"/>
      <c r="AG83" s="390"/>
      <c r="AH83" s="390"/>
      <c r="AI83" s="390"/>
    </row>
    <row r="84" spans="2:35">
      <c r="B84" s="42" t="str">
        <f>'2017 Determination - Revenue'!$B$37</f>
        <v>Lachlan</v>
      </c>
      <c r="C84" s="49" t="str">
        <f>'2017 Determination - Revenue'!$C$22</f>
        <v>%</v>
      </c>
      <c r="D84" s="37"/>
      <c r="E84" s="37"/>
      <c r="F84" s="29">
        <v>1</v>
      </c>
      <c r="G84" s="29">
        <v>0.65</v>
      </c>
      <c r="H84" s="29">
        <v>1</v>
      </c>
      <c r="I84" s="29">
        <v>0.74</v>
      </c>
      <c r="J84" s="29">
        <v>0.84</v>
      </c>
      <c r="K84" s="29">
        <v>0.57999999999999996</v>
      </c>
      <c r="L84" s="29">
        <v>0.03</v>
      </c>
      <c r="M84" s="29">
        <v>0</v>
      </c>
      <c r="N84" s="29">
        <v>0</v>
      </c>
      <c r="O84" s="29">
        <v>0.19</v>
      </c>
      <c r="P84" s="29">
        <v>0</v>
      </c>
      <c r="Q84" s="29">
        <v>0</v>
      </c>
      <c r="R84" s="29">
        <v>0</v>
      </c>
      <c r="S84" s="29">
        <v>0</v>
      </c>
      <c r="T84" s="29">
        <v>1</v>
      </c>
      <c r="U84" s="29">
        <v>1</v>
      </c>
      <c r="V84" s="29">
        <v>0</v>
      </c>
      <c r="W84" s="29">
        <v>0</v>
      </c>
      <c r="X84" s="29">
        <v>0.02</v>
      </c>
      <c r="Y84" s="29">
        <v>0.2586422779225177</v>
      </c>
      <c r="Z84" s="29">
        <v>1.38</v>
      </c>
      <c r="AA84" s="99">
        <v>0.05</v>
      </c>
      <c r="AB84" s="99">
        <v>0</v>
      </c>
      <c r="AC84" s="99">
        <v>0</v>
      </c>
      <c r="AD84" s="99">
        <v>0.30443211389612584</v>
      </c>
      <c r="AE84" s="91"/>
      <c r="AG84" s="390"/>
      <c r="AH84" s="390"/>
      <c r="AI84" s="390"/>
    </row>
    <row r="85" spans="2:35">
      <c r="B85" s="42" t="str">
        <f>'2017 Determination - Revenue'!$B$38</f>
        <v>Macquarie</v>
      </c>
      <c r="C85" s="49" t="str">
        <f>'2017 Determination - Revenue'!$C$22</f>
        <v>%</v>
      </c>
      <c r="D85" s="37"/>
      <c r="E85" s="37"/>
      <c r="F85" s="29">
        <v>0.85</v>
      </c>
      <c r="G85" s="29">
        <v>0.1</v>
      </c>
      <c r="H85" s="29">
        <v>1</v>
      </c>
      <c r="I85" s="29">
        <v>1</v>
      </c>
      <c r="J85" s="29">
        <v>1</v>
      </c>
      <c r="K85" s="29">
        <v>0.9</v>
      </c>
      <c r="L85" s="29">
        <v>0</v>
      </c>
      <c r="M85" s="29">
        <v>0.19</v>
      </c>
      <c r="N85" s="29">
        <v>0.09</v>
      </c>
      <c r="O85" s="29">
        <v>0.44</v>
      </c>
      <c r="P85" s="29">
        <v>0</v>
      </c>
      <c r="Q85" s="29">
        <v>0.05</v>
      </c>
      <c r="R85" s="29">
        <v>0.1</v>
      </c>
      <c r="S85" s="29">
        <v>0</v>
      </c>
      <c r="T85" s="29">
        <v>1</v>
      </c>
      <c r="U85" s="29">
        <v>0.49</v>
      </c>
      <c r="V85" s="29">
        <v>0.64</v>
      </c>
      <c r="W85" s="29">
        <v>5.9999999999999995E-4</v>
      </c>
      <c r="X85" s="29">
        <v>0.02</v>
      </c>
      <c r="Y85" s="29">
        <v>7.0003751979750409E-2</v>
      </c>
      <c r="Z85" s="29">
        <v>1</v>
      </c>
      <c r="AA85" s="99">
        <v>0.38</v>
      </c>
      <c r="AB85" s="99">
        <v>0</v>
      </c>
      <c r="AC85" s="99">
        <v>0</v>
      </c>
      <c r="AD85" s="99">
        <v>0.36853018759898748</v>
      </c>
      <c r="AE85" s="91"/>
      <c r="AG85" s="390"/>
      <c r="AH85" s="390"/>
      <c r="AI85" s="390"/>
    </row>
    <row r="86" spans="2:35">
      <c r="B86" s="42" t="str">
        <f>'2017 Determination - Revenue'!$B$39</f>
        <v>Murray</v>
      </c>
      <c r="C86" s="49" t="str">
        <f>'2017 Determination - Revenue'!$C$22</f>
        <v>%</v>
      </c>
      <c r="D86" s="37"/>
      <c r="E86" s="37"/>
      <c r="F86" s="29">
        <v>1</v>
      </c>
      <c r="G86" s="29">
        <v>0.84</v>
      </c>
      <c r="H86" s="29">
        <v>0.93</v>
      </c>
      <c r="I86" s="29">
        <v>0.35</v>
      </c>
      <c r="J86" s="29">
        <v>0.95</v>
      </c>
      <c r="K86" s="29">
        <v>1.05</v>
      </c>
      <c r="L86" s="29">
        <v>0.1</v>
      </c>
      <c r="M86" s="29">
        <v>0.55000000000000004</v>
      </c>
      <c r="N86" s="29">
        <v>0.49</v>
      </c>
      <c r="O86" s="29">
        <v>0.63</v>
      </c>
      <c r="P86" s="29">
        <v>0</v>
      </c>
      <c r="Q86" s="29">
        <v>0</v>
      </c>
      <c r="R86" s="29">
        <v>0.09</v>
      </c>
      <c r="S86" s="29">
        <v>0.27</v>
      </c>
      <c r="T86" s="29">
        <v>1</v>
      </c>
      <c r="U86" s="29">
        <v>1</v>
      </c>
      <c r="V86" s="29">
        <v>1</v>
      </c>
      <c r="W86" s="29">
        <v>1</v>
      </c>
      <c r="X86" s="29">
        <v>0.65</v>
      </c>
      <c r="Y86" s="29">
        <v>0.27808785904052524</v>
      </c>
      <c r="Z86" s="29">
        <v>1</v>
      </c>
      <c r="AA86" s="99">
        <v>0.51</v>
      </c>
      <c r="AB86" s="99">
        <v>0</v>
      </c>
      <c r="AC86" s="99">
        <v>0</v>
      </c>
      <c r="AD86" s="99">
        <v>0.54590439295202631</v>
      </c>
      <c r="AE86" s="91"/>
      <c r="AG86" s="390"/>
      <c r="AH86" s="390"/>
      <c r="AI86" s="390"/>
    </row>
    <row r="87" spans="2:35">
      <c r="B87" s="42" t="str">
        <f>'2017 Determination - Revenue'!$B$40</f>
        <v>Murrumbidgee</v>
      </c>
      <c r="C87" s="49" t="str">
        <f>'2017 Determination - Revenue'!$C$22</f>
        <v>%</v>
      </c>
      <c r="D87" s="37"/>
      <c r="E87" s="37"/>
      <c r="F87" s="29">
        <v>1</v>
      </c>
      <c r="G87" s="29">
        <v>0.9</v>
      </c>
      <c r="H87" s="29">
        <v>0.85</v>
      </c>
      <c r="I87" s="29">
        <v>0.78</v>
      </c>
      <c r="J87" s="29">
        <v>0.9</v>
      </c>
      <c r="K87" s="29">
        <v>0.72</v>
      </c>
      <c r="L87" s="29">
        <v>0.38</v>
      </c>
      <c r="M87" s="29">
        <v>0.41</v>
      </c>
      <c r="N87" s="29">
        <v>0.4</v>
      </c>
      <c r="O87" s="29">
        <v>0.54</v>
      </c>
      <c r="P87" s="29">
        <v>0.1</v>
      </c>
      <c r="Q87" s="29">
        <v>0.13</v>
      </c>
      <c r="R87" s="29">
        <v>0.21</v>
      </c>
      <c r="S87" s="29">
        <v>0.27</v>
      </c>
      <c r="T87" s="29">
        <v>1</v>
      </c>
      <c r="U87" s="29">
        <v>1</v>
      </c>
      <c r="V87" s="29">
        <v>1</v>
      </c>
      <c r="W87" s="29">
        <v>0.79979999999999996</v>
      </c>
      <c r="X87" s="29">
        <v>0.59</v>
      </c>
      <c r="Y87" s="29">
        <v>0.44246020635437283</v>
      </c>
      <c r="Z87" s="29">
        <v>1.0000004409438206</v>
      </c>
      <c r="AA87" s="99">
        <v>0.51700000000000002</v>
      </c>
      <c r="AB87" s="99">
        <v>7.0000000000000007E-2</v>
      </c>
      <c r="AC87" s="99">
        <v>0.06</v>
      </c>
      <c r="AD87" s="99">
        <v>0.56296303236490952</v>
      </c>
      <c r="AE87" s="91"/>
      <c r="AG87" s="390"/>
      <c r="AH87" s="390"/>
      <c r="AI87" s="390"/>
    </row>
    <row r="88" spans="2:35">
      <c r="B88" s="42" t="str">
        <f>'2017 Determination - Revenue'!$B$41</f>
        <v>Lowbidgee</v>
      </c>
      <c r="C88" s="49" t="str">
        <f>'2017 Determination - Revenue'!$C$22</f>
        <v>%</v>
      </c>
      <c r="D88" s="37"/>
      <c r="E88" s="37"/>
      <c r="F88" s="29"/>
      <c r="G88" s="29"/>
      <c r="H88" s="29"/>
      <c r="I88" s="29"/>
      <c r="J88" s="29"/>
      <c r="K88" s="29"/>
      <c r="L88" s="29"/>
      <c r="M88" s="29"/>
      <c r="N88" s="29"/>
      <c r="O88" s="29"/>
      <c r="P88" s="29"/>
      <c r="Q88" s="29"/>
      <c r="R88" s="29"/>
      <c r="S88" s="29"/>
      <c r="T88" s="29"/>
      <c r="U88" s="29"/>
      <c r="V88" s="29"/>
      <c r="W88" s="29"/>
      <c r="X88" s="29"/>
      <c r="Y88" s="29"/>
      <c r="Z88" s="29"/>
      <c r="AA88" s="99"/>
      <c r="AB88" s="99"/>
      <c r="AC88" s="99"/>
      <c r="AD88" s="99"/>
      <c r="AE88" s="91"/>
      <c r="AG88" s="390"/>
      <c r="AH88" s="390"/>
      <c r="AI88" s="390"/>
    </row>
    <row r="89" spans="2:35">
      <c r="B89" s="42"/>
      <c r="C89" s="49"/>
      <c r="D89" s="37"/>
      <c r="E89" s="37"/>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91"/>
      <c r="AG89" s="193"/>
      <c r="AH89" s="193"/>
      <c r="AI89" s="193"/>
    </row>
    <row r="90" spans="2:35" ht="12">
      <c r="B90" s="48" t="s">
        <v>31</v>
      </c>
      <c r="C90" s="49"/>
      <c r="D90" s="37"/>
      <c r="E90" s="37"/>
      <c r="F90" s="86"/>
      <c r="G90" s="86"/>
      <c r="H90" s="86"/>
      <c r="I90" s="86"/>
      <c r="J90" s="86"/>
      <c r="K90" s="86"/>
      <c r="L90" s="86"/>
      <c r="M90" s="86"/>
      <c r="N90" s="86"/>
      <c r="O90" s="86"/>
      <c r="P90" s="86"/>
      <c r="Q90" s="86"/>
      <c r="R90" s="86"/>
      <c r="S90" s="86"/>
      <c r="T90" s="86"/>
      <c r="U90" s="86"/>
      <c r="V90" s="86"/>
      <c r="W90" s="86"/>
      <c r="X90" s="86"/>
      <c r="Y90" s="86"/>
      <c r="Z90" s="96"/>
      <c r="AA90" s="86"/>
      <c r="AB90" s="86"/>
      <c r="AC90" s="86"/>
      <c r="AD90" s="86"/>
      <c r="AE90" s="91"/>
      <c r="AG90" s="193"/>
      <c r="AH90" s="193"/>
      <c r="AI90" s="193"/>
    </row>
    <row r="91" spans="2:35" ht="12" customHeight="1">
      <c r="B91" s="42" t="str">
        <f>'2017 Determination - Revenue'!$B$33</f>
        <v>Border</v>
      </c>
      <c r="C91" s="49" t="str">
        <f>'2017 Determination - Revenue'!$C$22</f>
        <v>%</v>
      </c>
      <c r="D91" s="37"/>
      <c r="E91" s="37"/>
      <c r="F91" s="29">
        <v>1</v>
      </c>
      <c r="G91" s="29">
        <v>1</v>
      </c>
      <c r="H91" s="29">
        <v>1</v>
      </c>
      <c r="I91" s="29">
        <v>1</v>
      </c>
      <c r="J91" s="29">
        <v>1</v>
      </c>
      <c r="K91" s="29">
        <v>1</v>
      </c>
      <c r="L91" s="29">
        <v>1</v>
      </c>
      <c r="M91" s="29">
        <v>1</v>
      </c>
      <c r="N91" s="29">
        <v>1</v>
      </c>
      <c r="O91" s="29">
        <v>1</v>
      </c>
      <c r="P91" s="29">
        <v>1</v>
      </c>
      <c r="Q91" s="29">
        <v>1</v>
      </c>
      <c r="R91" s="29">
        <v>1</v>
      </c>
      <c r="S91" s="29">
        <v>1</v>
      </c>
      <c r="T91" s="29">
        <v>1</v>
      </c>
      <c r="U91" s="29">
        <v>1</v>
      </c>
      <c r="V91" s="29">
        <v>1</v>
      </c>
      <c r="W91" s="29">
        <v>1</v>
      </c>
      <c r="X91" s="29">
        <v>1</v>
      </c>
      <c r="Y91" s="29">
        <v>1.0003204101249599</v>
      </c>
      <c r="Z91" s="29">
        <v>1</v>
      </c>
      <c r="AA91" s="99">
        <v>1</v>
      </c>
      <c r="AB91" s="99">
        <v>1</v>
      </c>
      <c r="AC91" s="99">
        <v>1</v>
      </c>
      <c r="AD91" s="99">
        <v>1.000016020506248</v>
      </c>
      <c r="AE91" s="91"/>
      <c r="AG91" s="390"/>
      <c r="AH91" s="390"/>
      <c r="AI91" s="390"/>
    </row>
    <row r="92" spans="2:35">
      <c r="B92" s="42" t="str">
        <f>'2017 Determination - Revenue'!$B$34</f>
        <v>Gwydir</v>
      </c>
      <c r="C92" s="49" t="str">
        <f>'2017 Determination - Revenue'!$C$22</f>
        <v>%</v>
      </c>
      <c r="D92" s="37"/>
      <c r="E92" s="37"/>
      <c r="F92" s="29">
        <v>1</v>
      </c>
      <c r="G92" s="29">
        <v>1</v>
      </c>
      <c r="H92" s="29">
        <v>1</v>
      </c>
      <c r="I92" s="29">
        <v>1</v>
      </c>
      <c r="J92" s="29">
        <v>1</v>
      </c>
      <c r="K92" s="29">
        <v>1</v>
      </c>
      <c r="L92" s="29">
        <v>1</v>
      </c>
      <c r="M92" s="29">
        <v>1</v>
      </c>
      <c r="N92" s="29">
        <v>1</v>
      </c>
      <c r="O92" s="29">
        <v>1</v>
      </c>
      <c r="P92" s="29">
        <v>1</v>
      </c>
      <c r="Q92" s="29">
        <v>1</v>
      </c>
      <c r="R92" s="29">
        <v>1</v>
      </c>
      <c r="S92" s="29">
        <v>1</v>
      </c>
      <c r="T92" s="29">
        <v>1</v>
      </c>
      <c r="U92" s="29">
        <v>1</v>
      </c>
      <c r="V92" s="29">
        <v>1</v>
      </c>
      <c r="W92" s="29">
        <v>1</v>
      </c>
      <c r="X92" s="29">
        <v>1</v>
      </c>
      <c r="Y92" s="29">
        <v>0.99754828212586233</v>
      </c>
      <c r="Z92" s="29">
        <v>1</v>
      </c>
      <c r="AA92" s="99">
        <v>1</v>
      </c>
      <c r="AB92" s="99">
        <v>1</v>
      </c>
      <c r="AC92" s="99">
        <v>1</v>
      </c>
      <c r="AD92" s="99">
        <v>0.99987741410629316</v>
      </c>
      <c r="AE92" s="91"/>
      <c r="AG92" s="390"/>
      <c r="AH92" s="390"/>
      <c r="AI92" s="390"/>
    </row>
    <row r="93" spans="2:35">
      <c r="B93" s="42" t="str">
        <f>'2017 Determination - Revenue'!$B$35</f>
        <v>Namoi</v>
      </c>
      <c r="C93" s="49" t="str">
        <f>'2017 Determination - Revenue'!$C$22</f>
        <v>%</v>
      </c>
      <c r="D93" s="37"/>
      <c r="E93" s="37"/>
      <c r="F93" s="29">
        <v>1</v>
      </c>
      <c r="G93" s="29">
        <v>1</v>
      </c>
      <c r="H93" s="29">
        <v>1</v>
      </c>
      <c r="I93" s="29">
        <v>1</v>
      </c>
      <c r="J93" s="29">
        <v>1</v>
      </c>
      <c r="K93" s="29">
        <v>1</v>
      </c>
      <c r="L93" s="29">
        <v>1</v>
      </c>
      <c r="M93" s="29">
        <v>1</v>
      </c>
      <c r="N93" s="29">
        <v>1</v>
      </c>
      <c r="O93" s="29">
        <v>1</v>
      </c>
      <c r="P93" s="29">
        <v>1</v>
      </c>
      <c r="Q93" s="29">
        <v>1</v>
      </c>
      <c r="R93" s="29">
        <v>1</v>
      </c>
      <c r="S93" s="29">
        <v>1</v>
      </c>
      <c r="T93" s="29">
        <v>1</v>
      </c>
      <c r="U93" s="29">
        <v>1</v>
      </c>
      <c r="V93" s="29">
        <v>1</v>
      </c>
      <c r="W93" s="29">
        <v>1</v>
      </c>
      <c r="X93" s="29">
        <v>1</v>
      </c>
      <c r="Y93" s="29">
        <v>1.0018046469659372</v>
      </c>
      <c r="Z93" s="29">
        <v>1</v>
      </c>
      <c r="AA93" s="99">
        <v>1</v>
      </c>
      <c r="AB93" s="99">
        <v>1</v>
      </c>
      <c r="AC93" s="99">
        <v>0.75</v>
      </c>
      <c r="AD93" s="99">
        <v>1.0000902323482967</v>
      </c>
      <c r="AE93" s="91"/>
      <c r="AG93" s="390"/>
      <c r="AH93" s="390"/>
      <c r="AI93" s="390"/>
    </row>
    <row r="94" spans="2:35">
      <c r="B94" s="42" t="str">
        <f>'2017 Determination - Revenue'!$B$36</f>
        <v>Peel</v>
      </c>
      <c r="C94" s="49" t="str">
        <f>'2017 Determination - Revenue'!$C$22</f>
        <v>%</v>
      </c>
      <c r="D94" s="37"/>
      <c r="E94" s="37"/>
      <c r="F94" s="29">
        <v>1</v>
      </c>
      <c r="G94" s="29">
        <v>1</v>
      </c>
      <c r="H94" s="29">
        <v>1</v>
      </c>
      <c r="I94" s="29">
        <v>1</v>
      </c>
      <c r="J94" s="29">
        <v>1</v>
      </c>
      <c r="K94" s="29">
        <v>1</v>
      </c>
      <c r="L94" s="29">
        <v>1</v>
      </c>
      <c r="M94" s="29">
        <v>1</v>
      </c>
      <c r="N94" s="29">
        <v>1</v>
      </c>
      <c r="O94" s="29">
        <v>1</v>
      </c>
      <c r="P94" s="29">
        <v>1</v>
      </c>
      <c r="Q94" s="29">
        <v>1</v>
      </c>
      <c r="R94" s="29">
        <v>1</v>
      </c>
      <c r="S94" s="29">
        <v>1</v>
      </c>
      <c r="T94" s="29">
        <v>1</v>
      </c>
      <c r="U94" s="29">
        <v>1</v>
      </c>
      <c r="V94" s="29">
        <v>1</v>
      </c>
      <c r="W94" s="29">
        <v>1</v>
      </c>
      <c r="X94" s="29">
        <v>0.69</v>
      </c>
      <c r="Y94" s="29">
        <v>1</v>
      </c>
      <c r="Z94" s="29">
        <v>1</v>
      </c>
      <c r="AA94" s="99">
        <v>1</v>
      </c>
      <c r="AB94" s="99">
        <v>1</v>
      </c>
      <c r="AC94" s="99">
        <v>0.5</v>
      </c>
      <c r="AD94" s="99">
        <v>0.98449999999999993</v>
      </c>
      <c r="AE94" s="91"/>
      <c r="AG94" s="390"/>
      <c r="AH94" s="390"/>
      <c r="AI94" s="390"/>
    </row>
    <row r="95" spans="2:35">
      <c r="B95" s="42" t="str">
        <f>'2017 Determination - Revenue'!$B$37</f>
        <v>Lachlan</v>
      </c>
      <c r="C95" s="49" t="str">
        <f>'2017 Determination - Revenue'!$C$22</f>
        <v>%</v>
      </c>
      <c r="D95" s="37"/>
      <c r="E95" s="37"/>
      <c r="F95" s="29">
        <v>1</v>
      </c>
      <c r="G95" s="29">
        <v>1</v>
      </c>
      <c r="H95" s="29">
        <v>1</v>
      </c>
      <c r="I95" s="29">
        <v>1</v>
      </c>
      <c r="J95" s="29">
        <v>1</v>
      </c>
      <c r="K95" s="29">
        <v>1</v>
      </c>
      <c r="L95" s="29">
        <v>1</v>
      </c>
      <c r="M95" s="29">
        <v>0.7</v>
      </c>
      <c r="N95" s="29">
        <v>0.3</v>
      </c>
      <c r="O95" s="29">
        <v>1</v>
      </c>
      <c r="P95" s="29">
        <v>0.8</v>
      </c>
      <c r="Q95" s="29">
        <v>0.3</v>
      </c>
      <c r="R95" s="29">
        <v>0.3</v>
      </c>
      <c r="S95" s="29">
        <v>0.1</v>
      </c>
      <c r="T95" s="29">
        <v>1</v>
      </c>
      <c r="U95" s="29">
        <v>1</v>
      </c>
      <c r="V95" s="29">
        <v>1</v>
      </c>
      <c r="W95" s="29">
        <v>1</v>
      </c>
      <c r="X95" s="29">
        <v>1</v>
      </c>
      <c r="Y95" s="29">
        <v>1.0036594304062543</v>
      </c>
      <c r="Z95" s="29">
        <v>1.0000924940227918</v>
      </c>
      <c r="AA95" s="99">
        <v>1</v>
      </c>
      <c r="AB95" s="99">
        <v>1</v>
      </c>
      <c r="AC95" s="99">
        <v>0.87</v>
      </c>
      <c r="AD95" s="99">
        <v>0.82518759622145232</v>
      </c>
      <c r="AE95" s="91"/>
      <c r="AG95" s="390"/>
      <c r="AH95" s="390"/>
      <c r="AI95" s="390"/>
    </row>
    <row r="96" spans="2:35">
      <c r="B96" s="42" t="str">
        <f>'2017 Determination - Revenue'!$B$38</f>
        <v>Macquarie</v>
      </c>
      <c r="C96" s="49" t="str">
        <f>'2017 Determination - Revenue'!$C$22</f>
        <v>%</v>
      </c>
      <c r="D96" s="37"/>
      <c r="E96" s="37"/>
      <c r="F96" s="29">
        <v>1</v>
      </c>
      <c r="G96" s="29">
        <v>1</v>
      </c>
      <c r="H96" s="29">
        <v>1</v>
      </c>
      <c r="I96" s="29">
        <v>1</v>
      </c>
      <c r="J96" s="29">
        <v>1</v>
      </c>
      <c r="K96" s="29">
        <v>1</v>
      </c>
      <c r="L96" s="29">
        <v>1</v>
      </c>
      <c r="M96" s="29">
        <v>1</v>
      </c>
      <c r="N96" s="29">
        <v>1</v>
      </c>
      <c r="O96" s="29">
        <v>1</v>
      </c>
      <c r="P96" s="29">
        <v>1</v>
      </c>
      <c r="Q96" s="29">
        <v>1</v>
      </c>
      <c r="R96" s="29">
        <v>1</v>
      </c>
      <c r="S96" s="29">
        <v>1</v>
      </c>
      <c r="T96" s="29">
        <v>1</v>
      </c>
      <c r="U96" s="29">
        <v>1</v>
      </c>
      <c r="V96" s="29">
        <v>1</v>
      </c>
      <c r="W96" s="29">
        <v>1</v>
      </c>
      <c r="X96" s="29">
        <v>1</v>
      </c>
      <c r="Y96" s="29">
        <v>0.99932337516388836</v>
      </c>
      <c r="Z96" s="29">
        <v>1.0005692466266867</v>
      </c>
      <c r="AA96" s="99">
        <v>1</v>
      </c>
      <c r="AB96" s="99">
        <v>1</v>
      </c>
      <c r="AC96" s="99">
        <v>0.7</v>
      </c>
      <c r="AD96" s="99">
        <v>0.9999946310895288</v>
      </c>
      <c r="AE96" s="91"/>
      <c r="AG96" s="390"/>
      <c r="AH96" s="390"/>
      <c r="AI96" s="390"/>
    </row>
    <row r="97" spans="2:35">
      <c r="B97" s="42" t="str">
        <f>'2017 Determination - Revenue'!$B$39</f>
        <v>Murray</v>
      </c>
      <c r="C97" s="49" t="str">
        <f>'2017 Determination - Revenue'!$C$22</f>
        <v>%</v>
      </c>
      <c r="D97" s="37"/>
      <c r="E97" s="37"/>
      <c r="F97" s="29">
        <v>1</v>
      </c>
      <c r="G97" s="29">
        <v>1</v>
      </c>
      <c r="H97" s="29">
        <v>1</v>
      </c>
      <c r="I97" s="29">
        <v>1</v>
      </c>
      <c r="J97" s="29">
        <v>1</v>
      </c>
      <c r="K97" s="29">
        <v>1</v>
      </c>
      <c r="L97" s="29">
        <v>1</v>
      </c>
      <c r="M97" s="29">
        <v>1</v>
      </c>
      <c r="N97" s="29">
        <v>0.97</v>
      </c>
      <c r="O97" s="29">
        <v>0.97</v>
      </c>
      <c r="P97" s="29">
        <v>0.69</v>
      </c>
      <c r="Q97" s="29">
        <v>0.5</v>
      </c>
      <c r="R97" s="29">
        <v>0.95</v>
      </c>
      <c r="S97" s="29">
        <v>0.97</v>
      </c>
      <c r="T97" s="29">
        <v>1</v>
      </c>
      <c r="U97" s="29">
        <v>1</v>
      </c>
      <c r="V97" s="29">
        <v>1</v>
      </c>
      <c r="W97" s="29">
        <v>1</v>
      </c>
      <c r="X97" s="29">
        <v>0.98</v>
      </c>
      <c r="Y97" s="29">
        <v>0.95624823835531536</v>
      </c>
      <c r="Z97" s="29">
        <v>1</v>
      </c>
      <c r="AA97" s="99">
        <v>0.99</v>
      </c>
      <c r="AB97" s="99">
        <v>0.97</v>
      </c>
      <c r="AC97" s="99">
        <v>0.97</v>
      </c>
      <c r="AD97" s="99">
        <v>0.94731241191776561</v>
      </c>
      <c r="AE97" s="91"/>
      <c r="AG97" s="390"/>
      <c r="AH97" s="390"/>
      <c r="AI97" s="390"/>
    </row>
    <row r="98" spans="2:35">
      <c r="B98" s="42" t="str">
        <f>'2017 Determination - Revenue'!$B$40</f>
        <v>Murrumbidgee</v>
      </c>
      <c r="C98" s="49" t="str">
        <f>'2017 Determination - Revenue'!$C$22</f>
        <v>%</v>
      </c>
      <c r="D98" s="37"/>
      <c r="E98" s="37"/>
      <c r="F98" s="29">
        <v>1</v>
      </c>
      <c r="G98" s="29">
        <v>1</v>
      </c>
      <c r="H98" s="29">
        <v>1</v>
      </c>
      <c r="I98" s="29">
        <v>1</v>
      </c>
      <c r="J98" s="29">
        <v>1</v>
      </c>
      <c r="K98" s="29">
        <v>1</v>
      </c>
      <c r="L98" s="29">
        <v>1</v>
      </c>
      <c r="M98" s="29">
        <v>0.95</v>
      </c>
      <c r="N98" s="29">
        <v>0.95</v>
      </c>
      <c r="O98" s="29">
        <v>0.95</v>
      </c>
      <c r="P98" s="29">
        <v>0.9</v>
      </c>
      <c r="Q98" s="29">
        <v>0.9</v>
      </c>
      <c r="R98" s="29">
        <v>0.95</v>
      </c>
      <c r="S98" s="29">
        <v>0.95</v>
      </c>
      <c r="T98" s="29">
        <v>0.99960000000000004</v>
      </c>
      <c r="U98" s="29">
        <v>1</v>
      </c>
      <c r="V98" s="29">
        <v>1</v>
      </c>
      <c r="W98" s="29">
        <v>0.97499999999999998</v>
      </c>
      <c r="X98" s="29">
        <v>0.96</v>
      </c>
      <c r="Y98" s="29">
        <v>0.95903132725386231</v>
      </c>
      <c r="Z98" s="29">
        <v>1.0000662916797587</v>
      </c>
      <c r="AA98" s="99">
        <v>0.96</v>
      </c>
      <c r="AB98" s="99">
        <v>0.95</v>
      </c>
      <c r="AC98" s="99">
        <v>0.95</v>
      </c>
      <c r="AD98" s="99">
        <v>0.96768488094668081</v>
      </c>
      <c r="AE98" s="91"/>
      <c r="AG98" s="390"/>
      <c r="AH98" s="390"/>
      <c r="AI98" s="390"/>
    </row>
    <row r="99" spans="2:35">
      <c r="B99" s="42" t="str">
        <f>'2017 Determination - Revenue'!$B$41</f>
        <v>Lowbidgee</v>
      </c>
      <c r="C99" s="49" t="str">
        <f>'2017 Determination - Revenue'!$C$22</f>
        <v>%</v>
      </c>
      <c r="D99" s="37"/>
      <c r="E99" s="37"/>
      <c r="F99" s="29">
        <v>0</v>
      </c>
      <c r="G99" s="29">
        <v>0</v>
      </c>
      <c r="H99" s="29">
        <v>0</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c r="AA99" s="99"/>
      <c r="AB99" s="99"/>
      <c r="AC99" s="99"/>
      <c r="AD99" s="99"/>
      <c r="AE99" s="91"/>
      <c r="AG99" s="390"/>
      <c r="AH99" s="390"/>
      <c r="AI99" s="390"/>
    </row>
    <row r="100" spans="2:35">
      <c r="B100" s="42"/>
      <c r="C100" s="49"/>
      <c r="D100" s="37"/>
      <c r="E100" s="37"/>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91"/>
      <c r="AG100" s="193"/>
      <c r="AH100" s="193"/>
      <c r="AI100" s="193"/>
    </row>
    <row r="101" spans="2:35" ht="12">
      <c r="B101" s="48" t="s">
        <v>32</v>
      </c>
      <c r="C101" s="49"/>
      <c r="D101" s="37"/>
      <c r="E101" s="37"/>
      <c r="F101" s="86"/>
      <c r="G101" s="86"/>
      <c r="H101" s="86"/>
      <c r="I101" s="86"/>
      <c r="J101" s="86"/>
      <c r="K101" s="86"/>
      <c r="L101" s="86"/>
      <c r="M101" s="86"/>
      <c r="N101" s="86"/>
      <c r="O101" s="86"/>
      <c r="P101" s="86"/>
      <c r="Q101" s="86"/>
      <c r="R101" s="86"/>
      <c r="S101" s="86"/>
      <c r="T101" s="86"/>
      <c r="U101" s="86"/>
      <c r="V101" s="86"/>
      <c r="W101" s="86"/>
      <c r="X101" s="86"/>
      <c r="Y101" s="86"/>
      <c r="Z101" s="96"/>
      <c r="AA101" s="104"/>
      <c r="AB101" s="104"/>
      <c r="AC101" s="104"/>
      <c r="AD101" s="104"/>
      <c r="AE101" s="91"/>
      <c r="AG101" s="193"/>
      <c r="AH101" s="193"/>
      <c r="AI101" s="193"/>
    </row>
    <row r="102" spans="2:35" ht="12" customHeight="1">
      <c r="B102" s="42" t="str">
        <f>'2017 Determination - Revenue'!$B$33</f>
        <v>Border</v>
      </c>
      <c r="C102" s="49" t="str">
        <f>'2017 Determination - Revenue'!$C$22</f>
        <v>%</v>
      </c>
      <c r="D102" s="37"/>
      <c r="E102" s="37"/>
      <c r="F102" s="29">
        <v>0</v>
      </c>
      <c r="G102" s="29">
        <v>0</v>
      </c>
      <c r="H102" s="29">
        <v>0</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99">
        <v>0</v>
      </c>
      <c r="AB102" s="99"/>
      <c r="AC102" s="99"/>
      <c r="AD102" s="99"/>
      <c r="AE102" s="91"/>
      <c r="AG102" s="390"/>
      <c r="AH102" s="390"/>
      <c r="AI102" s="390"/>
    </row>
    <row r="103" spans="2:35">
      <c r="B103" s="42" t="str">
        <f>'2017 Determination - Revenue'!$B$34</f>
        <v>Gwydir</v>
      </c>
      <c r="C103" s="49" t="str">
        <f>'2017 Determination - Revenue'!$C$22</f>
        <v>%</v>
      </c>
      <c r="D103" s="37"/>
      <c r="E103" s="37"/>
      <c r="F103" s="29">
        <v>0</v>
      </c>
      <c r="G103" s="29">
        <v>0</v>
      </c>
      <c r="H103" s="29">
        <v>0</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99">
        <v>0</v>
      </c>
      <c r="AB103" s="99"/>
      <c r="AC103" s="99"/>
      <c r="AD103" s="99"/>
      <c r="AE103" s="91"/>
      <c r="AG103" s="390"/>
      <c r="AH103" s="390"/>
      <c r="AI103" s="390"/>
    </row>
    <row r="104" spans="2:35">
      <c r="B104" s="42" t="str">
        <f>'2017 Determination - Revenue'!$B$35</f>
        <v>Namoi</v>
      </c>
      <c r="C104" s="49" t="str">
        <f>'2017 Determination - Revenue'!$C$22</f>
        <v>%</v>
      </c>
      <c r="D104" s="37"/>
      <c r="E104" s="37"/>
      <c r="F104" s="29">
        <v>0</v>
      </c>
      <c r="G104" s="29">
        <v>0</v>
      </c>
      <c r="H104" s="29">
        <v>0</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99">
        <v>0</v>
      </c>
      <c r="AB104" s="99"/>
      <c r="AC104" s="99"/>
      <c r="AD104" s="99"/>
      <c r="AE104" s="91"/>
      <c r="AG104" s="390"/>
      <c r="AH104" s="390"/>
      <c r="AI104" s="390"/>
    </row>
    <row r="105" spans="2:35">
      <c r="B105" s="42" t="str">
        <f>'2017 Determination - Revenue'!$B$36</f>
        <v>Peel</v>
      </c>
      <c r="C105" s="49" t="str">
        <f>'2017 Determination - Revenue'!$C$22</f>
        <v>%</v>
      </c>
      <c r="D105" s="37"/>
      <c r="E105" s="37"/>
      <c r="F105" s="29">
        <v>0</v>
      </c>
      <c r="G105" s="29">
        <v>0</v>
      </c>
      <c r="H105" s="29">
        <v>0</v>
      </c>
      <c r="I105" s="29">
        <v>0</v>
      </c>
      <c r="J105" s="29">
        <v>0</v>
      </c>
      <c r="K105" s="29">
        <v>0</v>
      </c>
      <c r="L105" s="29">
        <v>0</v>
      </c>
      <c r="M105" s="29">
        <v>0</v>
      </c>
      <c r="N105" s="29">
        <v>0</v>
      </c>
      <c r="O105" s="29">
        <v>0</v>
      </c>
      <c r="P105" s="29">
        <v>0</v>
      </c>
      <c r="Q105" s="29">
        <v>0</v>
      </c>
      <c r="R105" s="29">
        <v>0</v>
      </c>
      <c r="S105" s="29">
        <v>0</v>
      </c>
      <c r="T105" s="29">
        <v>0</v>
      </c>
      <c r="U105" s="29">
        <v>0</v>
      </c>
      <c r="V105" s="29">
        <v>0</v>
      </c>
      <c r="W105" s="29">
        <v>0</v>
      </c>
      <c r="X105" s="29">
        <v>0</v>
      </c>
      <c r="Y105" s="29">
        <v>0</v>
      </c>
      <c r="Z105" s="29">
        <v>0</v>
      </c>
      <c r="AA105" s="99">
        <v>0</v>
      </c>
      <c r="AB105" s="99"/>
      <c r="AC105" s="99"/>
      <c r="AD105" s="99"/>
      <c r="AE105" s="91"/>
      <c r="AG105" s="390"/>
      <c r="AH105" s="390"/>
      <c r="AI105" s="390"/>
    </row>
    <row r="106" spans="2:35">
      <c r="B106" s="42" t="str">
        <f>'2017 Determination - Revenue'!$B$37</f>
        <v>Lachlan</v>
      </c>
      <c r="C106" s="49" t="str">
        <f>'2017 Determination - Revenue'!$C$22</f>
        <v>%</v>
      </c>
      <c r="D106" s="37"/>
      <c r="E106" s="37"/>
      <c r="F106" s="29">
        <v>0</v>
      </c>
      <c r="G106" s="29">
        <v>0</v>
      </c>
      <c r="H106" s="29">
        <v>0</v>
      </c>
      <c r="I106" s="29">
        <v>0</v>
      </c>
      <c r="J106" s="29">
        <v>0</v>
      </c>
      <c r="K106" s="29">
        <v>0</v>
      </c>
      <c r="L106" s="29">
        <v>0</v>
      </c>
      <c r="M106" s="29">
        <v>0</v>
      </c>
      <c r="N106" s="29">
        <v>0</v>
      </c>
      <c r="O106" s="29">
        <v>0</v>
      </c>
      <c r="P106" s="29">
        <v>0</v>
      </c>
      <c r="Q106" s="29">
        <v>0</v>
      </c>
      <c r="R106" s="29">
        <v>0</v>
      </c>
      <c r="S106" s="29">
        <v>0</v>
      </c>
      <c r="T106" s="29">
        <v>0</v>
      </c>
      <c r="U106" s="29">
        <v>0</v>
      </c>
      <c r="V106" s="29">
        <v>0</v>
      </c>
      <c r="W106" s="29">
        <v>0</v>
      </c>
      <c r="X106" s="29">
        <v>0</v>
      </c>
      <c r="Y106" s="29">
        <v>0</v>
      </c>
      <c r="Z106" s="29">
        <v>0</v>
      </c>
      <c r="AA106" s="99">
        <v>0</v>
      </c>
      <c r="AB106" s="99"/>
      <c r="AC106" s="99"/>
      <c r="AD106" s="99"/>
      <c r="AE106" s="91"/>
      <c r="AG106" s="390"/>
      <c r="AH106" s="390"/>
      <c r="AI106" s="390"/>
    </row>
    <row r="107" spans="2:35">
      <c r="B107" s="42" t="str">
        <f>'2017 Determination - Revenue'!$B$38</f>
        <v>Macquarie</v>
      </c>
      <c r="C107" s="49" t="str">
        <f>'2017 Determination - Revenue'!$C$22</f>
        <v>%</v>
      </c>
      <c r="D107" s="37"/>
      <c r="E107" s="37"/>
      <c r="F107" s="29">
        <v>0</v>
      </c>
      <c r="G107" s="29">
        <v>0</v>
      </c>
      <c r="H107" s="29">
        <v>0</v>
      </c>
      <c r="I107" s="29">
        <v>0</v>
      </c>
      <c r="J107" s="29">
        <v>0</v>
      </c>
      <c r="K107" s="29">
        <v>0</v>
      </c>
      <c r="L107" s="29">
        <v>0</v>
      </c>
      <c r="M107" s="29">
        <v>0</v>
      </c>
      <c r="N107" s="29">
        <v>0</v>
      </c>
      <c r="O107" s="29">
        <v>0</v>
      </c>
      <c r="P107" s="29">
        <v>0</v>
      </c>
      <c r="Q107" s="29">
        <v>0</v>
      </c>
      <c r="R107" s="29">
        <v>0</v>
      </c>
      <c r="S107" s="29">
        <v>0</v>
      </c>
      <c r="T107" s="29">
        <v>0</v>
      </c>
      <c r="U107" s="29">
        <v>0</v>
      </c>
      <c r="V107" s="29">
        <v>0</v>
      </c>
      <c r="W107" s="29">
        <v>0</v>
      </c>
      <c r="X107" s="29">
        <v>0</v>
      </c>
      <c r="Y107" s="29">
        <v>0</v>
      </c>
      <c r="Z107" s="29">
        <v>0</v>
      </c>
      <c r="AA107" s="99">
        <v>0</v>
      </c>
      <c r="AB107" s="99"/>
      <c r="AC107" s="99"/>
      <c r="AD107" s="99"/>
      <c r="AE107" s="91"/>
      <c r="AG107" s="390"/>
      <c r="AH107" s="390"/>
      <c r="AI107" s="390"/>
    </row>
    <row r="108" spans="2:35">
      <c r="B108" s="42" t="str">
        <f>'2017 Determination - Revenue'!$B$39</f>
        <v>Murray</v>
      </c>
      <c r="C108" s="49" t="str">
        <f>'2017 Determination - Revenue'!$C$22</f>
        <v>%</v>
      </c>
      <c r="D108" s="37"/>
      <c r="E108" s="37"/>
      <c r="F108" s="29">
        <v>0</v>
      </c>
      <c r="G108" s="29">
        <v>0</v>
      </c>
      <c r="H108" s="29">
        <v>0</v>
      </c>
      <c r="I108" s="29">
        <v>0</v>
      </c>
      <c r="J108" s="29">
        <v>0</v>
      </c>
      <c r="K108" s="29">
        <v>0</v>
      </c>
      <c r="L108" s="29">
        <v>0</v>
      </c>
      <c r="M108" s="29">
        <v>0</v>
      </c>
      <c r="N108" s="29">
        <v>0</v>
      </c>
      <c r="O108" s="29">
        <v>0</v>
      </c>
      <c r="P108" s="29">
        <v>0</v>
      </c>
      <c r="Q108" s="29">
        <v>0</v>
      </c>
      <c r="R108" s="29">
        <v>0</v>
      </c>
      <c r="S108" s="29">
        <v>0</v>
      </c>
      <c r="T108" s="29">
        <v>0</v>
      </c>
      <c r="U108" s="29">
        <v>0</v>
      </c>
      <c r="V108" s="29">
        <v>0</v>
      </c>
      <c r="W108" s="29">
        <v>0</v>
      </c>
      <c r="X108" s="29">
        <v>0</v>
      </c>
      <c r="Y108" s="29">
        <v>0</v>
      </c>
      <c r="Z108" s="29">
        <v>0</v>
      </c>
      <c r="AA108" s="99">
        <v>0</v>
      </c>
      <c r="AB108" s="99"/>
      <c r="AC108" s="99"/>
      <c r="AD108" s="99"/>
      <c r="AE108" s="91"/>
      <c r="AG108" s="390"/>
      <c r="AH108" s="390"/>
      <c r="AI108" s="390"/>
    </row>
    <row r="109" spans="2:35">
      <c r="B109" s="42" t="str">
        <f>'2017 Determination - Revenue'!$B$40</f>
        <v>Murrumbidgee</v>
      </c>
      <c r="C109" s="49" t="str">
        <f>'2017 Determination - Revenue'!$C$22</f>
        <v>%</v>
      </c>
      <c r="D109" s="37"/>
      <c r="E109" s="37"/>
      <c r="F109" s="29">
        <v>0</v>
      </c>
      <c r="G109" s="29">
        <v>0</v>
      </c>
      <c r="H109" s="29">
        <v>0</v>
      </c>
      <c r="I109" s="29">
        <v>0</v>
      </c>
      <c r="J109" s="29">
        <v>0</v>
      </c>
      <c r="K109" s="29">
        <v>0</v>
      </c>
      <c r="L109" s="29">
        <v>0</v>
      </c>
      <c r="M109" s="29">
        <v>0</v>
      </c>
      <c r="N109" s="29">
        <v>0</v>
      </c>
      <c r="O109" s="29">
        <v>0</v>
      </c>
      <c r="P109" s="29">
        <v>0</v>
      </c>
      <c r="Q109" s="29">
        <v>0</v>
      </c>
      <c r="R109" s="29">
        <v>0</v>
      </c>
      <c r="S109" s="29">
        <v>0</v>
      </c>
      <c r="T109" s="29">
        <v>0</v>
      </c>
      <c r="U109" s="29">
        <v>0</v>
      </c>
      <c r="V109" s="29">
        <v>0</v>
      </c>
      <c r="W109" s="29">
        <v>0</v>
      </c>
      <c r="X109" s="29">
        <v>0</v>
      </c>
      <c r="Y109" s="29">
        <v>0</v>
      </c>
      <c r="Z109" s="29">
        <v>0</v>
      </c>
      <c r="AA109" s="99">
        <v>0</v>
      </c>
      <c r="AB109" s="99"/>
      <c r="AC109" s="99"/>
      <c r="AD109" s="99"/>
      <c r="AE109" s="91"/>
      <c r="AG109" s="390"/>
      <c r="AH109" s="390"/>
      <c r="AI109" s="390"/>
    </row>
    <row r="110" spans="2:35">
      <c r="B110" s="42" t="str">
        <f>'2017 Determination - Revenue'!$B$41</f>
        <v>Lowbidgee</v>
      </c>
      <c r="C110" s="49" t="str">
        <f>'2017 Determination - Revenue'!$C$22</f>
        <v>%</v>
      </c>
      <c r="D110" s="37"/>
      <c r="E110" s="37"/>
      <c r="F110" s="29">
        <v>1</v>
      </c>
      <c r="G110" s="29">
        <v>1</v>
      </c>
      <c r="H110" s="29">
        <v>1</v>
      </c>
      <c r="I110" s="29">
        <v>1</v>
      </c>
      <c r="J110" s="29">
        <v>1</v>
      </c>
      <c r="K110" s="29">
        <v>1</v>
      </c>
      <c r="L110" s="29">
        <v>1</v>
      </c>
      <c r="M110" s="29">
        <v>1</v>
      </c>
      <c r="N110" s="29">
        <v>1</v>
      </c>
      <c r="O110" s="29">
        <v>1</v>
      </c>
      <c r="P110" s="29">
        <v>1</v>
      </c>
      <c r="Q110" s="29">
        <v>1</v>
      </c>
      <c r="R110" s="29">
        <v>1</v>
      </c>
      <c r="S110" s="29">
        <v>1</v>
      </c>
      <c r="T110" s="29">
        <v>1</v>
      </c>
      <c r="U110" s="29">
        <v>1</v>
      </c>
      <c r="V110" s="29">
        <v>1</v>
      </c>
      <c r="W110" s="29">
        <v>1</v>
      </c>
      <c r="X110" s="29">
        <v>1</v>
      </c>
      <c r="Y110" s="29">
        <v>1</v>
      </c>
      <c r="Z110" s="29">
        <v>1</v>
      </c>
      <c r="AA110" s="99">
        <v>1</v>
      </c>
      <c r="AB110" s="99"/>
      <c r="AC110" s="99"/>
      <c r="AD110" s="99"/>
      <c r="AE110" s="91"/>
      <c r="AG110" s="390"/>
      <c r="AH110" s="390"/>
      <c r="AI110" s="390"/>
    </row>
    <row r="111" spans="2:35" ht="12">
      <c r="B111" s="42"/>
      <c r="C111" s="37"/>
      <c r="D111" s="37"/>
      <c r="E111" s="37"/>
      <c r="F111" s="95"/>
      <c r="G111" s="86"/>
      <c r="H111" s="86"/>
      <c r="I111" s="86"/>
      <c r="J111" s="86"/>
      <c r="K111" s="86"/>
      <c r="L111" s="86"/>
      <c r="M111" s="86"/>
      <c r="N111" s="86"/>
      <c r="O111" s="86"/>
      <c r="P111" s="86"/>
      <c r="Q111" s="86"/>
      <c r="R111" s="86"/>
      <c r="S111" s="86"/>
      <c r="T111" s="86"/>
      <c r="U111" s="86"/>
      <c r="V111" s="86"/>
      <c r="W111" s="86"/>
      <c r="X111" s="86"/>
      <c r="Y111" s="86"/>
      <c r="Z111" s="86"/>
      <c r="AA111" s="104"/>
      <c r="AB111" s="86"/>
      <c r="AC111" s="86"/>
      <c r="AD111" s="86"/>
      <c r="AE111" s="91"/>
      <c r="AG111" s="193"/>
      <c r="AH111" s="193"/>
      <c r="AI111" s="193"/>
    </row>
    <row r="112" spans="2:35">
      <c r="B112" s="44"/>
      <c r="C112" s="35"/>
      <c r="D112" s="35"/>
      <c r="E112" s="35"/>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4"/>
      <c r="AG112" s="193"/>
      <c r="AH112" s="193"/>
      <c r="AI112" s="193"/>
    </row>
    <row r="113" spans="2:35">
      <c r="AG113" s="193"/>
      <c r="AH113" s="193"/>
      <c r="AI113" s="193"/>
    </row>
    <row r="114" spans="2:35">
      <c r="AG114" s="193"/>
      <c r="AH114" s="193"/>
      <c r="AI114" s="193"/>
    </row>
    <row r="115" spans="2:35">
      <c r="B115" s="32" t="s">
        <v>144</v>
      </c>
      <c r="C115" s="37"/>
      <c r="D115" s="37"/>
      <c r="E115" s="37"/>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G115" s="193"/>
      <c r="AH115" s="193"/>
      <c r="AI115" s="193"/>
    </row>
    <row r="116" spans="2:35">
      <c r="B116" s="61" t="str">
        <f>'2017 Determination - Revenue'!B$16</f>
        <v>Financial year</v>
      </c>
      <c r="C116" s="40" t="str">
        <f>'2017 Determination - Revenue'!C$28</f>
        <v>Units</v>
      </c>
      <c r="D116" s="40"/>
      <c r="E116" s="40"/>
      <c r="F116" s="144" t="str">
        <f t="shared" ref="F116:Z116" si="12">F$16</f>
        <v>1996-97</v>
      </c>
      <c r="G116" s="144" t="str">
        <f t="shared" si="12"/>
        <v>1997-98</v>
      </c>
      <c r="H116" s="144" t="str">
        <f t="shared" si="12"/>
        <v>1998-99</v>
      </c>
      <c r="I116" s="144" t="str">
        <f t="shared" si="12"/>
        <v>1999-00</v>
      </c>
      <c r="J116" s="144" t="str">
        <f t="shared" si="12"/>
        <v>2000-01</v>
      </c>
      <c r="K116" s="144" t="str">
        <f t="shared" si="12"/>
        <v>2001-02</v>
      </c>
      <c r="L116" s="144" t="str">
        <f t="shared" si="12"/>
        <v>2002-03</v>
      </c>
      <c r="M116" s="144" t="str">
        <f t="shared" si="12"/>
        <v>2003-04</v>
      </c>
      <c r="N116" s="144" t="str">
        <f t="shared" si="12"/>
        <v>2004-05</v>
      </c>
      <c r="O116" s="144" t="str">
        <f t="shared" si="12"/>
        <v>2005-06</v>
      </c>
      <c r="P116" s="144" t="str">
        <f t="shared" si="12"/>
        <v>2006-07</v>
      </c>
      <c r="Q116" s="144" t="str">
        <f t="shared" si="12"/>
        <v>2007-08</v>
      </c>
      <c r="R116" s="144" t="str">
        <f t="shared" si="12"/>
        <v>2008-09</v>
      </c>
      <c r="S116" s="144" t="str">
        <f t="shared" si="12"/>
        <v>2009-10</v>
      </c>
      <c r="T116" s="144" t="str">
        <f t="shared" si="12"/>
        <v>2010-11</v>
      </c>
      <c r="U116" s="144" t="str">
        <f t="shared" si="12"/>
        <v>2011-12</v>
      </c>
      <c r="V116" s="144" t="str">
        <f t="shared" si="12"/>
        <v>2012-13</v>
      </c>
      <c r="W116" s="144" t="str">
        <f t="shared" si="12"/>
        <v>2013-14</v>
      </c>
      <c r="X116" s="144" t="str">
        <f t="shared" si="12"/>
        <v>2014-15</v>
      </c>
      <c r="Y116" s="144" t="str">
        <f t="shared" si="12"/>
        <v>2015-16</v>
      </c>
      <c r="Z116" s="144" t="str">
        <f t="shared" si="12"/>
        <v>2016-17</v>
      </c>
      <c r="AA116" s="122" t="str">
        <f>AA$16</f>
        <v>2017-18</v>
      </c>
      <c r="AB116" s="122" t="str">
        <f>'2017 Determination - Revenue'!G$16</f>
        <v>2018-19</v>
      </c>
      <c r="AC116" s="122" t="str">
        <f>'2017 Determination - Revenue'!H$16</f>
        <v>2019-20</v>
      </c>
      <c r="AD116" s="122" t="str">
        <f>'2017 Determination - Revenue'!I$16</f>
        <v>2020-21</v>
      </c>
      <c r="AE116" s="90"/>
      <c r="AG116" s="193"/>
      <c r="AH116" s="193"/>
      <c r="AI116" s="193"/>
    </row>
    <row r="117" spans="2:35">
      <c r="B117" s="48"/>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143" t="s">
        <v>131</v>
      </c>
      <c r="AA117" s="138" t="str">
        <f>AA17</f>
        <v>Actual</v>
      </c>
      <c r="AB117" s="138" t="str">
        <f t="shared" ref="AB117:AD117" si="13">AB$17</f>
        <v>Actual</v>
      </c>
      <c r="AC117" s="138" t="str">
        <f t="shared" si="13"/>
        <v>Estimate</v>
      </c>
      <c r="AD117" s="138" t="str">
        <f t="shared" si="13"/>
        <v>Forecast</v>
      </c>
      <c r="AE117" s="91"/>
      <c r="AG117" s="193"/>
      <c r="AH117" s="193"/>
      <c r="AI117" s="193"/>
    </row>
    <row r="118" spans="2:35" ht="12">
      <c r="B118" s="48"/>
      <c r="C118" s="37"/>
      <c r="D118" s="37"/>
      <c r="E118" s="37"/>
      <c r="F118" s="86"/>
      <c r="G118" s="86"/>
      <c r="H118" s="86"/>
      <c r="I118" s="86"/>
      <c r="J118" s="86"/>
      <c r="K118" s="86"/>
      <c r="L118" s="86"/>
      <c r="M118" s="86"/>
      <c r="N118" s="86"/>
      <c r="O118" s="86"/>
      <c r="P118" s="86"/>
      <c r="Q118" s="86"/>
      <c r="R118" s="86"/>
      <c r="S118" s="86"/>
      <c r="T118" s="86"/>
      <c r="U118" s="86"/>
      <c r="V118" s="86"/>
      <c r="W118" s="86"/>
      <c r="X118" s="86"/>
      <c r="Y118" s="101"/>
      <c r="Z118" s="96"/>
      <c r="AA118" s="86"/>
      <c r="AB118" s="86"/>
      <c r="AC118" s="86"/>
      <c r="AD118" s="86"/>
      <c r="AE118" s="91"/>
      <c r="AG118" s="193"/>
      <c r="AH118" s="193"/>
      <c r="AI118" s="193"/>
    </row>
    <row r="119" spans="2:35" s="106" customFormat="1" ht="12">
      <c r="B119" s="48" t="s">
        <v>145</v>
      </c>
      <c r="C119" s="37"/>
      <c r="D119" s="37"/>
      <c r="E119" s="37"/>
      <c r="F119" s="86"/>
      <c r="G119" s="86"/>
      <c r="H119" s="86"/>
      <c r="I119" s="86"/>
      <c r="J119" s="86"/>
      <c r="K119" s="86"/>
      <c r="L119" s="86"/>
      <c r="M119" s="86"/>
      <c r="N119" s="86"/>
      <c r="O119" s="86"/>
      <c r="P119" s="86"/>
      <c r="Q119" s="86"/>
      <c r="R119" s="86"/>
      <c r="S119" s="86"/>
      <c r="T119" s="86"/>
      <c r="U119" s="86"/>
      <c r="V119" s="86"/>
      <c r="W119" s="86"/>
      <c r="X119" s="86"/>
      <c r="Y119" s="101"/>
      <c r="Z119" s="96"/>
      <c r="AA119" s="86"/>
      <c r="AB119" s="86"/>
      <c r="AC119" s="86"/>
      <c r="AD119" s="86"/>
      <c r="AE119" s="91"/>
      <c r="AF119" s="33"/>
      <c r="AG119" s="193"/>
      <c r="AH119" s="193"/>
      <c r="AI119" s="193"/>
    </row>
    <row r="120" spans="2:35">
      <c r="B120" s="76" t="str">
        <f>'Updated Volumes'!B$33</f>
        <v xml:space="preserve">Minor customers (filtered) </v>
      </c>
      <c r="C120" s="37" t="str">
        <f>'MDB calcs'!$C$102</f>
        <v>#</v>
      </c>
      <c r="D120" s="37"/>
      <c r="E120" s="37"/>
      <c r="F120" s="142" t="s">
        <v>131</v>
      </c>
      <c r="G120" s="142" t="s">
        <v>131</v>
      </c>
      <c r="H120" s="142" t="s">
        <v>131</v>
      </c>
      <c r="I120" s="142" t="s">
        <v>131</v>
      </c>
      <c r="J120" s="142" t="s">
        <v>131</v>
      </c>
      <c r="K120" s="142" t="s">
        <v>131</v>
      </c>
      <c r="L120" s="142" t="s">
        <v>131</v>
      </c>
      <c r="M120" s="142" t="s">
        <v>131</v>
      </c>
      <c r="N120" s="142" t="s">
        <v>131</v>
      </c>
      <c r="O120" s="142" t="s">
        <v>131</v>
      </c>
      <c r="P120" s="142" t="s">
        <v>131</v>
      </c>
      <c r="Q120" s="142" t="s">
        <v>131</v>
      </c>
      <c r="R120" s="142" t="s">
        <v>131</v>
      </c>
      <c r="S120" s="142" t="s">
        <v>131</v>
      </c>
      <c r="T120" s="142" t="s">
        <v>131</v>
      </c>
      <c r="U120" s="142" t="s">
        <v>131</v>
      </c>
      <c r="V120" s="142" t="s">
        <v>131</v>
      </c>
      <c r="W120" s="142" t="s">
        <v>131</v>
      </c>
      <c r="X120" s="142" t="s">
        <v>131</v>
      </c>
      <c r="Y120" s="142" t="s">
        <v>131</v>
      </c>
      <c r="Z120" s="142" t="s">
        <v>131</v>
      </c>
      <c r="AA120" s="100">
        <v>228</v>
      </c>
      <c r="AB120" s="100">
        <v>231</v>
      </c>
      <c r="AC120" s="100">
        <v>231</v>
      </c>
      <c r="AD120" s="100">
        <v>231</v>
      </c>
      <c r="AE120" s="91"/>
      <c r="AG120" s="390"/>
      <c r="AH120" s="390"/>
      <c r="AI120" s="390"/>
    </row>
    <row r="121" spans="2:35">
      <c r="B121" s="76" t="str">
        <f>'Updated Volumes'!B$32</f>
        <v xml:space="preserve">Minor customers (raw) </v>
      </c>
      <c r="C121" s="37" t="str">
        <f>'MDB calcs'!$C$102</f>
        <v>#</v>
      </c>
      <c r="D121" s="37"/>
      <c r="E121" s="37"/>
      <c r="F121" s="142" t="s">
        <v>131</v>
      </c>
      <c r="G121" s="142" t="s">
        <v>131</v>
      </c>
      <c r="H121" s="142" t="s">
        <v>131</v>
      </c>
      <c r="I121" s="142" t="s">
        <v>131</v>
      </c>
      <c r="J121" s="142" t="s">
        <v>131</v>
      </c>
      <c r="K121" s="142" t="s">
        <v>131</v>
      </c>
      <c r="L121" s="142" t="s">
        <v>131</v>
      </c>
      <c r="M121" s="142" t="s">
        <v>131</v>
      </c>
      <c r="N121" s="142" t="s">
        <v>131</v>
      </c>
      <c r="O121" s="142" t="s">
        <v>131</v>
      </c>
      <c r="P121" s="142" t="s">
        <v>131</v>
      </c>
      <c r="Q121" s="142" t="s">
        <v>131</v>
      </c>
      <c r="R121" s="142" t="s">
        <v>131</v>
      </c>
      <c r="S121" s="142" t="s">
        <v>131</v>
      </c>
      <c r="T121" s="142" t="s">
        <v>131</v>
      </c>
      <c r="U121" s="142" t="s">
        <v>131</v>
      </c>
      <c r="V121" s="142" t="s">
        <v>131</v>
      </c>
      <c r="W121" s="142" t="s">
        <v>131</v>
      </c>
      <c r="X121" s="142" t="s">
        <v>131</v>
      </c>
      <c r="Y121" s="142" t="s">
        <v>131</v>
      </c>
      <c r="Z121" s="142" t="s">
        <v>131</v>
      </c>
      <c r="AA121" s="100">
        <v>83</v>
      </c>
      <c r="AB121" s="100">
        <v>84</v>
      </c>
      <c r="AC121" s="100">
        <v>84</v>
      </c>
      <c r="AD121" s="100">
        <v>84</v>
      </c>
      <c r="AE121" s="91"/>
      <c r="AG121" s="390"/>
      <c r="AH121" s="390"/>
      <c r="AI121" s="390"/>
    </row>
    <row r="122" spans="2:35" s="106" customFormat="1">
      <c r="B122" s="76"/>
      <c r="C122" s="37"/>
      <c r="D122" s="37"/>
      <c r="E122" s="37"/>
      <c r="F122" s="86"/>
      <c r="G122" s="86"/>
      <c r="H122" s="86"/>
      <c r="I122" s="86"/>
      <c r="J122" s="86"/>
      <c r="K122" s="86"/>
      <c r="L122" s="86"/>
      <c r="M122" s="86"/>
      <c r="N122" s="86"/>
      <c r="O122" s="86"/>
      <c r="P122" s="86"/>
      <c r="Q122" s="86"/>
      <c r="R122" s="86"/>
      <c r="S122" s="86"/>
      <c r="T122" s="86"/>
      <c r="U122" s="86"/>
      <c r="V122" s="86"/>
      <c r="W122" s="86"/>
      <c r="X122" s="86"/>
      <c r="Y122" s="86"/>
      <c r="Z122" s="86"/>
      <c r="AA122" s="100"/>
      <c r="AB122" s="100"/>
      <c r="AC122" s="100"/>
      <c r="AD122" s="100"/>
      <c r="AE122" s="91"/>
      <c r="AF122" s="33"/>
      <c r="AG122" s="390"/>
      <c r="AH122" s="390"/>
      <c r="AI122" s="390"/>
    </row>
    <row r="123" spans="2:35" s="106" customFormat="1">
      <c r="B123" s="48" t="s">
        <v>121</v>
      </c>
      <c r="C123" s="37"/>
      <c r="D123" s="37"/>
      <c r="E123" s="37"/>
      <c r="F123" s="86"/>
      <c r="G123" s="86"/>
      <c r="H123" s="86"/>
      <c r="I123" s="86"/>
      <c r="J123" s="86"/>
      <c r="K123" s="86"/>
      <c r="L123" s="86"/>
      <c r="M123" s="86"/>
      <c r="N123" s="86"/>
      <c r="O123" s="86"/>
      <c r="P123" s="86"/>
      <c r="Q123" s="86"/>
      <c r="R123" s="86"/>
      <c r="S123" s="86"/>
      <c r="T123" s="86"/>
      <c r="U123" s="86"/>
      <c r="V123" s="86"/>
      <c r="W123" s="86"/>
      <c r="X123" s="86"/>
      <c r="Y123" s="101"/>
      <c r="Z123" s="86"/>
      <c r="AA123" s="86"/>
      <c r="AB123" s="86"/>
      <c r="AC123" s="86"/>
      <c r="AD123" s="86"/>
      <c r="AE123" s="91"/>
      <c r="AF123" s="33"/>
      <c r="AG123" s="193"/>
      <c r="AH123" s="193"/>
      <c r="AI123" s="193"/>
    </row>
    <row r="124" spans="2:35" s="106" customFormat="1">
      <c r="B124" s="42" t="str">
        <f>B$31</f>
        <v xml:space="preserve">Energy Australia </v>
      </c>
      <c r="C124" s="37" t="str">
        <f>C$20</f>
        <v>ML</v>
      </c>
      <c r="D124" s="37"/>
      <c r="E124" s="37"/>
      <c r="F124" s="86"/>
      <c r="G124" s="86"/>
      <c r="H124" s="86"/>
      <c r="I124" s="86"/>
      <c r="J124" s="86"/>
      <c r="K124" s="86"/>
      <c r="L124" s="86"/>
      <c r="M124" s="86"/>
      <c r="N124" s="86"/>
      <c r="O124" s="86"/>
      <c r="P124" s="86"/>
      <c r="Q124" s="86"/>
      <c r="R124" s="86"/>
      <c r="S124" s="86"/>
      <c r="T124" s="86"/>
      <c r="U124" s="86"/>
      <c r="V124" s="86"/>
      <c r="W124" s="86"/>
      <c r="X124" s="86"/>
      <c r="Y124" s="101"/>
      <c r="AA124" s="100">
        <v>8184</v>
      </c>
      <c r="AB124" s="100">
        <v>8184</v>
      </c>
      <c r="AC124" s="100">
        <v>8184</v>
      </c>
      <c r="AD124" s="100">
        <v>8184</v>
      </c>
      <c r="AE124" s="91"/>
      <c r="AF124" s="33"/>
      <c r="AG124" s="390"/>
      <c r="AH124" s="390"/>
      <c r="AI124" s="390"/>
    </row>
    <row r="125" spans="2:35" s="106" customFormat="1">
      <c r="B125" s="42" t="str">
        <f>B$32</f>
        <v xml:space="preserve">Minor customers (raw) </v>
      </c>
      <c r="C125" s="37" t="str">
        <f>C$20</f>
        <v>ML</v>
      </c>
      <c r="D125" s="37"/>
      <c r="E125" s="37"/>
      <c r="F125" s="86"/>
      <c r="G125" s="86"/>
      <c r="H125" s="86"/>
      <c r="I125" s="86"/>
      <c r="J125" s="86"/>
      <c r="K125" s="86"/>
      <c r="L125" s="86"/>
      <c r="M125" s="86"/>
      <c r="N125" s="86"/>
      <c r="O125" s="86"/>
      <c r="P125" s="86"/>
      <c r="Q125" s="86"/>
      <c r="R125" s="86"/>
      <c r="S125" s="86"/>
      <c r="T125" s="86"/>
      <c r="U125" s="86"/>
      <c r="V125" s="86"/>
      <c r="W125" s="86"/>
      <c r="X125" s="86"/>
      <c r="Y125" s="101"/>
      <c r="AA125" s="100">
        <v>16.600000000000001</v>
      </c>
      <c r="AB125" s="100">
        <v>16.8</v>
      </c>
      <c r="AC125" s="100">
        <v>16.8</v>
      </c>
      <c r="AD125" s="100">
        <v>16.8</v>
      </c>
      <c r="AE125" s="91"/>
      <c r="AF125" s="33"/>
      <c r="AG125" s="390"/>
      <c r="AH125" s="390"/>
      <c r="AI125" s="390"/>
    </row>
    <row r="126" spans="2:35" s="106" customFormat="1">
      <c r="B126" s="42" t="str">
        <f>B$33</f>
        <v xml:space="preserve">Minor customers (filtered) </v>
      </c>
      <c r="C126" s="37" t="str">
        <f>C$20</f>
        <v>ML</v>
      </c>
      <c r="D126" s="37"/>
      <c r="E126" s="37"/>
      <c r="F126" s="86"/>
      <c r="G126" s="86"/>
      <c r="H126" s="86"/>
      <c r="I126" s="86"/>
      <c r="J126" s="86"/>
      <c r="K126" s="86"/>
      <c r="L126" s="86"/>
      <c r="M126" s="86"/>
      <c r="N126" s="86"/>
      <c r="O126" s="86"/>
      <c r="P126" s="86"/>
      <c r="Q126" s="86"/>
      <c r="R126" s="86"/>
      <c r="S126" s="86"/>
      <c r="T126" s="86"/>
      <c r="U126" s="86"/>
      <c r="V126" s="86"/>
      <c r="W126" s="86"/>
      <c r="X126" s="86"/>
      <c r="Y126" s="101"/>
      <c r="AA126" s="100">
        <v>45.6</v>
      </c>
      <c r="AB126" s="100">
        <v>46.2</v>
      </c>
      <c r="AC126" s="100">
        <v>46.2</v>
      </c>
      <c r="AD126" s="100">
        <v>46.2</v>
      </c>
      <c r="AE126" s="91"/>
      <c r="AF126" s="33"/>
      <c r="AG126" s="390"/>
      <c r="AH126" s="390"/>
      <c r="AI126" s="390"/>
    </row>
    <row r="127" spans="2:35">
      <c r="B127" s="44"/>
      <c r="C127" s="35"/>
      <c r="D127" s="35"/>
      <c r="E127" s="35"/>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4"/>
      <c r="AG127" s="193"/>
    </row>
    <row r="128" spans="2:35">
      <c r="AA128" s="31"/>
      <c r="AB128" s="31"/>
      <c r="AC128" s="31"/>
      <c r="AD128" s="106"/>
      <c r="AE128" s="31"/>
      <c r="AF128" s="31"/>
      <c r="AG128" s="193"/>
    </row>
    <row r="129" spans="27:33">
      <c r="AA129" s="31"/>
      <c r="AB129" s="31"/>
      <c r="AC129" s="31"/>
      <c r="AD129" s="106"/>
      <c r="AE129" s="31"/>
      <c r="AF129" s="31"/>
      <c r="AG129" s="193"/>
    </row>
    <row r="130" spans="27:33">
      <c r="AA130" s="31"/>
      <c r="AB130" s="31"/>
      <c r="AC130" s="31"/>
      <c r="AD130" s="106"/>
      <c r="AE130" s="31"/>
      <c r="AF130" s="31"/>
      <c r="AG130" s="193"/>
    </row>
    <row r="131" spans="27:33">
      <c r="AA131" s="31"/>
      <c r="AB131" s="31"/>
      <c r="AC131" s="31"/>
      <c r="AD131" s="106"/>
      <c r="AE131" s="31"/>
      <c r="AF131" s="31"/>
      <c r="AG131" s="193"/>
    </row>
    <row r="132" spans="27:33">
      <c r="AA132" s="31"/>
      <c r="AB132" s="31"/>
      <c r="AC132" s="31"/>
      <c r="AD132" s="106"/>
      <c r="AE132" s="31"/>
      <c r="AF132" s="31"/>
    </row>
    <row r="133" spans="27:33">
      <c r="AA133" s="31"/>
      <c r="AB133" s="31"/>
      <c r="AC133" s="31"/>
      <c r="AD133" s="106"/>
      <c r="AE133" s="31"/>
      <c r="AF133" s="31"/>
    </row>
    <row r="134" spans="27:33">
      <c r="AA134" s="31"/>
      <c r="AB134" s="31"/>
      <c r="AC134" s="31"/>
      <c r="AD134" s="106"/>
      <c r="AE134" s="31"/>
      <c r="AF134" s="31"/>
    </row>
    <row r="135" spans="27:33">
      <c r="AA135" s="31"/>
      <c r="AB135" s="31"/>
      <c r="AC135" s="31"/>
      <c r="AD135" s="106"/>
      <c r="AE135" s="31"/>
      <c r="AF135" s="31"/>
    </row>
    <row r="136" spans="27:33">
      <c r="AA136" s="31"/>
      <c r="AB136" s="31"/>
      <c r="AC136" s="31"/>
      <c r="AD136" s="106"/>
      <c r="AE136" s="31"/>
      <c r="AF136" s="3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2:N212"/>
  <sheetViews>
    <sheetView showGridLines="0" topLeftCell="A139" workbookViewId="0">
      <selection activeCell="I33" sqref="I33"/>
    </sheetView>
  </sheetViews>
  <sheetFormatPr defaultColWidth="9.09765625" defaultRowHeight="11.5"/>
  <cols>
    <col min="1" max="1" width="3" style="31" customWidth="1"/>
    <col min="2" max="2" width="50.09765625" style="31" customWidth="1"/>
    <col min="3" max="3" width="9" style="31" customWidth="1"/>
    <col min="4" max="4" width="5.69921875" style="31" customWidth="1"/>
    <col min="5" max="5" width="14.3984375" style="31" customWidth="1"/>
    <col min="6" max="7" width="13.69921875" style="31" customWidth="1"/>
    <col min="8" max="9" width="13.69921875" style="106" customWidth="1"/>
    <col min="10" max="10" width="5.69921875" style="31" customWidth="1"/>
    <col min="11" max="11" width="11.8984375" style="31" bestFit="1" customWidth="1"/>
    <col min="12" max="12" width="9.09765625" style="193"/>
    <col min="13" max="16384" width="9.09765625" style="31"/>
  </cols>
  <sheetData>
    <row r="2" spans="1:12" ht="18">
      <c r="B2" s="34" t="s">
        <v>161</v>
      </c>
    </row>
    <row r="3" spans="1:12">
      <c r="B3" s="31" t="s">
        <v>171</v>
      </c>
    </row>
    <row r="5" spans="1:12">
      <c r="B5" s="114" t="s">
        <v>28</v>
      </c>
      <c r="C5" s="114"/>
      <c r="D5" s="114"/>
      <c r="F5" s="147" t="s">
        <v>29</v>
      </c>
    </row>
    <row r="6" spans="1:12" ht="14.25" customHeight="1">
      <c r="B6" s="148" t="str">
        <f>B14</f>
        <v>TABLE 2.1 - INFLATION AS PER 2017 DETERMINATION</v>
      </c>
      <c r="C6" s="149"/>
      <c r="D6" s="149"/>
      <c r="E6" s="40"/>
      <c r="F6" s="150">
        <f>ROW(B14)</f>
        <v>14</v>
      </c>
    </row>
    <row r="7" spans="1:12">
      <c r="B7" s="145" t="str">
        <f>B27</f>
        <v xml:space="preserve">TABLE 2.2 - REVENUE REQUIREMENT EXCLUDING MDBA/BRC REVENUE </v>
      </c>
      <c r="C7" s="145"/>
      <c r="D7" s="145"/>
      <c r="E7" s="37"/>
      <c r="F7" s="110">
        <f>ROW(B27)</f>
        <v>27</v>
      </c>
    </row>
    <row r="8" spans="1:12">
      <c r="B8" s="145" t="str">
        <f>B75</f>
        <v>TABLE 2.3 - MDBA/BRC REVENUE REQUIREMENT</v>
      </c>
      <c r="C8" s="145"/>
      <c r="D8" s="145"/>
      <c r="E8" s="37"/>
      <c r="F8" s="110">
        <f>ROW(B75)</f>
        <v>75</v>
      </c>
    </row>
    <row r="9" spans="1:12">
      <c r="B9" s="145" t="str">
        <f>B105</f>
        <v>TABLE 2.4 - SECURITY FACTORS</v>
      </c>
      <c r="C9" s="145"/>
      <c r="D9" s="145"/>
      <c r="E9" s="37"/>
      <c r="F9" s="110">
        <f>ROW(B105)</f>
        <v>105</v>
      </c>
    </row>
    <row r="10" spans="1:12" s="106" customFormat="1">
      <c r="B10" s="146" t="str">
        <f>B124</f>
        <v>TABLE 2.5 - CUSTOMER USAGE VOLUMES FOR CALCULATION OF BILLS</v>
      </c>
      <c r="C10" s="146"/>
      <c r="D10" s="146"/>
      <c r="E10" s="35"/>
      <c r="F10" s="97">
        <f>ROW(B124)</f>
        <v>124</v>
      </c>
      <c r="L10" s="193"/>
    </row>
    <row r="13" spans="1:12">
      <c r="A13" s="106"/>
      <c r="B13" s="106"/>
      <c r="C13" s="106"/>
      <c r="D13" s="106"/>
      <c r="E13" s="106"/>
    </row>
    <row r="14" spans="1:12">
      <c r="B14" s="32" t="s">
        <v>215</v>
      </c>
      <c r="J14" s="106"/>
    </row>
    <row r="15" spans="1:12">
      <c r="B15" s="39" t="s">
        <v>25</v>
      </c>
      <c r="C15" s="40" t="str">
        <f>C$28</f>
        <v>Units</v>
      </c>
      <c r="D15" s="40"/>
      <c r="E15" s="134">
        <v>2017</v>
      </c>
      <c r="F15" s="133">
        <f>E15+1</f>
        <v>2018</v>
      </c>
      <c r="G15" s="133">
        <f t="shared" ref="G15:I15" si="0">F15+1</f>
        <v>2019</v>
      </c>
      <c r="H15" s="181">
        <f t="shared" si="0"/>
        <v>2020</v>
      </c>
      <c r="I15" s="181">
        <f t="shared" si="0"/>
        <v>2021</v>
      </c>
      <c r="J15" s="41"/>
    </row>
    <row r="16" spans="1:12" ht="12" customHeight="1">
      <c r="B16" s="42" t="s">
        <v>26</v>
      </c>
      <c r="C16" s="37"/>
      <c r="D16" s="37"/>
      <c r="E16" s="123" t="str">
        <f>E15-1&amp;"-"&amp;RIGHT(E15,2)</f>
        <v>2016-17</v>
      </c>
      <c r="F16" s="123" t="str">
        <f>F15-1&amp;"-"&amp;RIGHT(F15,2)</f>
        <v>2017-18</v>
      </c>
      <c r="G16" s="123" t="str">
        <f>G15-1&amp;"-"&amp;RIGHT(G15,2)</f>
        <v>2018-19</v>
      </c>
      <c r="H16" s="304" t="str">
        <f>H15-1&amp;"-"&amp;RIGHT(H15,2)</f>
        <v>2019-20</v>
      </c>
      <c r="I16" s="304" t="str">
        <f>I15-1&amp;"-"&amp;RIGHT(I15,2)</f>
        <v>2020-21</v>
      </c>
      <c r="J16" s="43"/>
    </row>
    <row r="17" spans="2:14" s="106" customFormat="1" ht="12" customHeight="1">
      <c r="B17" s="42"/>
      <c r="C17" s="37"/>
      <c r="D17" s="37"/>
      <c r="E17" s="37"/>
      <c r="F17" s="147"/>
      <c r="G17" s="147"/>
      <c r="H17" s="71"/>
      <c r="I17" s="71"/>
      <c r="J17" s="43"/>
      <c r="L17" s="193"/>
    </row>
    <row r="18" spans="2:14" s="106" customFormat="1" ht="12" customHeight="1">
      <c r="B18" s="48" t="s">
        <v>211</v>
      </c>
      <c r="C18" s="27" t="s">
        <v>1</v>
      </c>
      <c r="D18" s="37"/>
      <c r="E18" s="37"/>
      <c r="F18" s="179">
        <v>2.1000000000000001E-2</v>
      </c>
      <c r="G18" s="147"/>
      <c r="H18" s="71"/>
      <c r="I18" s="71"/>
      <c r="J18" s="43"/>
      <c r="L18" s="193"/>
    </row>
    <row r="19" spans="2:14" s="106" customFormat="1" ht="12" customHeight="1">
      <c r="B19" s="42"/>
      <c r="C19" s="37"/>
      <c r="D19" s="37"/>
      <c r="E19" s="37"/>
      <c r="F19" s="147"/>
      <c r="G19" s="147"/>
      <c r="H19" s="71"/>
      <c r="I19" s="71"/>
      <c r="J19" s="43"/>
      <c r="L19" s="193"/>
    </row>
    <row r="20" spans="2:14" ht="12" customHeight="1">
      <c r="B20" s="48" t="s">
        <v>212</v>
      </c>
      <c r="C20" s="37"/>
      <c r="D20" s="37"/>
      <c r="E20" s="37"/>
      <c r="F20" s="105"/>
      <c r="G20" s="37"/>
      <c r="H20" s="190"/>
      <c r="I20" s="190"/>
      <c r="J20" s="43"/>
      <c r="N20" s="106"/>
    </row>
    <row r="21" spans="2:14" s="106" customFormat="1" ht="12" customHeight="1">
      <c r="B21" s="42" t="s">
        <v>209</v>
      </c>
      <c r="C21" s="37"/>
      <c r="D21" s="37"/>
      <c r="E21" s="98">
        <v>110.5</v>
      </c>
      <c r="F21" s="98">
        <v>112.6</v>
      </c>
      <c r="G21" s="98">
        <v>114.1</v>
      </c>
      <c r="H21" s="305">
        <v>116.5</v>
      </c>
      <c r="I21" s="98"/>
      <c r="J21" s="43"/>
      <c r="L21" s="193"/>
    </row>
    <row r="22" spans="2:14" ht="12" customHeight="1">
      <c r="B22" s="42" t="s">
        <v>214</v>
      </c>
      <c r="C22" s="27" t="s">
        <v>1</v>
      </c>
      <c r="D22" s="37"/>
      <c r="E22" s="37"/>
      <c r="F22" s="190"/>
      <c r="G22" s="389">
        <f>IFERROR(ROUND(F21/$E$21-1,3),"")</f>
        <v>1.9E-2</v>
      </c>
      <c r="H22" s="389">
        <f>IFERROR(ROUND(G21/$E$21-1,3),"")</f>
        <v>3.3000000000000002E-2</v>
      </c>
      <c r="I22" s="389">
        <f>IFERROR(ROUND(H21/$E$21-1,3),"")</f>
        <v>5.3999999999999999E-2</v>
      </c>
      <c r="J22" s="43"/>
      <c r="K22" s="111"/>
      <c r="N22" s="106"/>
    </row>
    <row r="23" spans="2:14" s="106" customFormat="1" ht="12" customHeight="1">
      <c r="B23" s="42" t="s">
        <v>213</v>
      </c>
      <c r="C23" s="27" t="s">
        <v>1</v>
      </c>
      <c r="D23" s="37"/>
      <c r="E23" s="37"/>
      <c r="F23" s="190"/>
      <c r="G23" s="389">
        <f>IFERROR(ROUND(F21/$E$21-1,3),"")</f>
        <v>1.9E-2</v>
      </c>
      <c r="H23" s="389">
        <f>IFERROR(ROUND(G21/$F$21-1,3),"")</f>
        <v>1.2999999999999999E-2</v>
      </c>
      <c r="I23" s="389">
        <f>IFERROR(ROUND(H21/$G$21-1,3),"")</f>
        <v>2.1000000000000001E-2</v>
      </c>
      <c r="J23" s="43"/>
      <c r="K23" s="111"/>
      <c r="L23" s="193"/>
    </row>
    <row r="24" spans="2:14">
      <c r="B24" s="44"/>
      <c r="C24" s="35"/>
      <c r="D24" s="35"/>
      <c r="E24" s="35"/>
      <c r="F24" s="35"/>
      <c r="G24" s="35"/>
      <c r="H24" s="35"/>
      <c r="I24" s="35"/>
      <c r="J24" s="45"/>
      <c r="N24" s="106"/>
    </row>
    <row r="25" spans="2:14">
      <c r="N25" s="106"/>
    </row>
    <row r="26" spans="2:14">
      <c r="N26" s="106"/>
    </row>
    <row r="27" spans="2:14">
      <c r="B27" s="32" t="s">
        <v>63</v>
      </c>
      <c r="J27" s="106"/>
      <c r="K27" s="106"/>
      <c r="N27" s="106"/>
    </row>
    <row r="28" spans="2:14">
      <c r="B28" s="39" t="str">
        <f>B16</f>
        <v>Financial year</v>
      </c>
      <c r="C28" s="40" t="s">
        <v>27</v>
      </c>
      <c r="D28" s="40"/>
      <c r="E28" s="40"/>
      <c r="F28" s="124" t="str">
        <f>F$16</f>
        <v>2017-18</v>
      </c>
      <c r="G28" s="124" t="str">
        <f>G$16</f>
        <v>2018-19</v>
      </c>
      <c r="H28" s="124" t="str">
        <f>H$16</f>
        <v>2019-20</v>
      </c>
      <c r="I28" s="124" t="str">
        <f>I$16</f>
        <v>2020-21</v>
      </c>
      <c r="J28" s="135"/>
      <c r="N28" s="106"/>
    </row>
    <row r="29" spans="2:14">
      <c r="B29" s="42"/>
      <c r="C29" s="37"/>
      <c r="D29" s="37"/>
      <c r="E29" s="47"/>
      <c r="F29" s="125" t="s">
        <v>60</v>
      </c>
      <c r="G29" s="126" t="str">
        <f>'2017 Determination - Revenue'!$F$29</f>
        <v>$2016-17</v>
      </c>
      <c r="H29" s="126" t="str">
        <f>'2017 Determination - Revenue'!$F$29</f>
        <v>$2016-17</v>
      </c>
      <c r="I29" s="126" t="str">
        <f>'2017 Determination - Revenue'!$F$29</f>
        <v>$2016-17</v>
      </c>
      <c r="J29" s="136"/>
      <c r="N29" s="106"/>
    </row>
    <row r="30" spans="2:14">
      <c r="B30" s="42"/>
      <c r="C30" s="37"/>
      <c r="D30" s="37"/>
      <c r="E30" s="37"/>
      <c r="F30" s="37"/>
      <c r="G30" s="37"/>
      <c r="H30" s="37"/>
      <c r="I30" s="37"/>
      <c r="J30" s="43"/>
      <c r="N30" s="106"/>
    </row>
    <row r="31" spans="2:14">
      <c r="B31" s="48" t="s">
        <v>12</v>
      </c>
      <c r="C31" s="37"/>
      <c r="D31" s="37"/>
      <c r="E31" s="37"/>
      <c r="F31" s="37"/>
      <c r="G31" s="37"/>
      <c r="H31" s="37"/>
      <c r="I31" s="37"/>
      <c r="J31" s="43"/>
      <c r="N31" s="106"/>
    </row>
    <row r="32" spans="2:14" s="106" customFormat="1" ht="12">
      <c r="B32" s="81" t="s">
        <v>173</v>
      </c>
      <c r="C32" s="37"/>
      <c r="D32" s="37"/>
      <c r="E32" s="37"/>
      <c r="F32" s="37"/>
      <c r="G32" s="37"/>
      <c r="H32" s="37"/>
      <c r="I32" s="37"/>
      <c r="J32" s="43"/>
      <c r="L32" s="193"/>
    </row>
    <row r="33" spans="2:14" ht="12" customHeight="1">
      <c r="B33" s="28" t="s">
        <v>17</v>
      </c>
      <c r="C33" s="27" t="s">
        <v>13</v>
      </c>
      <c r="D33" s="37"/>
      <c r="E33" s="37"/>
      <c r="F33" s="98">
        <v>1344.7697650285472</v>
      </c>
      <c r="G33" s="98">
        <v>1344.7697650285472</v>
      </c>
      <c r="H33" s="98">
        <v>1344.7697650285472</v>
      </c>
      <c r="I33" s="98">
        <v>1344.7697650285472</v>
      </c>
      <c r="J33" s="43"/>
      <c r="K33" s="193"/>
      <c r="N33" s="106"/>
    </row>
    <row r="34" spans="2:14">
      <c r="B34" s="28" t="s">
        <v>18</v>
      </c>
      <c r="C34" s="37" t="str">
        <f t="shared" ref="C34:C41" si="1">C$33</f>
        <v>$'000</v>
      </c>
      <c r="D34" s="37"/>
      <c r="E34" s="37"/>
      <c r="F34" s="98">
        <v>5187.1886948974634</v>
      </c>
      <c r="G34" s="98">
        <v>5187.1886948974634</v>
      </c>
      <c r="H34" s="98">
        <v>5187.1886948974634</v>
      </c>
      <c r="I34" s="98">
        <v>5187.1886948974634</v>
      </c>
      <c r="J34" s="43"/>
      <c r="K34" s="106"/>
      <c r="N34" s="106"/>
    </row>
    <row r="35" spans="2:14">
      <c r="B35" s="28" t="s">
        <v>19</v>
      </c>
      <c r="C35" s="37" t="str">
        <f t="shared" si="1"/>
        <v>$'000</v>
      </c>
      <c r="D35" s="37"/>
      <c r="E35" s="37"/>
      <c r="F35" s="98">
        <v>5486.6491176172922</v>
      </c>
      <c r="G35" s="98">
        <v>5486.6491176172922</v>
      </c>
      <c r="H35" s="98">
        <v>5486.6491176172922</v>
      </c>
      <c r="I35" s="98">
        <v>5486.6491176172922</v>
      </c>
      <c r="J35" s="43"/>
      <c r="K35" s="106"/>
      <c r="N35" s="106"/>
    </row>
    <row r="36" spans="2:14">
      <c r="B36" s="28" t="s">
        <v>20</v>
      </c>
      <c r="C36" s="37" t="str">
        <f t="shared" si="1"/>
        <v>$'000</v>
      </c>
      <c r="D36" s="37"/>
      <c r="E36" s="37"/>
      <c r="F36" s="98">
        <v>1055.9400280129389</v>
      </c>
      <c r="G36" s="98">
        <v>1055.9400280129389</v>
      </c>
      <c r="H36" s="98">
        <v>1055.9400280129389</v>
      </c>
      <c r="I36" s="98">
        <v>1055.9400280129389</v>
      </c>
      <c r="J36" s="43"/>
      <c r="K36" s="106"/>
      <c r="N36" s="106"/>
    </row>
    <row r="37" spans="2:14">
      <c r="B37" s="28" t="s">
        <v>21</v>
      </c>
      <c r="C37" s="37" t="str">
        <f t="shared" si="1"/>
        <v>$'000</v>
      </c>
      <c r="D37" s="37"/>
      <c r="E37" s="37"/>
      <c r="F37" s="98">
        <v>6536.1319155625815</v>
      </c>
      <c r="G37" s="98">
        <v>6536.1319155625815</v>
      </c>
      <c r="H37" s="98">
        <v>6536.1319155625815</v>
      </c>
      <c r="I37" s="98">
        <v>6536.1319155625815</v>
      </c>
      <c r="J37" s="43"/>
      <c r="K37" s="106"/>
    </row>
    <row r="38" spans="2:14">
      <c r="B38" s="28" t="s">
        <v>22</v>
      </c>
      <c r="C38" s="37" t="str">
        <f t="shared" si="1"/>
        <v>$'000</v>
      </c>
      <c r="D38" s="37"/>
      <c r="E38" s="37"/>
      <c r="F38" s="98">
        <v>5952.9292820896098</v>
      </c>
      <c r="G38" s="98">
        <v>5952.9292820896098</v>
      </c>
      <c r="H38" s="98">
        <v>5952.9292820896098</v>
      </c>
      <c r="I38" s="98">
        <v>5952.9292820896098</v>
      </c>
      <c r="J38" s="43"/>
      <c r="K38" s="106"/>
    </row>
    <row r="39" spans="2:14">
      <c r="B39" s="28" t="s">
        <v>23</v>
      </c>
      <c r="C39" s="37" t="str">
        <f t="shared" si="1"/>
        <v>$'000</v>
      </c>
      <c r="D39" s="37"/>
      <c r="E39" s="37"/>
      <c r="F39" s="98">
        <v>4947.1990109016042</v>
      </c>
      <c r="G39" s="98">
        <v>4947.1990109016042</v>
      </c>
      <c r="H39" s="98">
        <v>4947.1990109016042</v>
      </c>
      <c r="I39" s="98">
        <v>4947.1990109016042</v>
      </c>
      <c r="J39" s="43"/>
      <c r="K39" s="106"/>
    </row>
    <row r="40" spans="2:14">
      <c r="B40" s="28" t="s">
        <v>24</v>
      </c>
      <c r="C40" s="37" t="str">
        <f t="shared" si="1"/>
        <v>$'000</v>
      </c>
      <c r="D40" s="37"/>
      <c r="E40" s="37"/>
      <c r="F40" s="98">
        <v>9568.6577255460525</v>
      </c>
      <c r="G40" s="98">
        <v>9568.6577255460525</v>
      </c>
      <c r="H40" s="98">
        <v>9568.6577255460525</v>
      </c>
      <c r="I40" s="98">
        <v>9568.6577255460525</v>
      </c>
      <c r="J40" s="43"/>
      <c r="K40" s="106"/>
    </row>
    <row r="41" spans="2:14">
      <c r="B41" s="28" t="s">
        <v>48</v>
      </c>
      <c r="C41" s="37" t="str">
        <f t="shared" si="1"/>
        <v>$'000</v>
      </c>
      <c r="D41" s="37"/>
      <c r="E41" s="37"/>
      <c r="F41" s="98">
        <v>585.59474030538888</v>
      </c>
      <c r="G41" s="98">
        <v>585.59474030538888</v>
      </c>
      <c r="H41" s="98">
        <v>585.59474030538888</v>
      </c>
      <c r="I41" s="98">
        <v>585.59474030538888</v>
      </c>
      <c r="J41" s="43"/>
      <c r="K41" s="106"/>
    </row>
    <row r="42" spans="2:14">
      <c r="B42" s="42"/>
      <c r="C42" s="37"/>
      <c r="D42" s="37"/>
      <c r="E42" s="37"/>
      <c r="F42" s="49"/>
      <c r="G42" s="49"/>
      <c r="H42" s="49"/>
      <c r="I42" s="190"/>
      <c r="J42" s="43"/>
      <c r="K42" s="106"/>
    </row>
    <row r="43" spans="2:14">
      <c r="B43" s="48" t="s">
        <v>14</v>
      </c>
      <c r="C43" s="37"/>
      <c r="D43" s="37"/>
      <c r="E43" s="37"/>
      <c r="F43" s="49"/>
      <c r="G43" s="49"/>
      <c r="H43" s="49"/>
      <c r="I43" s="190"/>
      <c r="J43" s="43"/>
      <c r="K43" s="106"/>
    </row>
    <row r="44" spans="2:14" s="106" customFormat="1" ht="12">
      <c r="B44" s="81" t="s">
        <v>176</v>
      </c>
      <c r="C44" s="37"/>
      <c r="D44" s="37"/>
      <c r="E44" s="37"/>
      <c r="F44" s="49"/>
      <c r="G44" s="49"/>
      <c r="H44" s="190"/>
      <c r="I44" s="190"/>
      <c r="J44" s="43"/>
      <c r="L44" s="193"/>
    </row>
    <row r="45" spans="2:14" ht="12" customHeight="1">
      <c r="B45" s="42" t="str">
        <f>B$33</f>
        <v>Border</v>
      </c>
      <c r="C45" s="37" t="str">
        <f>C$33</f>
        <v>$'000</v>
      </c>
      <c r="D45" s="37"/>
      <c r="E45" s="37"/>
      <c r="F45" s="98">
        <v>0.42300375905943677</v>
      </c>
      <c r="G45" s="98">
        <v>0.42283210292037304</v>
      </c>
      <c r="H45" s="98">
        <v>0.42218118845764296</v>
      </c>
      <c r="I45" s="98">
        <v>0.42500711654743456</v>
      </c>
      <c r="J45" s="43"/>
      <c r="K45" s="193"/>
    </row>
    <row r="46" spans="2:14">
      <c r="B46" s="42" t="str">
        <f>B$34</f>
        <v>Gwydir</v>
      </c>
      <c r="C46" s="37" t="str">
        <f t="shared" ref="C46:C53" si="2">C$33</f>
        <v>$'000</v>
      </c>
      <c r="D46" s="37"/>
      <c r="E46" s="37"/>
      <c r="F46" s="98">
        <v>2.7630963593181632</v>
      </c>
      <c r="G46" s="98">
        <v>2.924583884810791</v>
      </c>
      <c r="H46" s="98">
        <v>3.0449849133465912</v>
      </c>
      <c r="I46" s="98">
        <v>3.1228263170102726</v>
      </c>
      <c r="J46" s="43"/>
    </row>
    <row r="47" spans="2:14">
      <c r="B47" s="42" t="str">
        <f>B$35</f>
        <v>Namoi</v>
      </c>
      <c r="C47" s="37" t="str">
        <f t="shared" si="2"/>
        <v>$'000</v>
      </c>
      <c r="D47" s="37"/>
      <c r="E47" s="37"/>
      <c r="F47" s="98">
        <v>2.9666332624247782</v>
      </c>
      <c r="G47" s="98">
        <v>3.1721037305938724</v>
      </c>
      <c r="H47" s="98">
        <v>3.3058744757181415</v>
      </c>
      <c r="I47" s="98">
        <v>3.3744776443394966</v>
      </c>
      <c r="J47" s="43"/>
    </row>
    <row r="48" spans="2:14">
      <c r="B48" s="42" t="str">
        <f>B$36</f>
        <v>Peel</v>
      </c>
      <c r="C48" s="37" t="str">
        <f t="shared" si="2"/>
        <v>$'000</v>
      </c>
      <c r="D48" s="37"/>
      <c r="E48" s="37"/>
      <c r="F48" s="98">
        <v>0.57981288010505405</v>
      </c>
      <c r="G48" s="98">
        <v>0.62893235568073658</v>
      </c>
      <c r="H48" s="98">
        <v>0.66407884775508175</v>
      </c>
      <c r="I48" s="98">
        <v>0.68915779371152897</v>
      </c>
      <c r="J48" s="43"/>
    </row>
    <row r="49" spans="2:12">
      <c r="B49" s="42" t="str">
        <f>B$37</f>
        <v>Lachlan</v>
      </c>
      <c r="C49" s="37" t="str">
        <f t="shared" si="2"/>
        <v>$'000</v>
      </c>
      <c r="D49" s="37"/>
      <c r="E49" s="37"/>
      <c r="F49" s="98">
        <v>4.3930446623463713</v>
      </c>
      <c r="G49" s="98">
        <v>4.6462324913137074</v>
      </c>
      <c r="H49" s="98">
        <v>4.8601403039993167</v>
      </c>
      <c r="I49" s="98">
        <v>5.0498267198522777</v>
      </c>
      <c r="J49" s="43"/>
    </row>
    <row r="50" spans="2:12">
      <c r="B50" s="42" t="str">
        <f>B$38</f>
        <v>Macquarie</v>
      </c>
      <c r="C50" s="37" t="str">
        <f t="shared" si="2"/>
        <v>$'000</v>
      </c>
      <c r="D50" s="37"/>
      <c r="E50" s="37"/>
      <c r="F50" s="98">
        <v>3.5063339822320896</v>
      </c>
      <c r="G50" s="98">
        <v>3.6716043145472503</v>
      </c>
      <c r="H50" s="98">
        <v>3.7962973484946567</v>
      </c>
      <c r="I50" s="98">
        <v>3.9248136843992021</v>
      </c>
      <c r="J50" s="43"/>
    </row>
    <row r="51" spans="2:12">
      <c r="B51" s="42" t="str">
        <f>B$39</f>
        <v>Murray</v>
      </c>
      <c r="C51" s="37" t="str">
        <f t="shared" si="2"/>
        <v>$'000</v>
      </c>
      <c r="D51" s="37"/>
      <c r="E51" s="37"/>
      <c r="F51" s="98">
        <v>3.2523265922854026</v>
      </c>
      <c r="G51" s="98">
        <v>3.2329692077925882</v>
      </c>
      <c r="H51" s="98">
        <v>3.2368105855893066</v>
      </c>
      <c r="I51" s="98">
        <v>3.2602802034315412</v>
      </c>
      <c r="J51" s="43"/>
    </row>
    <row r="52" spans="2:12">
      <c r="B52" s="42" t="str">
        <f>B$40</f>
        <v>Murrumbidgee</v>
      </c>
      <c r="C52" s="37" t="str">
        <f t="shared" si="2"/>
        <v>$'000</v>
      </c>
      <c r="D52" s="37"/>
      <c r="E52" s="37"/>
      <c r="F52" s="98">
        <v>4.8425500382906774</v>
      </c>
      <c r="G52" s="98">
        <v>5.4895476637761655</v>
      </c>
      <c r="H52" s="98">
        <v>6.046252432214172</v>
      </c>
      <c r="I52" s="98">
        <v>6.5551905699632931</v>
      </c>
      <c r="J52" s="43"/>
    </row>
    <row r="53" spans="2:12">
      <c r="B53" s="42" t="str">
        <f>B$41</f>
        <v>Lowbidgee</v>
      </c>
      <c r="C53" s="37" t="str">
        <f t="shared" si="2"/>
        <v>$'000</v>
      </c>
      <c r="D53" s="37"/>
      <c r="E53" s="37"/>
      <c r="F53" s="98">
        <v>0.25186174210439005</v>
      </c>
      <c r="G53" s="98">
        <v>0.48143298824675335</v>
      </c>
      <c r="H53" s="98">
        <v>0.7054912241095378</v>
      </c>
      <c r="I53" s="98">
        <v>0.91592757729214069</v>
      </c>
      <c r="J53" s="43"/>
    </row>
    <row r="54" spans="2:12">
      <c r="B54" s="42"/>
      <c r="C54" s="37"/>
      <c r="D54" s="37"/>
      <c r="E54" s="37"/>
      <c r="F54" s="82"/>
      <c r="G54" s="82"/>
      <c r="H54" s="82"/>
      <c r="I54" s="201"/>
      <c r="J54" s="43"/>
      <c r="K54" s="106"/>
    </row>
    <row r="55" spans="2:12">
      <c r="B55" s="48" t="s">
        <v>35</v>
      </c>
      <c r="C55" s="37"/>
      <c r="D55" s="37"/>
      <c r="E55" s="37"/>
      <c r="F55" s="49"/>
      <c r="G55" s="49"/>
      <c r="H55" s="49"/>
      <c r="I55" s="190"/>
      <c r="J55" s="43"/>
      <c r="K55" s="106"/>
    </row>
    <row r="56" spans="2:12" s="106" customFormat="1" ht="12">
      <c r="B56" s="81" t="s">
        <v>174</v>
      </c>
      <c r="C56" s="37"/>
      <c r="D56" s="37"/>
      <c r="E56" s="37"/>
      <c r="F56" s="49"/>
      <c r="G56" s="49"/>
      <c r="H56" s="49"/>
      <c r="I56" s="190"/>
      <c r="J56" s="43"/>
      <c r="L56" s="193"/>
    </row>
    <row r="57" spans="2:12" ht="12" customHeight="1">
      <c r="B57" s="42" t="str">
        <f>B$33</f>
        <v>Border</v>
      </c>
      <c r="C57" s="37" t="str">
        <f t="shared" ref="C57:C65" si="3">C$22</f>
        <v>%</v>
      </c>
      <c r="D57" s="37"/>
      <c r="E57" s="37"/>
      <c r="F57" s="109">
        <v>0.39985398308317421</v>
      </c>
      <c r="G57" s="109">
        <v>0.39985398308317421</v>
      </c>
      <c r="H57" s="109">
        <v>0.39985398308317421</v>
      </c>
      <c r="I57" s="109">
        <v>0.39985398308317421</v>
      </c>
      <c r="J57" s="43"/>
      <c r="K57" s="193"/>
    </row>
    <row r="58" spans="2:12">
      <c r="B58" s="42" t="str">
        <f>B$34</f>
        <v>Gwydir</v>
      </c>
      <c r="C58" s="37" t="str">
        <f t="shared" si="3"/>
        <v>%</v>
      </c>
      <c r="D58" s="37"/>
      <c r="E58" s="37"/>
      <c r="F58" s="109">
        <v>0.39964720618660354</v>
      </c>
      <c r="G58" s="109">
        <v>0.39964720618660354</v>
      </c>
      <c r="H58" s="109">
        <v>0.39964720618660354</v>
      </c>
      <c r="I58" s="109">
        <v>0.39964720618660354</v>
      </c>
      <c r="J58" s="43"/>
      <c r="K58" s="106"/>
    </row>
    <row r="59" spans="2:12">
      <c r="B59" s="42" t="str">
        <f>B$35</f>
        <v>Namoi</v>
      </c>
      <c r="C59" s="37" t="str">
        <f t="shared" si="3"/>
        <v>%</v>
      </c>
      <c r="D59" s="37"/>
      <c r="E59" s="37"/>
      <c r="F59" s="109">
        <v>0.39941731550503651</v>
      </c>
      <c r="G59" s="109">
        <v>0.39941731550503651</v>
      </c>
      <c r="H59" s="109">
        <v>0.39941731550503651</v>
      </c>
      <c r="I59" s="109">
        <v>0.39941731550503651</v>
      </c>
      <c r="J59" s="43"/>
      <c r="K59" s="270"/>
    </row>
    <row r="60" spans="2:12" ht="12" customHeight="1">
      <c r="B60" s="42" t="str">
        <f>B$36</f>
        <v>Peel</v>
      </c>
      <c r="C60" s="37" t="str">
        <f t="shared" si="3"/>
        <v>%</v>
      </c>
      <c r="D60" s="37"/>
      <c r="E60" s="37"/>
      <c r="F60" s="109">
        <v>0.39992435178089208</v>
      </c>
      <c r="G60" s="109">
        <v>0.79994956149462293</v>
      </c>
      <c r="H60" s="109">
        <v>0.79994956149462293</v>
      </c>
      <c r="I60" s="109">
        <v>0.79994956149462293</v>
      </c>
      <c r="J60" s="43"/>
      <c r="K60" s="270"/>
    </row>
    <row r="61" spans="2:12">
      <c r="B61" s="42" t="str">
        <f>B$37</f>
        <v>Lachlan</v>
      </c>
      <c r="C61" s="37" t="str">
        <f t="shared" si="3"/>
        <v>%</v>
      </c>
      <c r="D61" s="37"/>
      <c r="E61" s="37"/>
      <c r="F61" s="109">
        <v>0.39953044957981787</v>
      </c>
      <c r="G61" s="109">
        <v>0.39953044957981787</v>
      </c>
      <c r="H61" s="109">
        <v>0.39953044957981787</v>
      </c>
      <c r="I61" s="109">
        <v>0.39953044957981787</v>
      </c>
      <c r="J61" s="43"/>
      <c r="K61" s="270"/>
    </row>
    <row r="62" spans="2:12">
      <c r="B62" s="42" t="str">
        <f>B$38</f>
        <v>Macquarie</v>
      </c>
      <c r="C62" s="37" t="str">
        <f t="shared" si="3"/>
        <v>%</v>
      </c>
      <c r="D62" s="37"/>
      <c r="E62" s="37"/>
      <c r="F62" s="109">
        <v>0.39966791364333193</v>
      </c>
      <c r="G62" s="109">
        <v>0.39966791364333193</v>
      </c>
      <c r="H62" s="109">
        <v>0.39966791364333193</v>
      </c>
      <c r="I62" s="109">
        <v>0.39966791364333193</v>
      </c>
      <c r="J62" s="43"/>
      <c r="K62" s="270"/>
    </row>
    <row r="63" spans="2:12">
      <c r="B63" s="42" t="str">
        <f>B$39</f>
        <v>Murray</v>
      </c>
      <c r="C63" s="37" t="str">
        <f t="shared" si="3"/>
        <v>%</v>
      </c>
      <c r="D63" s="37"/>
      <c r="E63" s="37"/>
      <c r="F63" s="109">
        <v>0.39961980123667473</v>
      </c>
      <c r="G63" s="109">
        <v>0.39961980123667473</v>
      </c>
      <c r="H63" s="109">
        <v>0.39961980123667473</v>
      </c>
      <c r="I63" s="109">
        <v>0.39961980123667473</v>
      </c>
      <c r="J63" s="43"/>
      <c r="K63" s="270"/>
    </row>
    <row r="64" spans="2:12">
      <c r="B64" s="42" t="str">
        <f>B$40</f>
        <v>Murrumbidgee</v>
      </c>
      <c r="C64" s="37" t="str">
        <f t="shared" si="3"/>
        <v>%</v>
      </c>
      <c r="D64" s="37"/>
      <c r="E64" s="37"/>
      <c r="F64" s="109">
        <v>0.3996816330095963</v>
      </c>
      <c r="G64" s="109">
        <v>0.3996816330095963</v>
      </c>
      <c r="H64" s="109">
        <v>0.3996816330095963</v>
      </c>
      <c r="I64" s="109">
        <v>0.3996816330095963</v>
      </c>
      <c r="J64" s="43"/>
      <c r="K64" s="270"/>
    </row>
    <row r="65" spans="2:12">
      <c r="B65" s="42" t="str">
        <f>B$41</f>
        <v>Lowbidgee</v>
      </c>
      <c r="C65" s="37" t="str">
        <f t="shared" si="3"/>
        <v>%</v>
      </c>
      <c r="D65" s="37"/>
      <c r="E65" s="37"/>
      <c r="F65" s="109">
        <v>1</v>
      </c>
      <c r="G65" s="109">
        <v>1</v>
      </c>
      <c r="H65" s="109">
        <v>1</v>
      </c>
      <c r="I65" s="109">
        <v>1</v>
      </c>
      <c r="J65" s="43"/>
      <c r="K65" s="270"/>
    </row>
    <row r="66" spans="2:12" ht="12" customHeight="1">
      <c r="B66" s="42"/>
      <c r="C66" s="37"/>
      <c r="D66" s="37"/>
      <c r="E66" s="37"/>
      <c r="F66" s="49"/>
      <c r="G66" s="49"/>
      <c r="H66" s="49"/>
      <c r="I66" s="190"/>
      <c r="J66" s="43"/>
    </row>
    <row r="67" spans="2:12">
      <c r="B67" s="48" t="s">
        <v>54</v>
      </c>
      <c r="C67" s="37"/>
      <c r="D67" s="37"/>
      <c r="E67" s="37"/>
      <c r="F67" s="49"/>
      <c r="G67" s="49"/>
      <c r="H67" s="49"/>
      <c r="I67" s="190"/>
      <c r="J67" s="43"/>
    </row>
    <row r="68" spans="2:12" s="106" customFormat="1" ht="12">
      <c r="B68" s="81" t="s">
        <v>172</v>
      </c>
      <c r="C68" s="37"/>
      <c r="D68" s="37"/>
      <c r="E68" s="37"/>
      <c r="F68" s="49"/>
      <c r="G68" s="49"/>
      <c r="H68" s="49"/>
      <c r="I68" s="190"/>
      <c r="J68" s="43"/>
      <c r="L68" s="193"/>
    </row>
    <row r="69" spans="2:12">
      <c r="B69" s="42" t="str">
        <f>'Updated Volumes'!B$31</f>
        <v xml:space="preserve">Energy Australia </v>
      </c>
      <c r="C69" s="37" t="str">
        <f>C$33</f>
        <v>$'000</v>
      </c>
      <c r="D69" s="37"/>
      <c r="E69" s="37"/>
      <c r="F69" s="98">
        <v>3582.3064354548201</v>
      </c>
      <c r="G69" s="98">
        <v>3582.3064354548201</v>
      </c>
      <c r="H69" s="98">
        <v>3582.3064354548201</v>
      </c>
      <c r="I69" s="98">
        <v>3582.3064354548201</v>
      </c>
      <c r="J69" s="43"/>
      <c r="K69" s="193"/>
    </row>
    <row r="70" spans="2:12" s="106" customFormat="1">
      <c r="B70" s="42" t="str">
        <f>'Updated Volumes'!B$32</f>
        <v xml:space="preserve">Minor customers (raw) </v>
      </c>
      <c r="C70" s="37" t="str">
        <f>C$33</f>
        <v>$'000</v>
      </c>
      <c r="D70" s="37"/>
      <c r="E70" s="37"/>
      <c r="F70" s="98">
        <v>31.820077004246794</v>
      </c>
      <c r="G70" s="98">
        <v>31.820077004246794</v>
      </c>
      <c r="H70" s="98">
        <v>31.820077004246794</v>
      </c>
      <c r="I70" s="98">
        <v>31.820077004246794</v>
      </c>
      <c r="J70" s="43"/>
      <c r="L70" s="193"/>
    </row>
    <row r="71" spans="2:12" s="106" customFormat="1">
      <c r="B71" s="42" t="str">
        <f>'Updated Volumes'!B$33</f>
        <v xml:space="preserve">Minor customers (filtered) </v>
      </c>
      <c r="C71" s="37" t="str">
        <f>C$33</f>
        <v>$'000</v>
      </c>
      <c r="D71" s="37"/>
      <c r="E71" s="37"/>
      <c r="F71" s="98">
        <v>140.89264543944256</v>
      </c>
      <c r="G71" s="98">
        <v>140.89264543944256</v>
      </c>
      <c r="H71" s="98">
        <v>140.89264543944256</v>
      </c>
      <c r="I71" s="98">
        <v>140.89264543944256</v>
      </c>
      <c r="J71" s="43"/>
      <c r="L71" s="193"/>
    </row>
    <row r="72" spans="2:12">
      <c r="B72" s="44"/>
      <c r="C72" s="35"/>
      <c r="D72" s="35"/>
      <c r="E72" s="35"/>
      <c r="F72" s="54"/>
      <c r="G72" s="54"/>
      <c r="H72" s="54"/>
      <c r="I72" s="54"/>
      <c r="J72" s="45"/>
    </row>
    <row r="73" spans="2:12">
      <c r="B73" s="40"/>
      <c r="C73" s="40"/>
      <c r="D73" s="40"/>
      <c r="E73" s="50"/>
      <c r="F73" s="51"/>
      <c r="G73" s="51"/>
      <c r="H73" s="51"/>
      <c r="I73" s="51"/>
      <c r="J73" s="40"/>
    </row>
    <row r="74" spans="2:12">
      <c r="F74" s="53"/>
      <c r="G74" s="53"/>
      <c r="H74" s="53"/>
      <c r="I74" s="193"/>
    </row>
    <row r="75" spans="2:12">
      <c r="B75" s="32" t="s">
        <v>137</v>
      </c>
      <c r="F75" s="53"/>
      <c r="G75" s="53"/>
      <c r="H75" s="53"/>
      <c r="I75" s="193"/>
    </row>
    <row r="76" spans="2:12">
      <c r="B76" s="39" t="str">
        <f>B$16</f>
        <v>Financial year</v>
      </c>
      <c r="C76" s="40" t="str">
        <f>C$28</f>
        <v>Units</v>
      </c>
      <c r="D76" s="40"/>
      <c r="E76" s="40"/>
      <c r="F76" s="127" t="str">
        <f>F$16</f>
        <v>2017-18</v>
      </c>
      <c r="G76" s="127" t="str">
        <f>G$16</f>
        <v>2018-19</v>
      </c>
      <c r="H76" s="127" t="str">
        <f>H$16</f>
        <v>2019-20</v>
      </c>
      <c r="I76" s="210" t="str">
        <f>I$16</f>
        <v>2020-21</v>
      </c>
      <c r="J76" s="41"/>
    </row>
    <row r="77" spans="2:12">
      <c r="B77" s="42"/>
      <c r="C77" s="37"/>
      <c r="D77" s="37"/>
      <c r="E77" s="37"/>
      <c r="F77" s="128" t="str">
        <f>'2017 Determination - Revenue'!$F$29</f>
        <v>$2016-17</v>
      </c>
      <c r="G77" s="128" t="str">
        <f>'2017 Determination - Revenue'!$F$29</f>
        <v>$2016-17</v>
      </c>
      <c r="H77" s="128" t="str">
        <f>'2017 Determination - Revenue'!$F$29</f>
        <v>$2016-17</v>
      </c>
      <c r="I77" s="128" t="str">
        <f>'2017 Determination - Revenue'!$F$29</f>
        <v>$2016-17</v>
      </c>
      <c r="J77" s="43"/>
    </row>
    <row r="78" spans="2:12">
      <c r="B78" s="48" t="s">
        <v>146</v>
      </c>
      <c r="C78" s="37"/>
      <c r="D78" s="37"/>
      <c r="E78" s="37"/>
      <c r="F78" s="49"/>
      <c r="G78" s="49"/>
      <c r="H78" s="49"/>
      <c r="I78" s="190"/>
      <c r="J78" s="43"/>
    </row>
    <row r="79" spans="2:12" s="106" customFormat="1" ht="12">
      <c r="B79" s="81" t="s">
        <v>177</v>
      </c>
      <c r="C79" s="37"/>
      <c r="D79" s="37"/>
      <c r="E79" s="37"/>
      <c r="F79" s="49"/>
      <c r="G79" s="49"/>
      <c r="H79" s="49"/>
      <c r="I79" s="190"/>
      <c r="J79" s="43"/>
      <c r="L79" s="193"/>
    </row>
    <row r="80" spans="2:12" ht="12" customHeight="1">
      <c r="B80" s="42" t="str">
        <f>B$33</f>
        <v>Border</v>
      </c>
      <c r="C80" s="37" t="str">
        <f>C$33</f>
        <v>$'000</v>
      </c>
      <c r="D80" s="37"/>
      <c r="E80" s="37"/>
      <c r="F80" s="98">
        <v>580.74690708289779</v>
      </c>
      <c r="G80" s="98">
        <v>580.74690708289779</v>
      </c>
      <c r="H80" s="98">
        <v>580.74690708289779</v>
      </c>
      <c r="I80" s="98">
        <v>580.74690708289779</v>
      </c>
      <c r="J80" s="43"/>
      <c r="K80" s="193"/>
    </row>
    <row r="81" spans="2:12">
      <c r="B81" s="42" t="str">
        <f>B$34</f>
        <v>Gwydir</v>
      </c>
      <c r="C81" s="37" t="str">
        <f t="shared" ref="C81:C88" si="4">C$33</f>
        <v>$'000</v>
      </c>
      <c r="D81" s="37"/>
      <c r="E81" s="37"/>
      <c r="F81" s="98">
        <v>0</v>
      </c>
      <c r="G81" s="98">
        <v>0</v>
      </c>
      <c r="H81" s="98">
        <v>0</v>
      </c>
      <c r="I81" s="98">
        <v>0</v>
      </c>
      <c r="J81" s="43"/>
      <c r="K81" s="171"/>
    </row>
    <row r="82" spans="2:12">
      <c r="B82" s="42" t="str">
        <f>B$35</f>
        <v>Namoi</v>
      </c>
      <c r="C82" s="37" t="str">
        <f t="shared" si="4"/>
        <v>$'000</v>
      </c>
      <c r="D82" s="37"/>
      <c r="E82" s="37"/>
      <c r="F82" s="98">
        <v>0</v>
      </c>
      <c r="G82" s="98">
        <v>0</v>
      </c>
      <c r="H82" s="98">
        <v>0</v>
      </c>
      <c r="I82" s="98">
        <v>0</v>
      </c>
      <c r="J82" s="43"/>
      <c r="K82" s="171"/>
    </row>
    <row r="83" spans="2:12">
      <c r="B83" s="42" t="str">
        <f>B$36</f>
        <v>Peel</v>
      </c>
      <c r="C83" s="37" t="str">
        <f t="shared" si="4"/>
        <v>$'000</v>
      </c>
      <c r="D83" s="37"/>
      <c r="E83" s="37"/>
      <c r="F83" s="98">
        <v>0</v>
      </c>
      <c r="G83" s="98">
        <v>0</v>
      </c>
      <c r="H83" s="98">
        <v>0</v>
      </c>
      <c r="I83" s="98">
        <v>0</v>
      </c>
      <c r="J83" s="43"/>
      <c r="K83" s="171"/>
    </row>
    <row r="84" spans="2:12">
      <c r="B84" s="42" t="str">
        <f>B$37</f>
        <v>Lachlan</v>
      </c>
      <c r="C84" s="37" t="str">
        <f t="shared" si="4"/>
        <v>$'000</v>
      </c>
      <c r="D84" s="37"/>
      <c r="E84" s="37"/>
      <c r="F84" s="98">
        <v>0</v>
      </c>
      <c r="G84" s="98">
        <v>0</v>
      </c>
      <c r="H84" s="98">
        <v>0</v>
      </c>
      <c r="I84" s="98">
        <v>0</v>
      </c>
      <c r="J84" s="43"/>
      <c r="K84" s="171"/>
    </row>
    <row r="85" spans="2:12">
      <c r="B85" s="42" t="str">
        <f>B$38</f>
        <v>Macquarie</v>
      </c>
      <c r="C85" s="37" t="str">
        <f t="shared" si="4"/>
        <v>$'000</v>
      </c>
      <c r="D85" s="37"/>
      <c r="E85" s="37"/>
      <c r="F85" s="98">
        <v>0</v>
      </c>
      <c r="G85" s="98">
        <v>0</v>
      </c>
      <c r="H85" s="98">
        <v>0</v>
      </c>
      <c r="I85" s="98">
        <v>0</v>
      </c>
      <c r="J85" s="43"/>
      <c r="K85" s="171"/>
    </row>
    <row r="86" spans="2:12">
      <c r="B86" s="42" t="str">
        <f>B$39</f>
        <v>Murray</v>
      </c>
      <c r="C86" s="37" t="str">
        <f t="shared" si="4"/>
        <v>$'000</v>
      </c>
      <c r="D86" s="37"/>
      <c r="E86" s="37"/>
      <c r="F86" s="98">
        <v>11669.017502586279</v>
      </c>
      <c r="G86" s="98">
        <v>11669.017502586279</v>
      </c>
      <c r="H86" s="98">
        <v>11669.017502586279</v>
      </c>
      <c r="I86" s="98">
        <v>11669.017502586279</v>
      </c>
      <c r="J86" s="43"/>
      <c r="K86" s="171"/>
    </row>
    <row r="87" spans="2:12">
      <c r="B87" s="42" t="str">
        <f>B$40</f>
        <v>Murrumbidgee</v>
      </c>
      <c r="C87" s="37" t="str">
        <f t="shared" si="4"/>
        <v>$'000</v>
      </c>
      <c r="D87" s="37"/>
      <c r="E87" s="37"/>
      <c r="F87" s="98">
        <v>2609.0415598931481</v>
      </c>
      <c r="G87" s="98">
        <v>2609.0415598931481</v>
      </c>
      <c r="H87" s="98">
        <v>2609.0415598931481</v>
      </c>
      <c r="I87" s="98">
        <v>2609.0415598931486</v>
      </c>
      <c r="J87" s="43"/>
      <c r="K87" s="171"/>
    </row>
    <row r="88" spans="2:12">
      <c r="B88" s="42" t="str">
        <f>B$41</f>
        <v>Lowbidgee</v>
      </c>
      <c r="C88" s="37" t="str">
        <f t="shared" si="4"/>
        <v>$'000</v>
      </c>
      <c r="D88" s="37"/>
      <c r="E88" s="37"/>
      <c r="F88" s="98">
        <v>0</v>
      </c>
      <c r="G88" s="98">
        <v>0</v>
      </c>
      <c r="H88" s="98">
        <v>0</v>
      </c>
      <c r="I88" s="98">
        <v>0</v>
      </c>
      <c r="J88" s="43"/>
      <c r="K88" s="171"/>
    </row>
    <row r="89" spans="2:12">
      <c r="B89" s="42"/>
      <c r="C89" s="37"/>
      <c r="D89" s="37"/>
      <c r="E89" s="37"/>
      <c r="F89" s="49"/>
      <c r="G89" s="49"/>
      <c r="H89" s="49"/>
      <c r="I89" s="190"/>
      <c r="J89" s="43"/>
    </row>
    <row r="90" spans="2:12">
      <c r="B90" s="48" t="s">
        <v>147</v>
      </c>
      <c r="C90" s="37"/>
      <c r="D90" s="37"/>
      <c r="E90" s="37"/>
      <c r="F90" s="49"/>
      <c r="G90" s="49"/>
      <c r="H90" s="49"/>
      <c r="I90" s="190"/>
      <c r="J90" s="43"/>
    </row>
    <row r="91" spans="2:12" s="106" customFormat="1" ht="12">
      <c r="B91" s="81" t="s">
        <v>175</v>
      </c>
      <c r="C91" s="37"/>
      <c r="D91" s="37"/>
      <c r="E91" s="37"/>
      <c r="F91" s="49"/>
      <c r="G91" s="49"/>
      <c r="H91" s="49"/>
      <c r="I91" s="190"/>
      <c r="J91" s="43"/>
      <c r="L91" s="193"/>
    </row>
    <row r="92" spans="2:12" ht="12" customHeight="1">
      <c r="B92" s="42" t="str">
        <f>B$33</f>
        <v>Border</v>
      </c>
      <c r="C92" s="37" t="str">
        <f t="shared" ref="C92:C100" si="5">C$22</f>
        <v>%</v>
      </c>
      <c r="D92" s="37"/>
      <c r="E92" s="37"/>
      <c r="F92" s="109">
        <v>0.8</v>
      </c>
      <c r="G92" s="109">
        <v>0.8</v>
      </c>
      <c r="H92" s="109">
        <v>0.8</v>
      </c>
      <c r="I92" s="109">
        <v>0.8</v>
      </c>
      <c r="J92" s="43"/>
      <c r="K92" s="193"/>
    </row>
    <row r="93" spans="2:12">
      <c r="B93" s="42" t="str">
        <f>B$34</f>
        <v>Gwydir</v>
      </c>
      <c r="C93" s="37" t="str">
        <f t="shared" si="5"/>
        <v>%</v>
      </c>
      <c r="D93" s="37"/>
      <c r="E93" s="37"/>
      <c r="F93" s="109">
        <v>0</v>
      </c>
      <c r="G93" s="109">
        <v>0</v>
      </c>
      <c r="H93" s="109">
        <v>0</v>
      </c>
      <c r="I93" s="109">
        <v>0</v>
      </c>
      <c r="J93" s="43"/>
    </row>
    <row r="94" spans="2:12">
      <c r="B94" s="42" t="str">
        <f>B$35</f>
        <v>Namoi</v>
      </c>
      <c r="C94" s="37" t="str">
        <f t="shared" si="5"/>
        <v>%</v>
      </c>
      <c r="D94" s="37"/>
      <c r="E94" s="37"/>
      <c r="F94" s="109">
        <v>0</v>
      </c>
      <c r="G94" s="109">
        <v>0</v>
      </c>
      <c r="H94" s="109">
        <v>0</v>
      </c>
      <c r="I94" s="109">
        <v>0</v>
      </c>
      <c r="J94" s="43"/>
    </row>
    <row r="95" spans="2:12">
      <c r="B95" s="42" t="str">
        <f>B$36</f>
        <v>Peel</v>
      </c>
      <c r="C95" s="37" t="str">
        <f t="shared" si="5"/>
        <v>%</v>
      </c>
      <c r="D95" s="37"/>
      <c r="E95" s="37"/>
      <c r="F95" s="109">
        <v>0</v>
      </c>
      <c r="G95" s="109">
        <v>0</v>
      </c>
      <c r="H95" s="109">
        <v>0</v>
      </c>
      <c r="I95" s="109">
        <v>0</v>
      </c>
      <c r="J95" s="43"/>
    </row>
    <row r="96" spans="2:12">
      <c r="B96" s="42" t="str">
        <f>B$37</f>
        <v>Lachlan</v>
      </c>
      <c r="C96" s="37" t="str">
        <f t="shared" si="5"/>
        <v>%</v>
      </c>
      <c r="D96" s="37"/>
      <c r="E96" s="37"/>
      <c r="F96" s="109">
        <v>0</v>
      </c>
      <c r="G96" s="109">
        <v>0</v>
      </c>
      <c r="H96" s="109">
        <v>0</v>
      </c>
      <c r="I96" s="109">
        <v>0</v>
      </c>
      <c r="J96" s="43"/>
    </row>
    <row r="97" spans="2:12">
      <c r="B97" s="42" t="str">
        <f>B$38</f>
        <v>Macquarie</v>
      </c>
      <c r="C97" s="37" t="str">
        <f t="shared" si="5"/>
        <v>%</v>
      </c>
      <c r="D97" s="37"/>
      <c r="E97" s="37"/>
      <c r="F97" s="109">
        <v>0</v>
      </c>
      <c r="G97" s="109">
        <v>0</v>
      </c>
      <c r="H97" s="109">
        <v>0</v>
      </c>
      <c r="I97" s="109">
        <v>0</v>
      </c>
      <c r="J97" s="43"/>
    </row>
    <row r="98" spans="2:12">
      <c r="B98" s="42" t="str">
        <f>B$39</f>
        <v>Murray</v>
      </c>
      <c r="C98" s="37" t="str">
        <f t="shared" si="5"/>
        <v>%</v>
      </c>
      <c r="D98" s="37"/>
      <c r="E98" s="37"/>
      <c r="F98" s="109">
        <v>0.8</v>
      </c>
      <c r="G98" s="109">
        <v>0.8</v>
      </c>
      <c r="H98" s="109">
        <v>0.8</v>
      </c>
      <c r="I98" s="109">
        <v>0.8</v>
      </c>
      <c r="J98" s="43"/>
    </row>
    <row r="99" spans="2:12">
      <c r="B99" s="42" t="str">
        <f>B$40</f>
        <v>Murrumbidgee</v>
      </c>
      <c r="C99" s="37" t="str">
        <f t="shared" si="5"/>
        <v>%</v>
      </c>
      <c r="D99" s="37"/>
      <c r="E99" s="37"/>
      <c r="F99" s="109">
        <v>0.8</v>
      </c>
      <c r="G99" s="109">
        <v>0.8</v>
      </c>
      <c r="H99" s="109">
        <v>0.8</v>
      </c>
      <c r="I99" s="109">
        <v>0.8</v>
      </c>
      <c r="J99" s="43"/>
    </row>
    <row r="100" spans="2:12">
      <c r="B100" s="42" t="str">
        <f>B$41</f>
        <v>Lowbidgee</v>
      </c>
      <c r="C100" s="37" t="str">
        <f t="shared" si="5"/>
        <v>%</v>
      </c>
      <c r="D100" s="37"/>
      <c r="E100" s="37"/>
      <c r="F100" s="109">
        <v>0</v>
      </c>
      <c r="G100" s="109">
        <v>0</v>
      </c>
      <c r="H100" s="109">
        <v>0</v>
      </c>
      <c r="I100" s="109">
        <v>0</v>
      </c>
      <c r="J100" s="43"/>
    </row>
    <row r="101" spans="2:12">
      <c r="B101" s="42"/>
      <c r="C101" s="37"/>
      <c r="D101" s="37"/>
      <c r="E101" s="37"/>
      <c r="F101" s="49"/>
      <c r="G101" s="49"/>
      <c r="H101" s="49"/>
      <c r="I101" s="190"/>
      <c r="J101" s="43"/>
    </row>
    <row r="102" spans="2:12">
      <c r="B102" s="44"/>
      <c r="C102" s="35"/>
      <c r="D102" s="35"/>
      <c r="E102" s="35"/>
      <c r="F102" s="54"/>
      <c r="G102" s="54"/>
      <c r="H102" s="54"/>
      <c r="I102" s="54"/>
      <c r="J102" s="45"/>
    </row>
    <row r="103" spans="2:12">
      <c r="F103" s="53"/>
      <c r="G103" s="53"/>
      <c r="H103" s="53"/>
      <c r="I103" s="193"/>
    </row>
    <row r="104" spans="2:12">
      <c r="F104" s="53"/>
      <c r="G104" s="53"/>
      <c r="H104" s="53"/>
      <c r="I104" s="193"/>
    </row>
    <row r="105" spans="2:12">
      <c r="B105" s="32" t="s">
        <v>169</v>
      </c>
      <c r="F105" s="53"/>
      <c r="G105" s="53"/>
      <c r="H105" s="53"/>
      <c r="I105" s="193"/>
      <c r="J105" s="53"/>
    </row>
    <row r="106" spans="2:12">
      <c r="B106" s="39" t="str">
        <f>B$16</f>
        <v>Financial year</v>
      </c>
      <c r="C106" s="40" t="str">
        <f>C$28</f>
        <v>Units</v>
      </c>
      <c r="D106" s="40"/>
      <c r="E106" s="40"/>
      <c r="F106" s="129" t="str">
        <f>F$16</f>
        <v>2017-18</v>
      </c>
      <c r="G106" s="129" t="str">
        <f>G$16</f>
        <v>2018-19</v>
      </c>
      <c r="H106" s="129" t="str">
        <f>H$16</f>
        <v>2019-20</v>
      </c>
      <c r="I106" s="129" t="str">
        <f>I$16</f>
        <v>2020-21</v>
      </c>
      <c r="J106" s="41"/>
    </row>
    <row r="107" spans="2:12" s="106" customFormat="1">
      <c r="B107" s="42"/>
      <c r="C107" s="37"/>
      <c r="D107" s="37"/>
      <c r="E107" s="37"/>
      <c r="F107" s="49"/>
      <c r="G107" s="49"/>
      <c r="H107" s="49"/>
      <c r="I107" s="190"/>
      <c r="J107" s="43"/>
      <c r="L107" s="193"/>
    </row>
    <row r="108" spans="2:12" ht="12">
      <c r="B108" s="81" t="s">
        <v>162</v>
      </c>
      <c r="C108" s="37"/>
      <c r="D108" s="37"/>
      <c r="E108" s="37"/>
      <c r="F108" s="37"/>
      <c r="G108" s="37"/>
      <c r="H108" s="37"/>
      <c r="I108" s="37"/>
      <c r="J108" s="43"/>
    </row>
    <row r="109" spans="2:12">
      <c r="B109" s="48" t="s">
        <v>148</v>
      </c>
      <c r="C109" s="37"/>
      <c r="D109" s="37"/>
      <c r="E109" s="37"/>
      <c r="F109" s="49"/>
      <c r="G109" s="49"/>
      <c r="H109" s="49"/>
      <c r="I109" s="190"/>
      <c r="J109" s="43"/>
    </row>
    <row r="110" spans="2:12" s="106" customFormat="1" ht="12">
      <c r="B110" s="81" t="s">
        <v>178</v>
      </c>
      <c r="C110" s="37"/>
      <c r="D110" s="37"/>
      <c r="E110" s="37"/>
      <c r="F110" s="49"/>
      <c r="G110" s="49"/>
      <c r="H110" s="49"/>
      <c r="I110" s="190"/>
      <c r="J110" s="43"/>
      <c r="L110" s="193"/>
    </row>
    <row r="111" spans="2:12" ht="12" customHeight="1">
      <c r="B111" s="42" t="str">
        <f>B$33</f>
        <v>Border</v>
      </c>
      <c r="C111" s="27" t="s">
        <v>16</v>
      </c>
      <c r="D111" s="37"/>
      <c r="E111" s="37"/>
      <c r="F111" s="98">
        <v>1.25</v>
      </c>
      <c r="G111" s="98">
        <v>1.25</v>
      </c>
      <c r="H111" s="98">
        <v>1.25</v>
      </c>
      <c r="I111" s="98">
        <v>1.25</v>
      </c>
      <c r="J111" s="43"/>
      <c r="K111" s="193"/>
    </row>
    <row r="112" spans="2:12">
      <c r="B112" s="42" t="str">
        <f>B$34</f>
        <v>Gwydir</v>
      </c>
      <c r="C112" s="37" t="str">
        <f t="shared" ref="C112:C119" si="6">$C$111</f>
        <v>#</v>
      </c>
      <c r="D112" s="37"/>
      <c r="E112" s="37"/>
      <c r="F112" s="98">
        <v>1.3973221876662663</v>
      </c>
      <c r="G112" s="98">
        <v>1.3973221876662663</v>
      </c>
      <c r="H112" s="98">
        <v>1.3973221876662663</v>
      </c>
      <c r="I112" s="98">
        <v>1.3973221876662663</v>
      </c>
      <c r="J112" s="43"/>
      <c r="K112" s="106"/>
    </row>
    <row r="113" spans="2:12">
      <c r="B113" s="42" t="str">
        <f>B$35</f>
        <v>Namoi</v>
      </c>
      <c r="C113" s="37" t="str">
        <f t="shared" si="6"/>
        <v>#</v>
      </c>
      <c r="D113" s="37"/>
      <c r="E113" s="37"/>
      <c r="F113" s="98">
        <v>1.25</v>
      </c>
      <c r="G113" s="98">
        <v>1.25</v>
      </c>
      <c r="H113" s="98">
        <v>1.25</v>
      </c>
      <c r="I113" s="98">
        <v>1.25</v>
      </c>
      <c r="J113" s="43"/>
      <c r="K113" s="106"/>
    </row>
    <row r="114" spans="2:12" ht="12" customHeight="1">
      <c r="B114" s="42" t="str">
        <f>B$36</f>
        <v>Peel</v>
      </c>
      <c r="C114" s="37" t="str">
        <f t="shared" si="6"/>
        <v>#</v>
      </c>
      <c r="D114" s="37"/>
      <c r="E114" s="37"/>
      <c r="F114" s="98">
        <v>6.5419452232046584</v>
      </c>
      <c r="G114" s="98">
        <v>6.5419452232046584</v>
      </c>
      <c r="H114" s="98">
        <v>6.5419452232046584</v>
      </c>
      <c r="I114" s="98">
        <v>6.5419452232046584</v>
      </c>
      <c r="J114" s="43"/>
      <c r="K114" s="106"/>
    </row>
    <row r="115" spans="2:12">
      <c r="B115" s="42" t="str">
        <f>B$37</f>
        <v>Lachlan</v>
      </c>
      <c r="C115" s="37" t="str">
        <f t="shared" si="6"/>
        <v>#</v>
      </c>
      <c r="D115" s="37"/>
      <c r="E115" s="37"/>
      <c r="F115" s="98">
        <v>2.4952177609078148</v>
      </c>
      <c r="G115" s="98">
        <v>2.4952177609078148</v>
      </c>
      <c r="H115" s="98">
        <v>2.4952177609078148</v>
      </c>
      <c r="I115" s="98">
        <v>2.4952177609078148</v>
      </c>
      <c r="J115" s="43"/>
      <c r="K115" s="106"/>
    </row>
    <row r="116" spans="2:12" ht="12" customHeight="1">
      <c r="B116" s="42" t="str">
        <f>B$38</f>
        <v>Macquarie</v>
      </c>
      <c r="C116" s="37" t="str">
        <f t="shared" si="6"/>
        <v>#</v>
      </c>
      <c r="D116" s="37"/>
      <c r="E116" s="37"/>
      <c r="F116" s="98">
        <v>1.8848346670243046</v>
      </c>
      <c r="G116" s="98">
        <v>1.8848346670243046</v>
      </c>
      <c r="H116" s="98">
        <v>1.8848346670243046</v>
      </c>
      <c r="I116" s="98">
        <v>1.8848346670243046</v>
      </c>
      <c r="J116" s="43"/>
      <c r="K116" s="106"/>
    </row>
    <row r="117" spans="2:12">
      <c r="B117" s="42" t="str">
        <f>B$39</f>
        <v>Murray</v>
      </c>
      <c r="C117" s="37" t="str">
        <f t="shared" si="6"/>
        <v>#</v>
      </c>
      <c r="D117" s="37"/>
      <c r="E117" s="37"/>
      <c r="F117" s="98">
        <v>1.308492141839708</v>
      </c>
      <c r="G117" s="98">
        <v>1.308492141839708</v>
      </c>
      <c r="H117" s="98">
        <v>1.308492141839708</v>
      </c>
      <c r="I117" s="98">
        <v>1.308492141839708</v>
      </c>
      <c r="J117" s="43"/>
      <c r="K117" s="106"/>
    </row>
    <row r="118" spans="2:12">
      <c r="B118" s="42" t="str">
        <f>B$40</f>
        <v>Murrumbidgee</v>
      </c>
      <c r="C118" s="37" t="str">
        <f t="shared" si="6"/>
        <v>#</v>
      </c>
      <c r="D118" s="37"/>
      <c r="E118" s="37"/>
      <c r="F118" s="98">
        <v>1.6929690711534331</v>
      </c>
      <c r="G118" s="98">
        <v>1.6929690711534331</v>
      </c>
      <c r="H118" s="98">
        <v>1.6929690711534331</v>
      </c>
      <c r="I118" s="98">
        <v>1.6929690711534331</v>
      </c>
      <c r="J118" s="43"/>
      <c r="K118" s="106"/>
    </row>
    <row r="119" spans="2:12">
      <c r="B119" s="42" t="str">
        <f>B$41</f>
        <v>Lowbidgee</v>
      </c>
      <c r="C119" s="37" t="str">
        <f t="shared" si="6"/>
        <v>#</v>
      </c>
      <c r="D119" s="37"/>
      <c r="E119" s="37"/>
      <c r="F119" s="98">
        <v>0</v>
      </c>
      <c r="G119" s="98">
        <v>0</v>
      </c>
      <c r="H119" s="98">
        <v>0</v>
      </c>
      <c r="I119" s="98">
        <v>0</v>
      </c>
      <c r="J119" s="43"/>
      <c r="K119" s="106"/>
    </row>
    <row r="120" spans="2:12">
      <c r="B120" s="42"/>
      <c r="C120" s="37"/>
      <c r="D120" s="37"/>
      <c r="E120" s="37"/>
      <c r="F120" s="37"/>
      <c r="G120" s="37"/>
      <c r="H120" s="37"/>
      <c r="I120" s="37"/>
      <c r="J120" s="43"/>
    </row>
    <row r="121" spans="2:12">
      <c r="B121" s="44"/>
      <c r="C121" s="35"/>
      <c r="D121" s="35"/>
      <c r="E121" s="35"/>
      <c r="F121" s="35"/>
      <c r="G121" s="35"/>
      <c r="H121" s="35"/>
      <c r="I121" s="35"/>
      <c r="J121" s="45"/>
    </row>
    <row r="122" spans="2:12">
      <c r="B122" s="37"/>
      <c r="C122" s="37"/>
      <c r="D122" s="37"/>
      <c r="E122" s="37"/>
      <c r="F122" s="37"/>
      <c r="G122" s="37"/>
      <c r="H122" s="37"/>
      <c r="I122" s="37"/>
      <c r="J122" s="37"/>
    </row>
    <row r="123" spans="2:12">
      <c r="B123" s="106"/>
    </row>
    <row r="124" spans="2:12">
      <c r="B124" s="32" t="s">
        <v>153</v>
      </c>
      <c r="C124" s="106"/>
      <c r="D124" s="106"/>
      <c r="E124" s="106"/>
      <c r="G124" s="53"/>
      <c r="H124" s="53"/>
      <c r="I124" s="193"/>
      <c r="J124" s="106"/>
      <c r="K124" s="106"/>
    </row>
    <row r="125" spans="2:12">
      <c r="B125" s="39" t="str">
        <f>B$16</f>
        <v>Financial year</v>
      </c>
      <c r="C125" s="40" t="str">
        <f>C$28</f>
        <v>Units</v>
      </c>
      <c r="D125" s="40"/>
      <c r="E125" s="40"/>
      <c r="F125" s="127" t="str">
        <f>F$16</f>
        <v>2017-18</v>
      </c>
      <c r="G125" s="127" t="str">
        <f>G$16</f>
        <v>2018-19</v>
      </c>
      <c r="H125" s="127" t="str">
        <f>H$16</f>
        <v>2019-20</v>
      </c>
      <c r="I125" s="210" t="str">
        <f>I$16</f>
        <v>2020-21</v>
      </c>
      <c r="J125" s="41"/>
      <c r="K125" s="106"/>
    </row>
    <row r="126" spans="2:12" ht="11.25" customHeight="1">
      <c r="B126" s="42"/>
      <c r="C126" s="37"/>
      <c r="D126" s="37"/>
      <c r="E126" s="37"/>
      <c r="F126" s="55"/>
      <c r="G126" s="55"/>
      <c r="H126" s="195"/>
      <c r="I126" s="195"/>
      <c r="J126" s="43"/>
      <c r="K126" s="106"/>
    </row>
    <row r="127" spans="2:12" s="106" customFormat="1" ht="11.25" customHeight="1">
      <c r="B127" s="81" t="s">
        <v>163</v>
      </c>
      <c r="C127" s="37"/>
      <c r="D127" s="37"/>
      <c r="E127" s="37"/>
      <c r="F127" s="49"/>
      <c r="G127" s="49"/>
      <c r="H127" s="49"/>
      <c r="I127" s="190"/>
      <c r="J127" s="43"/>
      <c r="L127" s="193"/>
    </row>
    <row r="128" spans="2:12" s="106" customFormat="1" ht="3" customHeight="1">
      <c r="B128" s="81"/>
      <c r="C128" s="37"/>
      <c r="D128" s="37"/>
      <c r="E128" s="37"/>
      <c r="F128" s="49"/>
      <c r="G128" s="49"/>
      <c r="H128" s="49"/>
      <c r="I128" s="190"/>
      <c r="J128" s="43"/>
      <c r="L128" s="193"/>
    </row>
    <row r="129" spans="2:12">
      <c r="B129" s="48" t="s">
        <v>71</v>
      </c>
      <c r="C129" s="37"/>
      <c r="D129" s="37"/>
      <c r="E129" s="37"/>
      <c r="F129" s="49"/>
      <c r="G129" s="49"/>
      <c r="H129" s="49"/>
      <c r="I129" s="190"/>
      <c r="J129" s="43"/>
      <c r="K129" s="106"/>
    </row>
    <row r="130" spans="2:12">
      <c r="B130" s="42" t="s">
        <v>68</v>
      </c>
      <c r="C130" s="37" t="str">
        <f>'Updated Volumes'!$C$31</f>
        <v>kL</v>
      </c>
      <c r="E130" s="37"/>
      <c r="F130" s="107">
        <v>100</v>
      </c>
      <c r="G130" s="107">
        <v>100</v>
      </c>
      <c r="H130" s="107">
        <v>100</v>
      </c>
      <c r="I130" s="107">
        <v>100</v>
      </c>
      <c r="J130" s="43"/>
      <c r="K130" s="106"/>
    </row>
    <row r="131" spans="2:12">
      <c r="B131" s="42" t="s">
        <v>69</v>
      </c>
      <c r="C131" s="37" t="str">
        <f>'Updated Volumes'!$C$31</f>
        <v>kL</v>
      </c>
      <c r="D131" s="37"/>
      <c r="E131" s="37"/>
      <c r="F131" s="107">
        <v>500</v>
      </c>
      <c r="G131" s="107">
        <v>500</v>
      </c>
      <c r="H131" s="107">
        <v>500</v>
      </c>
      <c r="I131" s="107">
        <v>500</v>
      </c>
      <c r="J131" s="43"/>
      <c r="K131" s="106"/>
    </row>
    <row r="132" spans="2:12">
      <c r="B132" s="42" t="s">
        <v>70</v>
      </c>
      <c r="C132" s="37" t="str">
        <f>'Updated Volumes'!$C$31</f>
        <v>kL</v>
      </c>
      <c r="D132" s="37"/>
      <c r="E132" s="37"/>
      <c r="F132" s="107">
        <v>1000</v>
      </c>
      <c r="G132" s="107">
        <v>1000</v>
      </c>
      <c r="H132" s="107">
        <v>1000</v>
      </c>
      <c r="I132" s="107">
        <v>1000</v>
      </c>
      <c r="J132" s="43"/>
      <c r="K132" s="106"/>
    </row>
    <row r="133" spans="2:12">
      <c r="B133" s="42"/>
      <c r="C133" s="37"/>
      <c r="D133" s="37"/>
      <c r="E133" s="37"/>
      <c r="F133" s="108"/>
      <c r="G133" s="108"/>
      <c r="H133" s="108"/>
      <c r="I133" s="108"/>
      <c r="J133" s="43"/>
      <c r="K133" s="106"/>
    </row>
    <row r="134" spans="2:12">
      <c r="B134" s="48" t="s">
        <v>72</v>
      </c>
      <c r="C134" s="37"/>
      <c r="D134" s="37"/>
      <c r="E134" s="37"/>
      <c r="F134" s="108"/>
      <c r="G134" s="108"/>
      <c r="H134" s="108"/>
      <c r="I134" s="108"/>
      <c r="J134" s="43"/>
      <c r="K134" s="106"/>
    </row>
    <row r="135" spans="2:12">
      <c r="B135" s="42" t="str">
        <f>B$130</f>
        <v>Small consumption customers</v>
      </c>
      <c r="C135" s="37" t="str">
        <f>C$22</f>
        <v>%</v>
      </c>
      <c r="D135" s="37"/>
      <c r="E135" s="37"/>
      <c r="F135" s="109">
        <v>1</v>
      </c>
      <c r="G135" s="109">
        <v>1</v>
      </c>
      <c r="H135" s="109">
        <v>1</v>
      </c>
      <c r="I135" s="109">
        <v>1</v>
      </c>
      <c r="J135" s="43"/>
      <c r="K135" s="106"/>
    </row>
    <row r="136" spans="2:12">
      <c r="B136" s="42" t="str">
        <f>B$131</f>
        <v>Medium consumption customers</v>
      </c>
      <c r="C136" s="37" t="str">
        <f>C$22</f>
        <v>%</v>
      </c>
      <c r="D136" s="37"/>
      <c r="E136" s="37"/>
      <c r="F136" s="109">
        <v>1</v>
      </c>
      <c r="G136" s="109">
        <v>1</v>
      </c>
      <c r="H136" s="109">
        <v>1</v>
      </c>
      <c r="I136" s="109">
        <v>1</v>
      </c>
      <c r="J136" s="43"/>
      <c r="K136" s="106"/>
    </row>
    <row r="137" spans="2:12">
      <c r="B137" s="42" t="str">
        <f>B$132</f>
        <v>Large consumption customers</v>
      </c>
      <c r="C137" s="37" t="str">
        <f>C$22</f>
        <v>%</v>
      </c>
      <c r="D137" s="37"/>
      <c r="E137" s="37"/>
      <c r="F137" s="109">
        <v>1</v>
      </c>
      <c r="G137" s="109">
        <v>1</v>
      </c>
      <c r="H137" s="109">
        <v>1</v>
      </c>
      <c r="I137" s="109">
        <v>1</v>
      </c>
      <c r="J137" s="43"/>
      <c r="K137" s="106"/>
    </row>
    <row r="138" spans="2:12" s="106" customFormat="1">
      <c r="B138" s="42"/>
      <c r="C138" s="37"/>
      <c r="D138" s="37"/>
      <c r="E138" s="37"/>
      <c r="F138" s="37"/>
      <c r="G138" s="37"/>
      <c r="H138" s="37"/>
      <c r="I138" s="37"/>
      <c r="J138" s="43"/>
      <c r="L138" s="193"/>
    </row>
    <row r="139" spans="2:12" s="106" customFormat="1">
      <c r="B139" s="48" t="s">
        <v>73</v>
      </c>
      <c r="C139" s="37"/>
      <c r="D139" s="37"/>
      <c r="E139" s="37"/>
      <c r="F139" s="108"/>
      <c r="G139" s="108"/>
      <c r="H139" s="108"/>
      <c r="I139" s="108"/>
      <c r="J139" s="43"/>
      <c r="L139" s="193"/>
    </row>
    <row r="140" spans="2:12" s="106" customFormat="1">
      <c r="B140" s="42" t="str">
        <f>B$130</f>
        <v>Small consumption customers</v>
      </c>
      <c r="C140" s="37" t="str">
        <f>'Updated Volumes'!$C$31</f>
        <v>kL</v>
      </c>
      <c r="D140" s="37"/>
      <c r="E140" s="37"/>
      <c r="F140" s="107">
        <v>100</v>
      </c>
      <c r="G140" s="107">
        <v>100</v>
      </c>
      <c r="H140" s="107">
        <v>100</v>
      </c>
      <c r="I140" s="107">
        <v>100</v>
      </c>
      <c r="J140" s="43"/>
      <c r="L140" s="193"/>
    </row>
    <row r="141" spans="2:12" s="106" customFormat="1">
      <c r="B141" s="42" t="str">
        <f>B$131</f>
        <v>Medium consumption customers</v>
      </c>
      <c r="C141" s="37" t="str">
        <f>'Updated Volumes'!$C$31</f>
        <v>kL</v>
      </c>
      <c r="D141" s="37"/>
      <c r="E141" s="37"/>
      <c r="F141" s="107">
        <v>500</v>
      </c>
      <c r="G141" s="107">
        <v>500</v>
      </c>
      <c r="H141" s="107">
        <v>500</v>
      </c>
      <c r="I141" s="107">
        <v>500</v>
      </c>
      <c r="J141" s="43"/>
      <c r="L141" s="193"/>
    </row>
    <row r="142" spans="2:12" s="106" customFormat="1">
      <c r="B142" s="42" t="str">
        <f>B$132</f>
        <v>Large consumption customers</v>
      </c>
      <c r="C142" s="37" t="str">
        <f>'Updated Volumes'!$C$31</f>
        <v>kL</v>
      </c>
      <c r="D142" s="37"/>
      <c r="E142" s="37"/>
      <c r="F142" s="107">
        <v>1000</v>
      </c>
      <c r="G142" s="107">
        <v>1000</v>
      </c>
      <c r="H142" s="107">
        <v>1000</v>
      </c>
      <c r="I142" s="107">
        <v>1000</v>
      </c>
      <c r="J142" s="43"/>
      <c r="L142" s="193"/>
    </row>
    <row r="143" spans="2:12" s="106" customFormat="1">
      <c r="B143" s="42"/>
      <c r="C143" s="37"/>
      <c r="D143" s="37"/>
      <c r="E143" s="37"/>
      <c r="F143" s="37"/>
      <c r="G143" s="37"/>
      <c r="H143" s="37"/>
      <c r="I143" s="37"/>
      <c r="J143" s="43"/>
      <c r="L143" s="193"/>
    </row>
    <row r="144" spans="2:12" s="106" customFormat="1">
      <c r="B144" s="48" t="s">
        <v>74</v>
      </c>
      <c r="C144" s="37"/>
      <c r="D144" s="37"/>
      <c r="E144" s="37"/>
      <c r="F144" s="108"/>
      <c r="G144" s="108"/>
      <c r="H144" s="108"/>
      <c r="I144" s="108"/>
      <c r="J144" s="43"/>
      <c r="L144" s="193"/>
    </row>
    <row r="145" spans="2:12" s="106" customFormat="1">
      <c r="B145" s="42" t="str">
        <f>B$130</f>
        <v>Small consumption customers</v>
      </c>
      <c r="C145" s="37" t="str">
        <f>C$22</f>
        <v>%</v>
      </c>
      <c r="D145" s="37"/>
      <c r="E145" s="37"/>
      <c r="F145" s="109">
        <v>0.6</v>
      </c>
      <c r="G145" s="109">
        <v>0.6</v>
      </c>
      <c r="H145" s="109">
        <v>0.6</v>
      </c>
      <c r="I145" s="109">
        <v>0.6</v>
      </c>
      <c r="J145" s="43"/>
      <c r="L145" s="193"/>
    </row>
    <row r="146" spans="2:12" s="106" customFormat="1">
      <c r="B146" s="42" t="str">
        <f>B$131</f>
        <v>Medium consumption customers</v>
      </c>
      <c r="C146" s="37" t="str">
        <f>C$22</f>
        <v>%</v>
      </c>
      <c r="D146" s="37"/>
      <c r="E146" s="37"/>
      <c r="F146" s="109">
        <v>0.6</v>
      </c>
      <c r="G146" s="109">
        <v>0.6</v>
      </c>
      <c r="H146" s="109">
        <v>0.6</v>
      </c>
      <c r="I146" s="109">
        <v>0.6</v>
      </c>
      <c r="J146" s="43"/>
      <c r="L146" s="193"/>
    </row>
    <row r="147" spans="2:12" s="106" customFormat="1">
      <c r="B147" s="42" t="str">
        <f>B$132</f>
        <v>Large consumption customers</v>
      </c>
      <c r="C147" s="37" t="str">
        <f>C$22</f>
        <v>%</v>
      </c>
      <c r="D147" s="37"/>
      <c r="E147" s="37"/>
      <c r="F147" s="109">
        <v>0.6</v>
      </c>
      <c r="G147" s="109">
        <v>0.6</v>
      </c>
      <c r="H147" s="109">
        <v>0.6</v>
      </c>
      <c r="I147" s="109">
        <v>0.6</v>
      </c>
      <c r="J147" s="43"/>
      <c r="L147" s="193"/>
    </row>
    <row r="148" spans="2:12">
      <c r="B148" s="44"/>
      <c r="C148" s="35"/>
      <c r="D148" s="35"/>
      <c r="E148" s="35"/>
      <c r="F148" s="35"/>
      <c r="G148" s="35"/>
      <c r="H148" s="35"/>
      <c r="I148" s="35"/>
      <c r="J148" s="45"/>
      <c r="K148" s="106"/>
    </row>
    <row r="212" spans="11:11">
      <c r="K212" s="5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20"/>
  <sheetViews>
    <sheetView showGridLines="0" topLeftCell="F69" workbookViewId="0">
      <selection activeCell="N76" sqref="N76"/>
    </sheetView>
  </sheetViews>
  <sheetFormatPr defaultColWidth="9.09765625" defaultRowHeight="11.5"/>
  <cols>
    <col min="1" max="1" width="4.69921875" style="59" customWidth="1"/>
    <col min="2" max="2" width="50" style="59" bestFit="1" customWidth="1"/>
    <col min="3" max="5" width="9.09765625" style="59"/>
    <col min="6" max="6" width="9.3984375" style="59" bestFit="1" customWidth="1"/>
    <col min="7" max="7" width="20.3984375" style="59" customWidth="1"/>
    <col min="8" max="8" width="20.3984375" style="103" customWidth="1"/>
    <col min="9" max="9" width="20.3984375" style="306" customWidth="1"/>
    <col min="10" max="10" width="20.3984375" style="193" customWidth="1"/>
    <col min="11" max="14" width="10.8984375" style="193" customWidth="1"/>
    <col min="15" max="16" width="9.09765625" style="193"/>
    <col min="17" max="17" width="9.09765625" style="59"/>
    <col min="18" max="18" width="9.09765625" style="103"/>
    <col min="19" max="19" width="9.3984375" style="59" bestFit="1" customWidth="1"/>
    <col min="20" max="16384" width="9.09765625" style="59"/>
  </cols>
  <sheetData>
    <row r="2" spans="2:28" ht="18">
      <c r="B2" s="58" t="s">
        <v>59</v>
      </c>
    </row>
    <row r="3" spans="2:28">
      <c r="B3" s="59" t="s">
        <v>164</v>
      </c>
    </row>
    <row r="5" spans="2:28">
      <c r="B5" s="35" t="s">
        <v>28</v>
      </c>
      <c r="C5" s="35"/>
      <c r="D5" s="35"/>
      <c r="E5" s="36" t="s">
        <v>29</v>
      </c>
    </row>
    <row r="6" spans="2:28">
      <c r="B6" s="31" t="str">
        <f>B13</f>
        <v>TABLE 3.1 - USAGE CHARGES</v>
      </c>
      <c r="C6" s="31"/>
      <c r="D6" s="31"/>
      <c r="E6" s="31">
        <f>ROW(B13)</f>
        <v>13</v>
      </c>
    </row>
    <row r="7" spans="2:28">
      <c r="B7" s="31" t="str">
        <f>B30</f>
        <v>TABLE 3.2 - GENERAL SECURITY ENTITLEMENT CHARGES</v>
      </c>
      <c r="C7" s="31"/>
      <c r="D7" s="31"/>
      <c r="E7" s="31">
        <f>ROW(B30)</f>
        <v>30</v>
      </c>
    </row>
    <row r="8" spans="2:28">
      <c r="B8" s="37" t="str">
        <f>B47</f>
        <v xml:space="preserve">TABLE 3.3 - HIGH SECURITY ENTITLEMENT CHARGES </v>
      </c>
      <c r="C8" s="37"/>
      <c r="D8" s="37"/>
      <c r="E8" s="38">
        <f>ROW(B47)</f>
        <v>47</v>
      </c>
    </row>
    <row r="9" spans="2:28" s="103" customFormat="1">
      <c r="B9" s="106" t="str">
        <f>B64</f>
        <v>TABLE 3.4 - MDBA AND BRC USAGE AND ENTITLEMENT CHARGES</v>
      </c>
      <c r="C9" s="106"/>
      <c r="D9" s="106"/>
      <c r="E9" s="106">
        <f>ROW(B64)</f>
        <v>64</v>
      </c>
      <c r="I9" s="306"/>
      <c r="J9" s="193"/>
      <c r="K9" s="193"/>
      <c r="L9" s="193"/>
      <c r="M9" s="193"/>
      <c r="N9" s="193"/>
      <c r="O9" s="193"/>
      <c r="P9" s="193"/>
    </row>
    <row r="10" spans="2:28">
      <c r="B10" s="35" t="str">
        <f>B86</f>
        <v>TABLE 3.5 - FISH RIVER WATER SUPPLY SCHEME CHARGES</v>
      </c>
      <c r="C10" s="35"/>
      <c r="D10" s="35"/>
      <c r="E10" s="35">
        <f>ROW(B86)</f>
        <v>86</v>
      </c>
      <c r="Q10" s="103"/>
      <c r="S10" s="103"/>
    </row>
    <row r="11" spans="2:28">
      <c r="Q11" s="103"/>
      <c r="S11" s="103"/>
    </row>
    <row r="12" spans="2:28">
      <c r="Q12" s="193"/>
      <c r="R12" s="193"/>
      <c r="S12" s="103"/>
    </row>
    <row r="13" spans="2:28">
      <c r="B13" s="60" t="s">
        <v>183</v>
      </c>
      <c r="E13" s="103"/>
      <c r="F13" s="53"/>
      <c r="G13" s="53"/>
      <c r="H13" s="53"/>
      <c r="I13" s="307"/>
    </row>
    <row r="14" spans="2:28">
      <c r="B14" s="61" t="str">
        <f>'2017 Determination - Revenue'!B$16</f>
        <v>Financial year</v>
      </c>
      <c r="C14" s="62" t="str">
        <f>'2017 Determination - Revenue'!C$28</f>
        <v>Units</v>
      </c>
      <c r="D14" s="50"/>
      <c r="E14" s="50"/>
      <c r="F14" s="127" t="str">
        <f>'2017 Determination - Revenue'!F$16</f>
        <v>2017-18</v>
      </c>
      <c r="G14" s="127" t="str">
        <f>'2017 Determination - Revenue'!G$16</f>
        <v>2018-19</v>
      </c>
      <c r="H14" s="127" t="str">
        <f>'2017 Determination - Revenue'!H$16</f>
        <v>2019-20</v>
      </c>
      <c r="I14" s="210" t="str">
        <f>'2017 Determination - Revenue'!I$16</f>
        <v>2020-21</v>
      </c>
      <c r="J14" s="210"/>
      <c r="K14" s="163" t="str">
        <f>F14</f>
        <v>2017-18</v>
      </c>
      <c r="L14" s="163" t="str">
        <f t="shared" ref="L14:N14" si="0">G14</f>
        <v>2018-19</v>
      </c>
      <c r="M14" s="163" t="str">
        <f t="shared" si="0"/>
        <v>2019-20</v>
      </c>
      <c r="N14" s="163" t="str">
        <f t="shared" si="0"/>
        <v>2020-21</v>
      </c>
      <c r="O14" s="236"/>
      <c r="P14" s="190"/>
      <c r="T14" s="175"/>
    </row>
    <row r="15" spans="2:28">
      <c r="B15" s="64"/>
      <c r="C15" s="52"/>
      <c r="D15" s="52"/>
      <c r="E15" s="52"/>
      <c r="F15" s="183" t="str">
        <f>'2017 Determination - Revenue'!$F$29</f>
        <v>$2016-17</v>
      </c>
      <c r="G15" s="128" t="str">
        <f>F15</f>
        <v>$2016-17</v>
      </c>
      <c r="H15" s="128" t="str">
        <f>G15</f>
        <v>$2016-17</v>
      </c>
      <c r="I15" s="128" t="str">
        <f>H15</f>
        <v>$2016-17</v>
      </c>
      <c r="J15" s="128"/>
      <c r="K15" s="183" t="s">
        <v>210</v>
      </c>
      <c r="L15" s="183" t="s">
        <v>90</v>
      </c>
      <c r="M15" s="183" t="s">
        <v>205</v>
      </c>
      <c r="N15" s="183" t="s">
        <v>224</v>
      </c>
      <c r="O15" s="234"/>
      <c r="P15" s="190"/>
      <c r="Q15" s="103"/>
      <c r="R15" s="193"/>
      <c r="S15" s="103"/>
      <c r="T15" s="175"/>
      <c r="U15" s="103"/>
      <c r="V15" s="103"/>
      <c r="W15" s="103"/>
      <c r="X15" s="103"/>
      <c r="Y15" s="103"/>
      <c r="Z15" s="103"/>
      <c r="AA15" s="103"/>
      <c r="AB15" s="103"/>
    </row>
    <row r="16" spans="2:28">
      <c r="B16" s="64"/>
      <c r="C16" s="52"/>
      <c r="D16" s="52"/>
      <c r="E16" s="52"/>
      <c r="F16" s="49"/>
      <c r="G16" s="49"/>
      <c r="H16" s="49"/>
      <c r="I16" s="308"/>
      <c r="J16" s="190"/>
      <c r="K16" s="190"/>
      <c r="L16" s="190"/>
      <c r="M16" s="190"/>
      <c r="N16" s="190"/>
      <c r="O16" s="234"/>
      <c r="P16" s="190"/>
      <c r="Q16" s="103"/>
      <c r="R16" s="193"/>
      <c r="S16" s="103"/>
      <c r="T16" s="175"/>
      <c r="U16" s="103"/>
      <c r="V16" s="103"/>
      <c r="W16" s="103"/>
      <c r="X16" s="103"/>
      <c r="Y16" s="103"/>
      <c r="Z16" s="103"/>
      <c r="AA16" s="103"/>
      <c r="AB16" s="103"/>
    </row>
    <row r="17" spans="2:28">
      <c r="B17" s="64" t="s">
        <v>43</v>
      </c>
      <c r="C17" s="52"/>
      <c r="D17" s="52"/>
      <c r="E17" s="52"/>
      <c r="F17" s="49"/>
      <c r="G17" s="49"/>
      <c r="H17" s="49"/>
      <c r="I17" s="308"/>
      <c r="J17" s="190"/>
      <c r="K17" s="190"/>
      <c r="M17" s="190"/>
      <c r="N17" s="190"/>
      <c r="O17" s="234"/>
      <c r="P17" s="190"/>
      <c r="Q17" s="103"/>
      <c r="R17" s="193"/>
      <c r="S17" s="103"/>
      <c r="T17" s="175"/>
      <c r="U17" s="103"/>
      <c r="V17" s="103"/>
      <c r="W17" s="103"/>
      <c r="X17" s="103"/>
      <c r="Y17" s="103"/>
      <c r="Z17" s="103"/>
      <c r="AA17" s="103"/>
      <c r="AB17" s="103"/>
    </row>
    <row r="18" spans="2:28" ht="12" customHeight="1">
      <c r="B18" s="42" t="str">
        <f>'2017 Determination - Revenue'!$B$33</f>
        <v>Border</v>
      </c>
      <c r="C18" s="67" t="str">
        <f>Outputs!$C$27</f>
        <v>$/ML</v>
      </c>
      <c r="D18" s="52"/>
      <c r="E18" s="52"/>
      <c r="F18" s="112">
        <v>5.4449619575243808</v>
      </c>
      <c r="G18" s="112">
        <v>5.4449619575243808</v>
      </c>
      <c r="H18" s="112">
        <v>5.4449619575243808</v>
      </c>
      <c r="I18" s="311">
        <v>5.4449619575243808</v>
      </c>
      <c r="J18" s="190"/>
      <c r="K18" s="113">
        <f>ROUND(F18,2)*(1+'2017 Determination - Revenue'!$F$18)</f>
        <v>5.5542400000000001</v>
      </c>
      <c r="L18" s="113">
        <f>ROUND((ROUND(G18,2)*(1+'2017 Determination - Revenue'!$F$18)),2)*(1+'2017 Determination - Revenue'!$G$22)</f>
        <v>5.6554499999999992</v>
      </c>
      <c r="M18" s="113">
        <f>ROUND((ROUND(H18,2)*(1+'2017 Determination - Revenue'!$F$18)),2)*(1+'2017 Determination - Revenue'!$H$22)</f>
        <v>5.7331499999999993</v>
      </c>
      <c r="N18" s="113">
        <f>ROUND((ROUND(I18,2)*(1+'2017 Determination - Revenue'!$F$18)),2)*(1+'2017 Determination - Revenue'!$I$22)</f>
        <v>5.8497000000000003</v>
      </c>
      <c r="O18" s="234"/>
      <c r="P18" s="190"/>
      <c r="Q18" s="196"/>
      <c r="R18" s="193"/>
      <c r="S18" s="103"/>
      <c r="T18" s="175"/>
      <c r="U18" s="103"/>
      <c r="V18" s="103"/>
      <c r="W18" s="103"/>
      <c r="X18" s="103"/>
      <c r="Y18" s="103"/>
      <c r="Z18" s="103"/>
      <c r="AA18" s="103"/>
      <c r="AB18" s="103"/>
    </row>
    <row r="19" spans="2:28">
      <c r="B19" s="42" t="str">
        <f>'2017 Determination - Revenue'!$B$34</f>
        <v>Gwydir</v>
      </c>
      <c r="C19" s="67" t="str">
        <f>Outputs!$C$27</f>
        <v>$/ML</v>
      </c>
      <c r="D19" s="52"/>
      <c r="E19" s="52"/>
      <c r="F19" s="112">
        <v>11.873139524320214</v>
      </c>
      <c r="G19" s="112">
        <v>11.873139524320214</v>
      </c>
      <c r="H19" s="112">
        <v>11.873139524320214</v>
      </c>
      <c r="I19" s="311">
        <v>11.873139524320214</v>
      </c>
      <c r="J19" s="190"/>
      <c r="K19" s="113">
        <f>ROUND(F19,2)*(1+'2017 Determination - Revenue'!$F$18)</f>
        <v>12.119269999999998</v>
      </c>
      <c r="L19" s="113">
        <f>ROUND((ROUND(G19,2)*(1+'2017 Determination - Revenue'!$F$18)),2)*(1+'2017 Determination - Revenue'!$G$22)</f>
        <v>12.350279999999998</v>
      </c>
      <c r="M19" s="113">
        <f>ROUND((ROUND(H19,2)*(1+'2017 Determination - Revenue'!$F$18)),2)*(1+'2017 Determination - Revenue'!$H$22)</f>
        <v>12.519959999999998</v>
      </c>
      <c r="N19" s="113">
        <f>ROUND((ROUND(I19,2)*(1+'2017 Determination - Revenue'!$F$18)),2)*(1+'2017 Determination - Revenue'!$I$22)</f>
        <v>12.774480000000001</v>
      </c>
      <c r="O19" s="234"/>
      <c r="P19" s="190"/>
      <c r="Q19" s="196"/>
      <c r="R19" s="193"/>
      <c r="S19" s="103"/>
      <c r="T19" s="175"/>
      <c r="U19" s="103"/>
      <c r="V19" s="103"/>
      <c r="W19" s="103"/>
      <c r="X19" s="103"/>
      <c r="Y19" s="103"/>
      <c r="Z19" s="103"/>
      <c r="AA19" s="103"/>
      <c r="AB19" s="103"/>
    </row>
    <row r="20" spans="2:28">
      <c r="B20" s="42" t="str">
        <f>'2017 Determination - Revenue'!$B$35</f>
        <v>Namoi</v>
      </c>
      <c r="C20" s="67" t="str">
        <f>Outputs!$C$27</f>
        <v>$/ML</v>
      </c>
      <c r="D20" s="52"/>
      <c r="E20" s="52"/>
      <c r="F20" s="112">
        <v>19.983537685794229</v>
      </c>
      <c r="G20" s="112">
        <v>19.983537685794229</v>
      </c>
      <c r="H20" s="112">
        <v>19.983537685794229</v>
      </c>
      <c r="I20" s="311">
        <v>19.983537685794229</v>
      </c>
      <c r="J20" s="190"/>
      <c r="K20" s="113">
        <f>ROUND(F20,2)*(1+'2017 Determination - Revenue'!$F$18)</f>
        <v>20.39958</v>
      </c>
      <c r="L20" s="113">
        <f>ROUND((ROUND(G20,2)*(1+'2017 Determination - Revenue'!$F$18)),2)*(1+'2017 Determination - Revenue'!$G$22)</f>
        <v>20.787599999999998</v>
      </c>
      <c r="M20" s="113">
        <f>ROUND((ROUND(H20,2)*(1+'2017 Determination - Revenue'!$F$18)),2)*(1+'2017 Determination - Revenue'!$H$22)</f>
        <v>21.073199999999996</v>
      </c>
      <c r="N20" s="113">
        <f>ROUND((ROUND(I20,2)*(1+'2017 Determination - Revenue'!$F$18)),2)*(1+'2017 Determination - Revenue'!$I$22)</f>
        <v>21.5016</v>
      </c>
      <c r="O20" s="234"/>
      <c r="P20" s="190"/>
      <c r="Q20" s="196"/>
      <c r="R20" s="193"/>
      <c r="S20" s="103"/>
      <c r="T20" s="175"/>
      <c r="U20" s="103"/>
      <c r="V20" s="103"/>
      <c r="W20" s="103"/>
      <c r="X20" s="103"/>
      <c r="Y20" s="103"/>
      <c r="Z20" s="103"/>
      <c r="AA20" s="103"/>
      <c r="AB20" s="103"/>
    </row>
    <row r="21" spans="2:28">
      <c r="B21" s="42" t="str">
        <f>'2017 Determination - Revenue'!$B$36</f>
        <v>Peel</v>
      </c>
      <c r="C21" s="67" t="str">
        <f>Outputs!$C$27</f>
        <v>$/ML</v>
      </c>
      <c r="D21" s="52"/>
      <c r="E21" s="52"/>
      <c r="F21" s="112">
        <v>55.091150391764842</v>
      </c>
      <c r="G21" s="112">
        <v>18.363716797254945</v>
      </c>
      <c r="H21" s="112">
        <v>18.363716797254945</v>
      </c>
      <c r="I21" s="311">
        <v>18.363716797254945</v>
      </c>
      <c r="J21" s="190"/>
      <c r="K21" s="113">
        <f>ROUND(F21,2)*(1+'2017 Determination - Revenue'!$F$18)</f>
        <v>56.24689</v>
      </c>
      <c r="L21" s="113">
        <f>ROUND((ROUND(G21,2)*(1+'2017 Determination - Revenue'!$F$18)),2)*(1+'2017 Determination - Revenue'!$G$22)</f>
        <v>19.106249999999999</v>
      </c>
      <c r="M21" s="113">
        <f>ROUND((ROUND(H21,2)*(1+'2017 Determination - Revenue'!$F$18)),2)*(1+'2017 Determination - Revenue'!$H$22)</f>
        <v>19.368749999999999</v>
      </c>
      <c r="N21" s="113">
        <f>ROUND((ROUND(I21,2)*(1+'2017 Determination - Revenue'!$F$18)),2)*(1+'2017 Determination - Revenue'!$I$22)</f>
        <v>19.762499999999999</v>
      </c>
      <c r="O21" s="234"/>
      <c r="P21" s="190"/>
      <c r="Q21" s="196"/>
      <c r="R21" s="193"/>
      <c r="S21" s="103"/>
      <c r="T21" s="175"/>
      <c r="U21" s="103"/>
      <c r="V21" s="103"/>
      <c r="W21" s="103"/>
      <c r="X21" s="103"/>
      <c r="Y21" s="103"/>
      <c r="Z21" s="103"/>
      <c r="AA21" s="103"/>
      <c r="AB21" s="103"/>
    </row>
    <row r="22" spans="2:28">
      <c r="B22" s="42" t="str">
        <f>'2017 Determination - Revenue'!$B$37</f>
        <v>Lachlan</v>
      </c>
      <c r="C22" s="67" t="str">
        <f>Outputs!$C$27</f>
        <v>$/ML</v>
      </c>
      <c r="D22" s="52"/>
      <c r="E22" s="52"/>
      <c r="F22" s="112">
        <v>19.038335664987216</v>
      </c>
      <c r="G22" s="112">
        <v>19.038335664987216</v>
      </c>
      <c r="H22" s="112">
        <v>19.038335664987216</v>
      </c>
      <c r="I22" s="311">
        <v>19.038335664987216</v>
      </c>
      <c r="J22" s="190"/>
      <c r="K22" s="113">
        <f>ROUND(F22,2)*(1+'2017 Determination - Revenue'!$F$18)</f>
        <v>19.439839999999997</v>
      </c>
      <c r="L22" s="113">
        <f>ROUND((ROUND(G22,2)*(1+'2017 Determination - Revenue'!$F$18)),2)*(1+'2017 Determination - Revenue'!$G$22)</f>
        <v>19.809359999999998</v>
      </c>
      <c r="M22" s="113">
        <f>ROUND((ROUND(H22,2)*(1+'2017 Determination - Revenue'!$F$18)),2)*(1+'2017 Determination - Revenue'!$H$22)</f>
        <v>20.081520000000001</v>
      </c>
      <c r="N22" s="113">
        <f>ROUND((ROUND(I22,2)*(1+'2017 Determination - Revenue'!$F$18)),2)*(1+'2017 Determination - Revenue'!$I$22)</f>
        <v>20.489760000000004</v>
      </c>
      <c r="O22" s="234"/>
      <c r="P22" s="190"/>
      <c r="Q22" s="196"/>
      <c r="R22" s="193"/>
      <c r="S22" s="103"/>
      <c r="T22" s="175"/>
      <c r="U22" s="103"/>
      <c r="V22" s="103"/>
      <c r="W22" s="103"/>
      <c r="X22" s="103"/>
      <c r="Y22" s="103"/>
      <c r="Z22" s="103"/>
      <c r="AA22" s="103"/>
      <c r="AB22" s="103"/>
    </row>
    <row r="23" spans="2:28">
      <c r="B23" s="42" t="str">
        <f>'2017 Determination - Revenue'!$B$38</f>
        <v>Macquarie</v>
      </c>
      <c r="C23" s="67" t="str">
        <f>Outputs!$C$27</f>
        <v>$/ML</v>
      </c>
      <c r="D23" s="52"/>
      <c r="E23" s="52"/>
      <c r="F23" s="112">
        <v>13.78434038452443</v>
      </c>
      <c r="G23" s="112">
        <v>13.78434038452443</v>
      </c>
      <c r="H23" s="112">
        <v>13.78434038452443</v>
      </c>
      <c r="I23" s="311">
        <v>13.78434038452443</v>
      </c>
      <c r="J23" s="190"/>
      <c r="K23" s="113">
        <f>ROUND(F23,2)*(1+'2017 Determination - Revenue'!$F$18)</f>
        <v>14.069379999999999</v>
      </c>
      <c r="L23" s="113">
        <f>ROUND((ROUND(G23,2)*(1+'2017 Determination - Revenue'!$F$18)),2)*(1+'2017 Determination - Revenue'!$G$22)</f>
        <v>14.33733</v>
      </c>
      <c r="M23" s="113">
        <f>ROUND((ROUND(H23,2)*(1+'2017 Determination - Revenue'!$F$18)),2)*(1+'2017 Determination - Revenue'!$H$22)</f>
        <v>14.53431</v>
      </c>
      <c r="N23" s="113">
        <f>ROUND((ROUND(I23,2)*(1+'2017 Determination - Revenue'!$F$18)),2)*(1+'2017 Determination - Revenue'!$I$22)</f>
        <v>14.829780000000001</v>
      </c>
      <c r="O23" s="234"/>
      <c r="P23" s="190"/>
      <c r="Q23" s="196"/>
      <c r="R23" s="193"/>
      <c r="S23" s="103"/>
      <c r="T23" s="175"/>
      <c r="U23" s="103"/>
      <c r="V23" s="103"/>
      <c r="W23" s="103"/>
      <c r="X23" s="103"/>
      <c r="Y23" s="103"/>
      <c r="Z23" s="103"/>
      <c r="AA23" s="103"/>
      <c r="AB23" s="103"/>
    </row>
    <row r="24" spans="2:28">
      <c r="B24" s="42" t="str">
        <f>'2017 Determination - Revenue'!$B$39</f>
        <v>Murray</v>
      </c>
      <c r="C24" s="67" t="str">
        <f>Outputs!$C$27</f>
        <v>$/ML</v>
      </c>
      <c r="D24" s="52"/>
      <c r="E24" s="52"/>
      <c r="F24" s="112">
        <v>1.9059075031952837</v>
      </c>
      <c r="G24" s="112">
        <v>1.9059075031952837</v>
      </c>
      <c r="H24" s="112">
        <v>1.9059075031952837</v>
      </c>
      <c r="I24" s="311">
        <v>1.9059075031952837</v>
      </c>
      <c r="J24" s="190"/>
      <c r="K24" s="113">
        <f>ROUND(F24,2)*(1+'2017 Determination - Revenue'!$F$18)</f>
        <v>1.9501099999999998</v>
      </c>
      <c r="L24" s="113">
        <f>ROUND((ROUND(G24,2)*(1+'2017 Determination - Revenue'!$F$18)),2)*(1+'2017 Determination - Revenue'!$G$22)</f>
        <v>1.9870499999999998</v>
      </c>
      <c r="M24" s="113">
        <f>ROUND((ROUND(H24,2)*(1+'2017 Determination - Revenue'!$F$18)),2)*(1+'2017 Determination - Revenue'!$H$22)</f>
        <v>2.0143499999999999</v>
      </c>
      <c r="N24" s="113">
        <f>ROUND((ROUND(I24,2)*(1+'2017 Determination - Revenue'!$F$18)),2)*(1+'2017 Determination - Revenue'!$I$22)</f>
        <v>2.0552999999999999</v>
      </c>
      <c r="O24" s="234"/>
      <c r="P24" s="190"/>
      <c r="Q24" s="196"/>
      <c r="R24" s="193"/>
      <c r="S24" s="103"/>
      <c r="T24" s="175"/>
      <c r="U24" s="103"/>
      <c r="V24" s="103"/>
      <c r="W24" s="103"/>
      <c r="X24" s="103"/>
      <c r="Y24" s="103"/>
      <c r="Z24" s="103"/>
      <c r="AA24" s="103"/>
      <c r="AB24" s="103"/>
    </row>
    <row r="25" spans="2:28">
      <c r="B25" s="42" t="str">
        <f>'2017 Determination - Revenue'!$B$40</f>
        <v>Murrumbidgee</v>
      </c>
      <c r="C25" s="67" t="str">
        <f>Outputs!$C$27</f>
        <v>$/ML</v>
      </c>
      <c r="D25" s="52"/>
      <c r="E25" s="52"/>
      <c r="F25" s="112">
        <v>3.3066680084074336</v>
      </c>
      <c r="G25" s="112">
        <v>3.3066680084074336</v>
      </c>
      <c r="H25" s="112">
        <v>3.3066680084074336</v>
      </c>
      <c r="I25" s="311">
        <v>3.3066680084074336</v>
      </c>
      <c r="J25" s="190"/>
      <c r="K25" s="113">
        <f>ROUND(F25,2)*(1+'2017 Determination - Revenue'!$F$18)</f>
        <v>3.3795099999999998</v>
      </c>
      <c r="L25" s="113">
        <f>ROUND((ROUND(G25,2)*(1+'2017 Determination - Revenue'!$F$18)),2)*(1+'2017 Determination - Revenue'!$G$22)</f>
        <v>3.4442199999999996</v>
      </c>
      <c r="M25" s="113">
        <f>ROUND((ROUND(H25,2)*(1+'2017 Determination - Revenue'!$F$18)),2)*(1+'2017 Determination - Revenue'!$H$22)</f>
        <v>3.4915399999999996</v>
      </c>
      <c r="N25" s="113">
        <f>ROUND((ROUND(I25,2)*(1+'2017 Determination - Revenue'!$F$18)),2)*(1+'2017 Determination - Revenue'!$I$22)</f>
        <v>3.5625200000000001</v>
      </c>
      <c r="O25" s="234"/>
      <c r="P25" s="190"/>
      <c r="Q25" s="196"/>
      <c r="R25" s="193"/>
      <c r="S25" s="103"/>
      <c r="T25" s="175"/>
      <c r="U25" s="103"/>
      <c r="V25" s="103"/>
      <c r="W25" s="103"/>
      <c r="X25" s="103"/>
      <c r="Y25" s="103"/>
      <c r="Z25" s="103"/>
      <c r="AA25" s="103"/>
      <c r="AB25" s="103"/>
    </row>
    <row r="26" spans="2:28">
      <c r="B26" s="42" t="str">
        <f>'2017 Determination - Revenue'!$B$41</f>
        <v>Lowbidgee</v>
      </c>
      <c r="C26" s="67" t="str">
        <f>Outputs!$C$27</f>
        <v>$/ML</v>
      </c>
      <c r="D26" s="52"/>
      <c r="E26" s="52"/>
      <c r="F26" s="112">
        <v>0</v>
      </c>
      <c r="G26" s="112">
        <v>0</v>
      </c>
      <c r="H26" s="112">
        <v>0</v>
      </c>
      <c r="I26" s="311">
        <v>0</v>
      </c>
      <c r="J26" s="190"/>
      <c r="K26" s="113">
        <f>ROUND(F26,2)*(1+'2017 Determination - Revenue'!$F$18)</f>
        <v>0</v>
      </c>
      <c r="L26" s="113">
        <f>ROUND((ROUND(G26,2)*(1+'2017 Determination - Revenue'!$F$18)),2)*(1+'2017 Determination - Revenue'!$G$22)</f>
        <v>0</v>
      </c>
      <c r="M26" s="113">
        <f>ROUND((ROUND(H26,2)*(1+'2017 Determination - Revenue'!$F$18)),2)*(1+'2017 Determination - Revenue'!$H$22)</f>
        <v>0</v>
      </c>
      <c r="N26" s="113">
        <f>ROUND((ROUND(I26,2)*(1+'2017 Determination - Revenue'!$F$18)),2)*(1+'2017 Determination - Revenue'!$I$22)</f>
        <v>0</v>
      </c>
      <c r="O26" s="234"/>
      <c r="P26" s="190"/>
      <c r="Q26" s="196"/>
      <c r="R26" s="193"/>
      <c r="S26" s="103"/>
      <c r="T26" s="175"/>
      <c r="U26" s="103"/>
      <c r="V26" s="103"/>
      <c r="W26" s="103"/>
      <c r="X26" s="103"/>
      <c r="Y26" s="103"/>
      <c r="Z26" s="103"/>
      <c r="AA26" s="103"/>
      <c r="AB26" s="103"/>
    </row>
    <row r="27" spans="2:28">
      <c r="B27" s="44"/>
      <c r="C27" s="72"/>
      <c r="D27" s="72"/>
      <c r="E27" s="72"/>
      <c r="F27" s="54"/>
      <c r="G27" s="54"/>
      <c r="H27" s="54"/>
      <c r="I27" s="309"/>
      <c r="J27" s="176"/>
      <c r="K27" s="54"/>
      <c r="L27" s="54"/>
      <c r="M27" s="54"/>
      <c r="N27" s="176"/>
      <c r="O27" s="235"/>
      <c r="P27" s="190"/>
      <c r="Q27" s="196"/>
      <c r="R27" s="193"/>
      <c r="S27" s="103"/>
      <c r="T27" s="175"/>
      <c r="U27" s="103"/>
      <c r="V27" s="103"/>
      <c r="W27" s="103"/>
      <c r="X27" s="103"/>
      <c r="Y27" s="103"/>
      <c r="Z27" s="103"/>
      <c r="AA27" s="103"/>
      <c r="AB27" s="103"/>
    </row>
    <row r="28" spans="2:28">
      <c r="B28" s="37"/>
      <c r="C28" s="65"/>
      <c r="D28" s="65"/>
      <c r="E28" s="65"/>
      <c r="F28" s="71"/>
      <c r="G28" s="71"/>
      <c r="H28" s="71"/>
      <c r="I28" s="312"/>
      <c r="J28" s="71"/>
      <c r="K28" s="71"/>
      <c r="L28" s="71"/>
      <c r="M28" s="71"/>
      <c r="N28" s="71"/>
      <c r="Q28" s="196"/>
      <c r="R28" s="193"/>
      <c r="S28" s="103"/>
      <c r="T28" s="175"/>
      <c r="U28" s="103"/>
      <c r="V28" s="103"/>
      <c r="W28" s="103"/>
      <c r="X28" s="103"/>
      <c r="Y28" s="103"/>
      <c r="Z28" s="103"/>
      <c r="AA28" s="103"/>
      <c r="AB28" s="103"/>
    </row>
    <row r="29" spans="2:28">
      <c r="B29" s="37"/>
      <c r="C29" s="65"/>
      <c r="D29" s="65"/>
      <c r="E29" s="65"/>
      <c r="F29" s="71"/>
      <c r="G29" s="71"/>
      <c r="H29" s="71"/>
      <c r="I29" s="312"/>
      <c r="J29" s="71"/>
      <c r="K29" s="71"/>
      <c r="L29" s="71"/>
      <c r="M29" s="71"/>
      <c r="N29" s="71"/>
      <c r="Q29" s="196"/>
      <c r="R29" s="193"/>
      <c r="S29" s="103"/>
      <c r="T29" s="175"/>
      <c r="U29" s="103"/>
      <c r="V29" s="103"/>
      <c r="W29" s="103"/>
      <c r="X29" s="103"/>
      <c r="Y29" s="103"/>
      <c r="Z29" s="103"/>
      <c r="AA29" s="103"/>
      <c r="AB29" s="103"/>
    </row>
    <row r="30" spans="2:28">
      <c r="B30" s="60" t="s">
        <v>122</v>
      </c>
      <c r="F30" s="53"/>
      <c r="G30" s="53"/>
      <c r="H30" s="53"/>
      <c r="I30" s="307"/>
      <c r="Q30" s="196"/>
      <c r="R30" s="193"/>
      <c r="S30" s="103"/>
      <c r="T30" s="175"/>
      <c r="U30" s="103"/>
      <c r="V30" s="103"/>
      <c r="W30" s="103"/>
      <c r="X30" s="103"/>
      <c r="Y30" s="103"/>
      <c r="Z30" s="103"/>
      <c r="AA30" s="103"/>
      <c r="AB30" s="103"/>
    </row>
    <row r="31" spans="2:28">
      <c r="B31" s="61" t="str">
        <f>'2017 Determination - Revenue'!B$16</f>
        <v>Financial year</v>
      </c>
      <c r="C31" s="62" t="str">
        <f>'2017 Determination - Revenue'!C$28</f>
        <v>Units</v>
      </c>
      <c r="D31" s="50"/>
      <c r="E31" s="50"/>
      <c r="F31" s="127" t="str">
        <f>'2017 Determination - Revenue'!F$16</f>
        <v>2017-18</v>
      </c>
      <c r="G31" s="127" t="str">
        <f>'2017 Determination - Revenue'!G$16</f>
        <v>2018-19</v>
      </c>
      <c r="H31" s="127" t="str">
        <f>'2017 Determination - Revenue'!H$16</f>
        <v>2019-20</v>
      </c>
      <c r="I31" s="210" t="str">
        <f>'2017 Determination - Revenue'!I$16</f>
        <v>2020-21</v>
      </c>
      <c r="J31" s="210"/>
      <c r="K31" s="163" t="str">
        <f>K$14</f>
        <v>2017-18</v>
      </c>
      <c r="L31" s="163" t="str">
        <f>L$14</f>
        <v>2018-19</v>
      </c>
      <c r="M31" s="163" t="str">
        <f>M$14</f>
        <v>2019-20</v>
      </c>
      <c r="N31" s="163" t="str">
        <f>N$14</f>
        <v>2020-21</v>
      </c>
      <c r="O31" s="236"/>
      <c r="P31" s="190"/>
      <c r="R31" s="193"/>
      <c r="S31" s="103"/>
      <c r="T31" s="175"/>
      <c r="U31" s="103"/>
      <c r="V31" s="103"/>
      <c r="W31" s="103"/>
      <c r="X31" s="103"/>
      <c r="Y31" s="103"/>
      <c r="Z31" s="103"/>
      <c r="AA31" s="103"/>
      <c r="AB31" s="103"/>
    </row>
    <row r="32" spans="2:28">
      <c r="B32" s="64"/>
      <c r="C32" s="52"/>
      <c r="D32" s="52"/>
      <c r="E32" s="52"/>
      <c r="F32" s="128" t="str">
        <f>'2017 Determination - Revenue'!$F$29</f>
        <v>$2016-17</v>
      </c>
      <c r="G32" s="128" t="str">
        <f>'2017 Determination - Revenue'!$F$29</f>
        <v>$2016-17</v>
      </c>
      <c r="H32" s="128" t="str">
        <f>'2017 Determination - Revenue'!$F$29</f>
        <v>$2016-17</v>
      </c>
      <c r="I32" s="128" t="str">
        <f>'2017 Determination - Revenue'!$F$29</f>
        <v>$2016-17</v>
      </c>
      <c r="J32" s="177"/>
      <c r="K32" s="128" t="str">
        <f>K$15</f>
        <v>$2017-18</v>
      </c>
      <c r="L32" s="128" t="str">
        <f>L$15</f>
        <v>$2018-19</v>
      </c>
      <c r="M32" s="128" t="str">
        <f>M$15</f>
        <v>$2019-20</v>
      </c>
      <c r="N32" s="128" t="str">
        <f>N$15</f>
        <v>$2020-21</v>
      </c>
      <c r="O32" s="234"/>
      <c r="P32" s="190"/>
      <c r="R32" s="193"/>
      <c r="S32" s="103"/>
      <c r="T32" s="175"/>
      <c r="U32" s="103"/>
      <c r="V32" s="103"/>
      <c r="W32" s="103"/>
      <c r="X32" s="103"/>
      <c r="Y32" s="103"/>
      <c r="Z32" s="103"/>
      <c r="AA32" s="103"/>
      <c r="AB32" s="103"/>
    </row>
    <row r="33" spans="2:28">
      <c r="B33" s="64"/>
      <c r="C33" s="52"/>
      <c r="D33" s="52"/>
      <c r="E33" s="52"/>
      <c r="F33" s="49"/>
      <c r="G33" s="49"/>
      <c r="H33" s="49"/>
      <c r="I33" s="308"/>
      <c r="J33" s="190"/>
      <c r="K33" s="190"/>
      <c r="L33" s="211"/>
      <c r="M33" s="211"/>
      <c r="N33" s="211"/>
      <c r="O33" s="234"/>
      <c r="P33" s="190"/>
      <c r="R33" s="193"/>
      <c r="S33" s="103"/>
      <c r="T33" s="175"/>
      <c r="U33" s="103"/>
      <c r="V33" s="103"/>
      <c r="W33" s="103"/>
      <c r="X33" s="103"/>
      <c r="Y33" s="103"/>
      <c r="Z33" s="103"/>
      <c r="AA33" s="103"/>
      <c r="AB33" s="103"/>
    </row>
    <row r="34" spans="2:28">
      <c r="B34" s="64" t="s">
        <v>42</v>
      </c>
      <c r="C34" s="52"/>
      <c r="D34" s="52"/>
      <c r="E34" s="52"/>
      <c r="F34" s="49"/>
      <c r="G34" s="49"/>
      <c r="H34" s="49"/>
      <c r="I34" s="308"/>
      <c r="J34" s="190"/>
      <c r="K34" s="190"/>
      <c r="L34" s="190"/>
      <c r="M34" s="190"/>
      <c r="N34" s="190"/>
      <c r="O34" s="234"/>
      <c r="P34" s="190"/>
      <c r="R34" s="193"/>
      <c r="S34" s="103"/>
      <c r="T34" s="175"/>
      <c r="U34" s="103"/>
      <c r="V34" s="103"/>
      <c r="W34" s="103"/>
      <c r="X34" s="103"/>
      <c r="Y34" s="103"/>
      <c r="Z34" s="103"/>
      <c r="AA34" s="103"/>
      <c r="AB34" s="103"/>
    </row>
    <row r="35" spans="2:28" ht="12" customHeight="1">
      <c r="B35" s="42" t="str">
        <f>'2017 Determination - Revenue'!$B$33</f>
        <v>Border</v>
      </c>
      <c r="C35" s="67" t="str">
        <f>Outputs!$C$27</f>
        <v>$/ML</v>
      </c>
      <c r="D35" s="52"/>
      <c r="E35" s="52"/>
      <c r="F35" s="112">
        <v>1.9788687190371097</v>
      </c>
      <c r="G35" s="112">
        <v>1.9788687190371097</v>
      </c>
      <c r="H35" s="112">
        <v>1.9788687190371097</v>
      </c>
      <c r="I35" s="311">
        <v>1.9788687190371097</v>
      </c>
      <c r="J35" s="190"/>
      <c r="K35" s="113">
        <f>ROUND(F35,2)*(1+'2017 Determination - Revenue'!$F$18)</f>
        <v>2.0215799999999997</v>
      </c>
      <c r="L35" s="113">
        <f>ROUND((ROUND(G35,2)*(1+'2017 Determination - Revenue'!$F$18)),2)*(1+'2017 Determination - Revenue'!$G$22)</f>
        <v>2.0583799999999997</v>
      </c>
      <c r="M35" s="113">
        <f>ROUND((ROUND(H35,2)*(1+'2017 Determination - Revenue'!$F$18)),2)*(1+'2017 Determination - Revenue'!$H$22)</f>
        <v>2.0866599999999997</v>
      </c>
      <c r="N35" s="113">
        <f>ROUND((ROUND(I35,2)*(1+'2017 Determination - Revenue'!$F$18)),2)*(1+'2017 Determination - Revenue'!$I$22)</f>
        <v>2.1290800000000001</v>
      </c>
      <c r="O35" s="234"/>
      <c r="P35" s="190"/>
      <c r="R35" s="193"/>
      <c r="S35" s="103"/>
      <c r="T35" s="175"/>
      <c r="U35" s="103"/>
      <c r="V35" s="103"/>
      <c r="W35" s="103"/>
      <c r="X35" s="103"/>
      <c r="Y35" s="103"/>
      <c r="Z35" s="103"/>
      <c r="AA35" s="103"/>
      <c r="AB35" s="103"/>
    </row>
    <row r="36" spans="2:28">
      <c r="B36" s="42" t="str">
        <f>'2017 Determination - Revenue'!$B$34</f>
        <v>Gwydir</v>
      </c>
      <c r="C36" s="67" t="str">
        <f>Outputs!$C$27</f>
        <v>$/ML</v>
      </c>
      <c r="D36" s="52"/>
      <c r="E36" s="52"/>
      <c r="F36" s="112">
        <v>3.4798474827858135</v>
      </c>
      <c r="G36" s="112">
        <v>3.4798474827858135</v>
      </c>
      <c r="H36" s="112">
        <v>3.4798474827858135</v>
      </c>
      <c r="I36" s="311">
        <v>3.4798474827858135</v>
      </c>
      <c r="J36" s="190"/>
      <c r="K36" s="113">
        <f>ROUND(F36,2)*(1+'2017 Determination - Revenue'!$F$18)</f>
        <v>3.5530799999999996</v>
      </c>
      <c r="L36" s="113">
        <f>ROUND((ROUND(G36,2)*(1+'2017 Determination - Revenue'!$F$18)),2)*(1+'2017 Determination - Revenue'!$G$22)</f>
        <v>3.6174499999999994</v>
      </c>
      <c r="M36" s="113">
        <f>ROUND((ROUND(H36,2)*(1+'2017 Determination - Revenue'!$F$18)),2)*(1+'2017 Determination - Revenue'!$H$22)</f>
        <v>3.6671499999999995</v>
      </c>
      <c r="N36" s="113">
        <f>ROUND((ROUND(I36,2)*(1+'2017 Determination - Revenue'!$F$18)),2)*(1+'2017 Determination - Revenue'!$I$22)</f>
        <v>3.7416999999999998</v>
      </c>
      <c r="O36" s="234"/>
      <c r="P36" s="190"/>
      <c r="Q36" s="196"/>
      <c r="R36" s="193"/>
      <c r="S36" s="103"/>
      <c r="T36" s="175"/>
      <c r="U36" s="103"/>
      <c r="V36" s="103"/>
      <c r="W36" s="103"/>
      <c r="X36" s="103"/>
      <c r="Y36" s="103"/>
      <c r="Z36" s="103"/>
      <c r="AA36" s="103"/>
      <c r="AB36" s="103"/>
    </row>
    <row r="37" spans="2:28">
      <c r="B37" s="42" t="str">
        <f>'2017 Determination - Revenue'!$B$35</f>
        <v>Namoi</v>
      </c>
      <c r="C37" s="67" t="str">
        <f>Outputs!$C$27</f>
        <v>$/ML</v>
      </c>
      <c r="D37" s="52"/>
      <c r="E37" s="52"/>
      <c r="F37" s="112">
        <v>7.9573495340749334</v>
      </c>
      <c r="G37" s="112">
        <v>7.9573495340749334</v>
      </c>
      <c r="H37" s="112">
        <v>7.9573495340749334</v>
      </c>
      <c r="I37" s="311">
        <v>7.9573495340749334</v>
      </c>
      <c r="J37" s="190"/>
      <c r="K37" s="113">
        <f>ROUND(F37,2)*(1+'2017 Determination - Revenue'!$F$18)</f>
        <v>8.1271599999999999</v>
      </c>
      <c r="L37" s="113">
        <f>ROUND((ROUND(G37,2)*(1+'2017 Determination - Revenue'!$F$18)),2)*(1+'2017 Determination - Revenue'!$G$22)</f>
        <v>8.2844700000000007</v>
      </c>
      <c r="M37" s="113">
        <f>ROUND((ROUND(H37,2)*(1+'2017 Determination - Revenue'!$F$18)),2)*(1+'2017 Determination - Revenue'!$H$22)</f>
        <v>8.3982899999999994</v>
      </c>
      <c r="N37" s="113">
        <f>ROUND((ROUND(I37,2)*(1+'2017 Determination - Revenue'!$F$18)),2)*(1+'2017 Determination - Revenue'!$I$22)</f>
        <v>8.5690200000000019</v>
      </c>
      <c r="O37" s="234"/>
      <c r="P37" s="190"/>
      <c r="Q37" s="196"/>
      <c r="R37" s="193"/>
      <c r="S37" s="103"/>
      <c r="T37" s="175"/>
      <c r="U37" s="103"/>
      <c r="V37" s="103"/>
      <c r="W37" s="103"/>
      <c r="X37" s="103"/>
      <c r="Y37" s="103"/>
      <c r="Z37" s="103"/>
      <c r="AA37" s="103"/>
      <c r="AB37" s="103"/>
    </row>
    <row r="38" spans="2:28">
      <c r="B38" s="42" t="str">
        <f>'2017 Determination - Revenue'!$B$36</f>
        <v>Peel</v>
      </c>
      <c r="C38" s="67" t="str">
        <f>Outputs!$C$27</f>
        <v>$/ML</v>
      </c>
      <c r="D38" s="52"/>
      <c r="E38" s="52"/>
      <c r="F38" s="112">
        <v>2.0088384355493285</v>
      </c>
      <c r="G38" s="112">
        <v>4.017676871098657</v>
      </c>
      <c r="H38" s="112">
        <v>4.017676871098657</v>
      </c>
      <c r="I38" s="311">
        <v>4.017676871098657</v>
      </c>
      <c r="J38" s="190"/>
      <c r="K38" s="113">
        <f>ROUND(F38,2)*(1+'2017 Determination - Revenue'!$F$18)</f>
        <v>2.0522099999999996</v>
      </c>
      <c r="L38" s="113">
        <f>ROUND((ROUND(G38,2)*(1+'2017 Determination - Revenue'!$F$18)),2)*(1+'2017 Determination - Revenue'!$G$22)</f>
        <v>4.1778999999999993</v>
      </c>
      <c r="M38" s="113">
        <f>ROUND((ROUND(H38,2)*(1+'2017 Determination - Revenue'!$F$18)),2)*(1+'2017 Determination - Revenue'!$H$22)</f>
        <v>4.2352999999999996</v>
      </c>
      <c r="N38" s="113">
        <f>ROUND((ROUND(I38,2)*(1+'2017 Determination - Revenue'!$F$18)),2)*(1+'2017 Determination - Revenue'!$I$22)</f>
        <v>4.3213999999999997</v>
      </c>
      <c r="O38" s="234"/>
      <c r="P38" s="190"/>
      <c r="Q38" s="196"/>
      <c r="R38" s="193"/>
      <c r="S38" s="103"/>
      <c r="T38" s="175"/>
      <c r="U38" s="103"/>
      <c r="V38" s="103"/>
      <c r="W38" s="103"/>
      <c r="X38" s="103"/>
      <c r="Y38" s="103"/>
      <c r="Z38" s="103"/>
      <c r="AA38" s="103"/>
      <c r="AB38" s="103"/>
    </row>
    <row r="39" spans="2:28">
      <c r="B39" s="42" t="str">
        <f>'2017 Determination - Revenue'!$B$37</f>
        <v>Lachlan</v>
      </c>
      <c r="C39" s="67" t="str">
        <f>Outputs!$C$27</f>
        <v>$/ML</v>
      </c>
      <c r="D39" s="52"/>
      <c r="E39" s="52"/>
      <c r="F39" s="112">
        <v>2.7294754839554174</v>
      </c>
      <c r="G39" s="112">
        <v>2.7294754839554174</v>
      </c>
      <c r="H39" s="112">
        <v>2.7294754839554174</v>
      </c>
      <c r="I39" s="311">
        <v>2.7294754839554174</v>
      </c>
      <c r="J39" s="190"/>
      <c r="K39" s="113">
        <f>ROUND(F39,2)*(1+'2017 Determination - Revenue'!$F$18)</f>
        <v>2.7873299999999999</v>
      </c>
      <c r="L39" s="113">
        <f>ROUND((ROUND(G39,2)*(1+'2017 Determination - Revenue'!$F$18)),2)*(1+'2017 Determination - Revenue'!$G$22)</f>
        <v>2.8430099999999996</v>
      </c>
      <c r="M39" s="113">
        <f>ROUND((ROUND(H39,2)*(1+'2017 Determination - Revenue'!$F$18)),2)*(1+'2017 Determination - Revenue'!$H$22)</f>
        <v>2.8820699999999997</v>
      </c>
      <c r="N39" s="113">
        <f>ROUND((ROUND(I39,2)*(1+'2017 Determination - Revenue'!$F$18)),2)*(1+'2017 Determination - Revenue'!$I$22)</f>
        <v>2.9406600000000003</v>
      </c>
      <c r="O39" s="234"/>
      <c r="P39" s="190"/>
      <c r="Q39" s="196"/>
      <c r="R39" s="193"/>
      <c r="S39" s="103"/>
      <c r="T39" s="175"/>
      <c r="U39" s="103"/>
      <c r="V39" s="103"/>
      <c r="W39" s="103"/>
      <c r="X39" s="103"/>
      <c r="Y39" s="103"/>
      <c r="Z39" s="103"/>
      <c r="AA39" s="103"/>
      <c r="AB39" s="103"/>
    </row>
    <row r="40" spans="2:28">
      <c r="B40" s="42" t="str">
        <f>'2017 Determination - Revenue'!$B$38</f>
        <v>Macquarie</v>
      </c>
      <c r="C40" s="67" t="str">
        <f>Outputs!$C$27</f>
        <v>$/ML</v>
      </c>
      <c r="D40" s="52"/>
      <c r="E40" s="52"/>
      <c r="F40" s="112">
        <v>2.8467811535599639</v>
      </c>
      <c r="G40" s="112">
        <v>2.8467811535599639</v>
      </c>
      <c r="H40" s="112">
        <v>2.8467811535599639</v>
      </c>
      <c r="I40" s="311">
        <v>2.8467811535599639</v>
      </c>
      <c r="J40" s="190"/>
      <c r="K40" s="113">
        <f>ROUND(F40,2)*(1+'2017 Determination - Revenue'!$F$18)</f>
        <v>2.90985</v>
      </c>
      <c r="L40" s="113">
        <f>ROUND((ROUND(G40,2)*(1+'2017 Determination - Revenue'!$F$18)),2)*(1+'2017 Determination - Revenue'!$G$22)</f>
        <v>2.96529</v>
      </c>
      <c r="M40" s="113">
        <f>ROUND((ROUND(H40,2)*(1+'2017 Determination - Revenue'!$F$18)),2)*(1+'2017 Determination - Revenue'!$H$22)</f>
        <v>3.00603</v>
      </c>
      <c r="N40" s="113">
        <f>ROUND((ROUND(I40,2)*(1+'2017 Determination - Revenue'!$F$18)),2)*(1+'2017 Determination - Revenue'!$I$22)</f>
        <v>3.0671400000000002</v>
      </c>
      <c r="O40" s="234"/>
      <c r="P40" s="190"/>
      <c r="Q40" s="196"/>
      <c r="R40" s="193"/>
      <c r="S40" s="103"/>
      <c r="T40" s="175"/>
      <c r="U40" s="103"/>
      <c r="V40" s="103"/>
      <c r="W40" s="103"/>
      <c r="X40" s="103"/>
      <c r="Y40" s="103"/>
      <c r="Z40" s="103"/>
      <c r="AA40" s="103"/>
      <c r="AB40" s="103"/>
    </row>
    <row r="41" spans="2:28">
      <c r="B41" s="42" t="str">
        <f>'2017 Determination - Revenue'!$B$39</f>
        <v>Murray</v>
      </c>
      <c r="C41" s="67" t="str">
        <f>Outputs!$C$27</f>
        <v>$/ML</v>
      </c>
      <c r="D41" s="52"/>
      <c r="E41" s="52"/>
      <c r="F41" s="112">
        <v>0.75379063074672403</v>
      </c>
      <c r="G41" s="112">
        <v>0.75379063074672403</v>
      </c>
      <c r="H41" s="112">
        <v>0.75379063074672403</v>
      </c>
      <c r="I41" s="311">
        <v>0.75379063074672403</v>
      </c>
      <c r="J41" s="190"/>
      <c r="K41" s="113">
        <f>ROUND(F41,2)*(1+'2017 Determination - Revenue'!$F$18)</f>
        <v>0.76574999999999993</v>
      </c>
      <c r="L41" s="113">
        <f>ROUND((ROUND(G41,2)*(1+'2017 Determination - Revenue'!$F$18)),2)*(1+'2017 Determination - Revenue'!$G$22)</f>
        <v>0.78462999999999994</v>
      </c>
      <c r="M41" s="113">
        <f>ROUND((ROUND(H41,2)*(1+'2017 Determination - Revenue'!$F$18)),2)*(1+'2017 Determination - Revenue'!$H$22)</f>
        <v>0.79540999999999995</v>
      </c>
      <c r="N41" s="113">
        <f>ROUND((ROUND(I41,2)*(1+'2017 Determination - Revenue'!$F$18)),2)*(1+'2017 Determination - Revenue'!$I$22)</f>
        <v>0.81158000000000008</v>
      </c>
      <c r="O41" s="234"/>
      <c r="P41" s="190"/>
      <c r="Q41" s="196"/>
      <c r="R41" s="193"/>
      <c r="S41" s="103"/>
      <c r="T41" s="175"/>
      <c r="U41" s="103"/>
      <c r="V41" s="103"/>
      <c r="W41" s="103"/>
      <c r="X41" s="103"/>
      <c r="Y41" s="103"/>
      <c r="Z41" s="103"/>
      <c r="AA41" s="103"/>
      <c r="AB41" s="103"/>
    </row>
    <row r="42" spans="2:28">
      <c r="B42" s="42" t="str">
        <f>'2017 Determination - Revenue'!$B$40</f>
        <v>Murrumbidgee</v>
      </c>
      <c r="C42" s="67" t="str">
        <f>Outputs!$C$27</f>
        <v>$/ML</v>
      </c>
      <c r="D42" s="52"/>
      <c r="E42" s="52"/>
      <c r="F42" s="112">
        <v>1.1144947783604038</v>
      </c>
      <c r="G42" s="112">
        <v>1.1144947783604038</v>
      </c>
      <c r="H42" s="112">
        <v>1.1144947783604038</v>
      </c>
      <c r="I42" s="311">
        <v>1.1144947783604038</v>
      </c>
      <c r="J42" s="190"/>
      <c r="K42" s="113">
        <f>ROUND(F42,2)*(1+'2017 Determination - Revenue'!$F$18)</f>
        <v>1.13331</v>
      </c>
      <c r="L42" s="113">
        <f>ROUND((ROUND(G42,2)*(1+'2017 Determination - Revenue'!$F$18)),2)*(1+'2017 Determination - Revenue'!$G$22)</f>
        <v>1.1514699999999998</v>
      </c>
      <c r="M42" s="113">
        <f>ROUND((ROUND(H42,2)*(1+'2017 Determination - Revenue'!$F$18)),2)*(1+'2017 Determination - Revenue'!$H$22)</f>
        <v>1.1672899999999997</v>
      </c>
      <c r="N42" s="113">
        <f>ROUND((ROUND(I42,2)*(1+'2017 Determination - Revenue'!$F$18)),2)*(1+'2017 Determination - Revenue'!$I$22)</f>
        <v>1.19102</v>
      </c>
      <c r="O42" s="234"/>
      <c r="P42" s="190"/>
      <c r="Q42" s="196"/>
      <c r="R42" s="193"/>
      <c r="S42" s="103"/>
      <c r="T42" s="175"/>
      <c r="U42" s="103"/>
      <c r="V42" s="103"/>
      <c r="W42" s="103"/>
      <c r="X42" s="103"/>
      <c r="Y42" s="103"/>
      <c r="Z42" s="103"/>
      <c r="AA42" s="103"/>
      <c r="AB42" s="103"/>
    </row>
    <row r="43" spans="2:28">
      <c r="B43" s="42" t="str">
        <f>'2017 Determination - Revenue'!$B$41</f>
        <v>Lowbidgee</v>
      </c>
      <c r="C43" s="67" t="str">
        <f>Outputs!$C$27</f>
        <v>$/ML</v>
      </c>
      <c r="D43" s="52"/>
      <c r="E43" s="52"/>
      <c r="F43" s="112">
        <v>0.7831544756319907</v>
      </c>
      <c r="G43" s="112">
        <v>0.7831544756319907</v>
      </c>
      <c r="H43" s="112">
        <v>0.7831544756319907</v>
      </c>
      <c r="I43" s="311">
        <v>0.7831544756319907</v>
      </c>
      <c r="J43" s="190"/>
      <c r="K43" s="113">
        <f>ROUND(F43,2)*(1+'2017 Determination - Revenue'!$F$18)</f>
        <v>0.79637999999999998</v>
      </c>
      <c r="L43" s="113">
        <f>ROUND((ROUND(G43,2)*(1+'2017 Determination - Revenue'!$F$18)),2)*(1+'2017 Determination - Revenue'!$G$22)</f>
        <v>0.81519999999999992</v>
      </c>
      <c r="M43" s="113">
        <f>ROUND((ROUND(H43,2)*(1+'2017 Determination - Revenue'!$F$18)),2)*(1+'2017 Determination - Revenue'!$H$22)</f>
        <v>0.82640000000000002</v>
      </c>
      <c r="N43" s="113">
        <f>ROUND((ROUND(I43,2)*(1+'2017 Determination - Revenue'!$F$18)),2)*(1+'2017 Determination - Revenue'!$I$22)</f>
        <v>0.84320000000000006</v>
      </c>
      <c r="O43" s="234"/>
      <c r="P43" s="190"/>
      <c r="Q43" s="196"/>
      <c r="R43" s="193"/>
      <c r="S43" s="103"/>
      <c r="T43" s="175"/>
      <c r="U43" s="103"/>
      <c r="V43" s="103"/>
      <c r="W43" s="103"/>
      <c r="X43" s="103"/>
      <c r="Y43" s="103"/>
      <c r="Z43" s="103"/>
      <c r="AA43" s="103"/>
      <c r="AB43" s="103"/>
    </row>
    <row r="44" spans="2:28">
      <c r="B44" s="44"/>
      <c r="C44" s="72"/>
      <c r="D44" s="72"/>
      <c r="E44" s="72"/>
      <c r="F44" s="54"/>
      <c r="G44" s="54"/>
      <c r="H44" s="54"/>
      <c r="I44" s="309"/>
      <c r="J44" s="176"/>
      <c r="K44" s="54"/>
      <c r="L44" s="54"/>
      <c r="M44" s="54"/>
      <c r="N44" s="176"/>
      <c r="O44" s="235"/>
      <c r="P44" s="190"/>
      <c r="R44" s="193"/>
      <c r="S44" s="103"/>
      <c r="T44" s="175"/>
      <c r="U44" s="103"/>
      <c r="V44" s="103"/>
      <c r="W44" s="103"/>
      <c r="X44" s="103"/>
      <c r="Y44" s="103"/>
      <c r="Z44" s="103"/>
      <c r="AA44" s="103"/>
      <c r="AB44" s="103"/>
    </row>
    <row r="45" spans="2:28">
      <c r="B45" s="37"/>
      <c r="C45" s="52"/>
      <c r="D45" s="52"/>
      <c r="E45" s="52"/>
      <c r="F45" s="49"/>
      <c r="G45" s="49"/>
      <c r="H45" s="49"/>
      <c r="I45" s="308"/>
      <c r="J45" s="190"/>
      <c r="K45" s="190"/>
      <c r="L45" s="190"/>
      <c r="M45" s="190"/>
      <c r="N45" s="190"/>
      <c r="R45" s="193"/>
      <c r="S45" s="103"/>
      <c r="T45" s="175"/>
      <c r="U45" s="103"/>
      <c r="V45" s="103"/>
      <c r="W45" s="103"/>
      <c r="X45" s="103"/>
      <c r="Y45" s="103"/>
      <c r="Z45" s="103"/>
      <c r="AA45" s="103"/>
      <c r="AB45" s="103"/>
    </row>
    <row r="46" spans="2:28">
      <c r="B46" s="73"/>
      <c r="C46" s="52"/>
      <c r="D46" s="52"/>
      <c r="E46" s="52"/>
      <c r="F46" s="49"/>
      <c r="G46" s="49"/>
      <c r="H46" s="49"/>
      <c r="I46" s="308"/>
      <c r="J46" s="190"/>
      <c r="K46" s="190"/>
      <c r="L46" s="190"/>
      <c r="M46" s="190"/>
      <c r="N46" s="190"/>
      <c r="R46" s="193"/>
      <c r="S46" s="103"/>
      <c r="T46" s="175"/>
      <c r="U46" s="103"/>
      <c r="V46" s="103"/>
      <c r="W46" s="103"/>
      <c r="X46" s="103"/>
      <c r="Y46" s="103"/>
      <c r="Z46" s="103"/>
      <c r="AA46" s="103"/>
      <c r="AB46" s="103"/>
    </row>
    <row r="47" spans="2:28">
      <c r="B47" s="60" t="s">
        <v>184</v>
      </c>
      <c r="R47" s="193"/>
      <c r="S47" s="103"/>
      <c r="T47" s="175"/>
      <c r="U47" s="103"/>
      <c r="V47" s="103"/>
      <c r="W47" s="103"/>
      <c r="X47" s="103"/>
      <c r="Y47" s="103"/>
      <c r="Z47" s="103"/>
      <c r="AA47" s="103"/>
      <c r="AB47" s="103"/>
    </row>
    <row r="48" spans="2:28">
      <c r="B48" s="61" t="str">
        <f>'2017 Determination - Revenue'!B$16</f>
        <v>Financial year</v>
      </c>
      <c r="C48" s="62" t="str">
        <f>'2017 Determination - Revenue'!C$28</f>
        <v>Units</v>
      </c>
      <c r="D48" s="46"/>
      <c r="E48" s="46"/>
      <c r="F48" s="124" t="str">
        <f>'2017 Determination - Revenue'!F$16</f>
        <v>2017-18</v>
      </c>
      <c r="G48" s="124" t="str">
        <f>'2017 Determination - Revenue'!G$16</f>
        <v>2018-19</v>
      </c>
      <c r="H48" s="124" t="str">
        <f>'2017 Determination - Revenue'!H$16</f>
        <v>2019-20</v>
      </c>
      <c r="I48" s="124" t="str">
        <f>'2017 Determination - Revenue'!I$16</f>
        <v>2020-21</v>
      </c>
      <c r="J48" s="210"/>
      <c r="K48" s="163" t="str">
        <f>K$14</f>
        <v>2017-18</v>
      </c>
      <c r="L48" s="163" t="str">
        <f>L$14</f>
        <v>2018-19</v>
      </c>
      <c r="M48" s="163" t="str">
        <f>M$14</f>
        <v>2019-20</v>
      </c>
      <c r="N48" s="163" t="str">
        <f>N$14</f>
        <v>2020-21</v>
      </c>
      <c r="O48" s="236"/>
      <c r="P48" s="190"/>
      <c r="R48" s="193"/>
      <c r="S48" s="103"/>
      <c r="T48" s="175"/>
      <c r="U48" s="103"/>
      <c r="V48" s="103"/>
      <c r="W48" s="103"/>
      <c r="X48" s="103"/>
      <c r="Y48" s="103"/>
      <c r="Z48" s="103"/>
      <c r="AA48" s="103"/>
      <c r="AB48" s="103"/>
    </row>
    <row r="49" spans="2:28">
      <c r="B49" s="64"/>
      <c r="C49" s="65"/>
      <c r="D49" s="65"/>
      <c r="E49" s="65"/>
      <c r="F49" s="126" t="str">
        <f>'2017 Determination - Revenue'!$F$29</f>
        <v>$2016-17</v>
      </c>
      <c r="G49" s="126" t="str">
        <f>'2017 Determination - Revenue'!$F$29</f>
        <v>$2016-17</v>
      </c>
      <c r="H49" s="126" t="str">
        <f>'2017 Determination - Revenue'!$F$29</f>
        <v>$2016-17</v>
      </c>
      <c r="I49" s="126" t="str">
        <f>'2017 Determination - Revenue'!$F$29</f>
        <v>$2016-17</v>
      </c>
      <c r="J49" s="177"/>
      <c r="K49" s="128" t="str">
        <f>K$15</f>
        <v>$2017-18</v>
      </c>
      <c r="L49" s="128" t="str">
        <f>L$15</f>
        <v>$2018-19</v>
      </c>
      <c r="M49" s="128" t="str">
        <f>M$15</f>
        <v>$2019-20</v>
      </c>
      <c r="N49" s="128" t="str">
        <f>N$15</f>
        <v>$2020-21</v>
      </c>
      <c r="O49" s="234"/>
      <c r="P49" s="190"/>
      <c r="R49" s="193"/>
      <c r="S49" s="103"/>
      <c r="T49" s="175"/>
      <c r="U49" s="103"/>
      <c r="V49" s="103"/>
      <c r="W49" s="103"/>
      <c r="X49" s="103"/>
      <c r="Y49" s="103"/>
      <c r="Z49" s="103"/>
      <c r="AA49" s="103"/>
      <c r="AB49" s="103"/>
    </row>
    <row r="50" spans="2:28">
      <c r="B50" s="64"/>
      <c r="C50" s="65"/>
      <c r="D50" s="65"/>
      <c r="E50" s="65"/>
      <c r="F50" s="65"/>
      <c r="G50" s="65"/>
      <c r="H50" s="65"/>
      <c r="I50" s="313"/>
      <c r="J50" s="177"/>
      <c r="K50" s="71"/>
      <c r="L50" s="71"/>
      <c r="M50" s="71"/>
      <c r="N50" s="71"/>
      <c r="O50" s="234"/>
      <c r="P50" s="190"/>
      <c r="R50" s="193"/>
      <c r="S50" s="103"/>
      <c r="T50" s="175"/>
      <c r="U50" s="103"/>
      <c r="V50" s="103"/>
      <c r="W50" s="103"/>
      <c r="X50" s="103"/>
      <c r="Y50" s="103"/>
      <c r="Z50" s="103"/>
      <c r="AA50" s="103"/>
      <c r="AB50" s="103"/>
    </row>
    <row r="51" spans="2:28">
      <c r="B51" s="64" t="s">
        <v>41</v>
      </c>
      <c r="C51" s="65"/>
      <c r="D51" s="65"/>
      <c r="E51" s="65"/>
      <c r="F51" s="71"/>
      <c r="G51" s="71"/>
      <c r="H51" s="65"/>
      <c r="I51" s="313"/>
      <c r="J51" s="177"/>
      <c r="K51" s="71"/>
      <c r="L51" s="71"/>
      <c r="M51" s="71"/>
      <c r="N51" s="71"/>
      <c r="O51" s="234"/>
      <c r="P51" s="190"/>
      <c r="R51" s="193"/>
      <c r="S51" s="103"/>
      <c r="T51" s="175"/>
      <c r="U51" s="103"/>
      <c r="V51" s="103"/>
      <c r="W51" s="103"/>
      <c r="X51" s="103"/>
      <c r="Y51" s="103"/>
      <c r="Z51" s="103"/>
      <c r="AA51" s="103"/>
      <c r="AB51" s="103"/>
    </row>
    <row r="52" spans="2:28" ht="12" customHeight="1">
      <c r="B52" s="42" t="str">
        <f>'2017 Determination - Revenue'!$B$33</f>
        <v>Border</v>
      </c>
      <c r="C52" s="67" t="str">
        <f>Outputs!$C$27</f>
        <v>$/ML</v>
      </c>
      <c r="D52" s="65"/>
      <c r="E52" s="65"/>
      <c r="F52" s="112">
        <v>5.3280912819709219</v>
      </c>
      <c r="G52" s="112">
        <v>5.33</v>
      </c>
      <c r="H52" s="112">
        <v>5.33</v>
      </c>
      <c r="I52" s="311">
        <v>5.33</v>
      </c>
      <c r="J52" s="177"/>
      <c r="K52" s="113">
        <f>ROUND(F52,2)*(1+'2017 Determination - Revenue'!$F$18)</f>
        <v>5.4419299999999993</v>
      </c>
      <c r="L52" s="113">
        <f>ROUND((ROUND(G52,2)*(1+'2017 Determination - Revenue'!$F$18)),2)*(1+'2017 Determination - Revenue'!$G$22)</f>
        <v>5.5433599999999998</v>
      </c>
      <c r="M52" s="113">
        <f>ROUND((ROUND(H52,2)*(1+'2017 Determination - Revenue'!$F$18)),2)*(1+'2017 Determination - Revenue'!$H$22)</f>
        <v>5.6195199999999996</v>
      </c>
      <c r="N52" s="113">
        <f>ROUND((ROUND(I52,2)*(1+'2017 Determination - Revenue'!$F$18)),2)*(1+'2017 Determination - Revenue'!$I$22)</f>
        <v>5.7337600000000011</v>
      </c>
      <c r="O52" s="234"/>
      <c r="P52" s="190"/>
      <c r="R52" s="193"/>
      <c r="S52" s="103"/>
      <c r="T52" s="175"/>
      <c r="U52" s="103"/>
      <c r="V52" s="103"/>
      <c r="W52" s="103"/>
      <c r="X52" s="103"/>
      <c r="Y52" s="103"/>
      <c r="Z52" s="103"/>
      <c r="AA52" s="103"/>
      <c r="AB52" s="103"/>
    </row>
    <row r="53" spans="2:28">
      <c r="B53" s="42" t="str">
        <f>'2017 Determination - Revenue'!$B$34</f>
        <v>Gwydir</v>
      </c>
      <c r="C53" s="67" t="str">
        <f>Outputs!$C$27</f>
        <v>$/ML</v>
      </c>
      <c r="D53" s="65"/>
      <c r="E53" s="65"/>
      <c r="F53" s="112">
        <v>11.081245442126379</v>
      </c>
      <c r="G53" s="112">
        <v>11.081245442126379</v>
      </c>
      <c r="H53" s="112">
        <v>11.081245442126379</v>
      </c>
      <c r="I53" s="311">
        <v>11.081245442126379</v>
      </c>
      <c r="J53" s="177"/>
      <c r="K53" s="113">
        <f>ROUND(F53,2)*(1+'2017 Determination - Revenue'!$F$18)</f>
        <v>11.312679999999999</v>
      </c>
      <c r="L53" s="113">
        <f>ROUND((ROUND(G53,2)*(1+'2017 Determination - Revenue'!$F$18)),2)*(1+'2017 Determination - Revenue'!$G$22)</f>
        <v>11.524889999999999</v>
      </c>
      <c r="M53" s="113">
        <f>ROUND((ROUND(H53,2)*(1+'2017 Determination - Revenue'!$F$18)),2)*(1+'2017 Determination - Revenue'!$H$22)</f>
        <v>11.68323</v>
      </c>
      <c r="N53" s="113">
        <f>ROUND((ROUND(I53,2)*(1+'2017 Determination - Revenue'!$F$18)),2)*(1+'2017 Determination - Revenue'!$I$22)</f>
        <v>11.92074</v>
      </c>
      <c r="O53" s="234"/>
      <c r="P53" s="190"/>
      <c r="Q53" s="196"/>
      <c r="R53" s="193"/>
      <c r="S53" s="103"/>
      <c r="T53" s="175"/>
      <c r="U53" s="103"/>
      <c r="V53" s="103"/>
      <c r="W53" s="103"/>
      <c r="X53" s="103"/>
      <c r="Y53" s="103"/>
      <c r="Z53" s="103"/>
      <c r="AA53" s="103"/>
      <c r="AB53" s="103"/>
    </row>
    <row r="54" spans="2:28">
      <c r="B54" s="42" t="str">
        <f>'2017 Determination - Revenue'!$B$35</f>
        <v>Namoi</v>
      </c>
      <c r="C54" s="67" t="str">
        <f>Outputs!$C$27</f>
        <v>$/ML</v>
      </c>
      <c r="D54" s="65"/>
      <c r="E54" s="65"/>
      <c r="F54" s="112">
        <v>17.078806213771792</v>
      </c>
      <c r="G54" s="112">
        <v>17.078806213771792</v>
      </c>
      <c r="H54" s="112">
        <v>17.078806213771792</v>
      </c>
      <c r="I54" s="311">
        <v>17.078806213771792</v>
      </c>
      <c r="J54" s="177"/>
      <c r="K54" s="113">
        <f>ROUND(F54,2)*(1+'2017 Determination - Revenue'!$F$18)</f>
        <v>17.438679999999998</v>
      </c>
      <c r="L54" s="113">
        <f>ROUND((ROUND(G54,2)*(1+'2017 Determination - Revenue'!$F$18)),2)*(1+'2017 Determination - Revenue'!$G$22)</f>
        <v>17.771360000000001</v>
      </c>
      <c r="M54" s="113">
        <f>ROUND((ROUND(H54,2)*(1+'2017 Determination - Revenue'!$F$18)),2)*(1+'2017 Determination - Revenue'!$H$22)</f>
        <v>18.015519999999999</v>
      </c>
      <c r="N54" s="113">
        <f>ROUND((ROUND(I54,2)*(1+'2017 Determination - Revenue'!$F$18)),2)*(1+'2017 Determination - Revenue'!$I$22)</f>
        <v>18.381760000000003</v>
      </c>
      <c r="O54" s="234"/>
      <c r="P54" s="190"/>
      <c r="Q54" s="196"/>
      <c r="R54" s="193"/>
      <c r="S54" s="103"/>
      <c r="T54" s="175"/>
      <c r="U54" s="103"/>
      <c r="V54" s="103"/>
      <c r="W54" s="103"/>
      <c r="X54" s="103"/>
      <c r="Y54" s="103"/>
      <c r="Z54" s="103"/>
      <c r="AA54" s="103"/>
      <c r="AB54" s="103"/>
    </row>
    <row r="55" spans="2:28">
      <c r="B55" s="42" t="str">
        <f>'2017 Determination - Revenue'!$B$36</f>
        <v>Peel</v>
      </c>
      <c r="C55" s="67" t="str">
        <f>Outputs!$C$27</f>
        <v>$/ML</v>
      </c>
      <c r="D55" s="65"/>
      <c r="E55" s="65"/>
      <c r="F55" s="112">
        <v>20.78395133436014</v>
      </c>
      <c r="G55" s="112">
        <v>41.567902668720279</v>
      </c>
      <c r="H55" s="112">
        <v>41.567902668720279</v>
      </c>
      <c r="I55" s="311">
        <v>41.567902668720279</v>
      </c>
      <c r="J55" s="177"/>
      <c r="K55" s="113">
        <f>ROUND(F55,2)*(1+'2017 Determination - Revenue'!$F$18)</f>
        <v>21.216380000000001</v>
      </c>
      <c r="L55" s="113">
        <f>ROUND((ROUND(G55,2)*(1+'2017 Determination - Revenue'!$F$18)),2)*(1+'2017 Determination - Revenue'!$G$22)</f>
        <v>43.246359999999996</v>
      </c>
      <c r="M55" s="113">
        <f>ROUND((ROUND(H55,2)*(1+'2017 Determination - Revenue'!$F$18)),2)*(1+'2017 Determination - Revenue'!$H$22)</f>
        <v>43.840519999999991</v>
      </c>
      <c r="N55" s="113">
        <f>ROUND((ROUND(I55,2)*(1+'2017 Determination - Revenue'!$F$18)),2)*(1+'2017 Determination - Revenue'!$I$22)</f>
        <v>44.731760000000001</v>
      </c>
      <c r="O55" s="234"/>
      <c r="P55" s="190"/>
      <c r="Q55" s="196"/>
      <c r="R55" s="193"/>
      <c r="S55" s="103"/>
      <c r="T55" s="175"/>
      <c r="U55" s="103"/>
      <c r="V55" s="103"/>
      <c r="W55" s="103"/>
      <c r="X55" s="103"/>
      <c r="Y55" s="103"/>
      <c r="Z55" s="103"/>
      <c r="AA55" s="103"/>
      <c r="AB55" s="103"/>
    </row>
    <row r="56" spans="2:28">
      <c r="B56" s="42" t="str">
        <f>'2017 Determination - Revenue'!$B$37</f>
        <v>Lachlan</v>
      </c>
      <c r="C56" s="67" t="str">
        <f>Outputs!$C$27</f>
        <v>$/ML</v>
      </c>
      <c r="D56" s="65"/>
      <c r="E56" s="65"/>
      <c r="F56" s="112">
        <v>15.379109814709489</v>
      </c>
      <c r="G56" s="112">
        <v>15.379109814709489</v>
      </c>
      <c r="H56" s="112">
        <v>15.379109814709489</v>
      </c>
      <c r="I56" s="311">
        <v>15.379109814709489</v>
      </c>
      <c r="J56" s="177"/>
      <c r="K56" s="113">
        <f>ROUND(F56,2)*(1+'2017 Determination - Revenue'!$F$18)</f>
        <v>15.70298</v>
      </c>
      <c r="L56" s="113">
        <f>ROUND((ROUND(G56,2)*(1+'2017 Determination - Revenue'!$F$18)),2)*(1+'2017 Determination - Revenue'!$G$22)</f>
        <v>15.998299999999999</v>
      </c>
      <c r="M56" s="113">
        <f>ROUND((ROUND(H56,2)*(1+'2017 Determination - Revenue'!$F$18)),2)*(1+'2017 Determination - Revenue'!$H$22)</f>
        <v>16.2181</v>
      </c>
      <c r="N56" s="113">
        <f>ROUND((ROUND(I56,2)*(1+'2017 Determination - Revenue'!$F$18)),2)*(1+'2017 Determination - Revenue'!$I$22)</f>
        <v>16.547799999999999</v>
      </c>
      <c r="O56" s="234"/>
      <c r="P56" s="190"/>
      <c r="Q56" s="196"/>
      <c r="R56" s="193"/>
      <c r="S56" s="103"/>
      <c r="T56" s="175"/>
      <c r="U56" s="103"/>
      <c r="V56" s="103"/>
      <c r="W56" s="103"/>
      <c r="X56" s="103"/>
      <c r="Y56" s="103"/>
      <c r="Z56" s="103"/>
      <c r="AA56" s="103"/>
      <c r="AB56" s="103"/>
    </row>
    <row r="57" spans="2:28">
      <c r="B57" s="42" t="str">
        <f>'2017 Determination - Revenue'!$B$38</f>
        <v>Macquarie</v>
      </c>
      <c r="C57" s="67" t="str">
        <f>Outputs!$C$27</f>
        <v>$/ML</v>
      </c>
      <c r="D57" s="65"/>
      <c r="E57" s="65"/>
      <c r="F57" s="112">
        <v>13.514162012252285</v>
      </c>
      <c r="G57" s="112">
        <v>13.514162012252285</v>
      </c>
      <c r="H57" s="112">
        <v>13.514162012252285</v>
      </c>
      <c r="I57" s="311">
        <v>13.514162012252285</v>
      </c>
      <c r="J57" s="177"/>
      <c r="K57" s="113">
        <f>ROUND(F57,2)*(1+'2017 Determination - Revenue'!$F$18)</f>
        <v>13.793709999999999</v>
      </c>
      <c r="L57" s="113">
        <f>ROUND((ROUND(G57,2)*(1+'2017 Determination - Revenue'!$F$18)),2)*(1+'2017 Determination - Revenue'!$G$22)</f>
        <v>14.052009999999997</v>
      </c>
      <c r="M57" s="113">
        <f>ROUND((ROUND(H57,2)*(1+'2017 Determination - Revenue'!$F$18)),2)*(1+'2017 Determination - Revenue'!$H$22)</f>
        <v>14.245069999999998</v>
      </c>
      <c r="N57" s="113">
        <f>ROUND((ROUND(I57,2)*(1+'2017 Determination - Revenue'!$F$18)),2)*(1+'2017 Determination - Revenue'!$I$22)</f>
        <v>14.534660000000001</v>
      </c>
      <c r="O57" s="234"/>
      <c r="P57" s="190"/>
      <c r="Q57" s="196"/>
      <c r="R57" s="193"/>
      <c r="S57" s="103"/>
      <c r="T57" s="175"/>
      <c r="U57" s="103"/>
      <c r="V57" s="103"/>
      <c r="W57" s="103"/>
      <c r="X57" s="103"/>
      <c r="Y57" s="103"/>
      <c r="Z57" s="103"/>
      <c r="AA57" s="103"/>
      <c r="AB57" s="103"/>
    </row>
    <row r="58" spans="2:28">
      <c r="B58" s="42" t="str">
        <f>'2017 Determination - Revenue'!$B$39</f>
        <v>Murray</v>
      </c>
      <c r="C58" s="67" t="str">
        <f>Outputs!$C$27</f>
        <v>$/ML</v>
      </c>
      <c r="D58" s="65"/>
      <c r="E58" s="65"/>
      <c r="F58" s="112">
        <v>1.5377364390374406</v>
      </c>
      <c r="G58" s="112">
        <v>1.5377364390374406</v>
      </c>
      <c r="H58" s="112">
        <v>1.5377364390374406</v>
      </c>
      <c r="I58" s="311">
        <v>1.5377364390374406</v>
      </c>
      <c r="J58" s="177"/>
      <c r="K58" s="113">
        <f>ROUND(F58,2)*(1+'2017 Determination - Revenue'!$F$18)</f>
        <v>1.5723399999999998</v>
      </c>
      <c r="L58" s="113">
        <f>ROUND((ROUND(G58,2)*(1+'2017 Determination - Revenue'!$F$18)),2)*(1+'2017 Determination - Revenue'!$G$22)</f>
        <v>1.5998299999999999</v>
      </c>
      <c r="M58" s="113">
        <f>ROUND((ROUND(H58,2)*(1+'2017 Determination - Revenue'!$F$18)),2)*(1+'2017 Determination - Revenue'!$H$22)</f>
        <v>1.62181</v>
      </c>
      <c r="N58" s="113">
        <f>ROUND((ROUND(I58,2)*(1+'2017 Determination - Revenue'!$F$18)),2)*(1+'2017 Determination - Revenue'!$I$22)</f>
        <v>1.6547800000000001</v>
      </c>
      <c r="O58" s="234"/>
      <c r="P58" s="190"/>
      <c r="Q58" s="196"/>
      <c r="R58" s="193"/>
      <c r="S58" s="103"/>
      <c r="T58" s="175"/>
      <c r="U58" s="103"/>
      <c r="V58" s="103"/>
      <c r="W58" s="103"/>
      <c r="X58" s="103"/>
      <c r="Y58" s="103"/>
      <c r="Z58" s="103"/>
      <c r="AA58" s="103"/>
      <c r="AB58" s="103"/>
    </row>
    <row r="59" spans="2:28">
      <c r="B59" s="42" t="str">
        <f>'2017 Determination - Revenue'!$B$40</f>
        <v>Murrumbidgee</v>
      </c>
      <c r="C59" s="67" t="str">
        <f>Outputs!$C$27</f>
        <v>$/ML</v>
      </c>
      <c r="D59" s="65"/>
      <c r="E59" s="65"/>
      <c r="F59" s="112">
        <v>2.9532745157454201</v>
      </c>
      <c r="G59" s="112">
        <v>2.9532745157454201</v>
      </c>
      <c r="H59" s="112">
        <v>2.9532745157454201</v>
      </c>
      <c r="I59" s="311">
        <v>2.9532745157454201</v>
      </c>
      <c r="J59" s="177"/>
      <c r="K59" s="113">
        <f>ROUND(F59,2)*(1+'2017 Determination - Revenue'!$F$18)</f>
        <v>3.0119500000000001</v>
      </c>
      <c r="L59" s="113">
        <f>ROUND((ROUND(G59,2)*(1+'2017 Determination - Revenue'!$F$18)),2)*(1+'2017 Determination - Revenue'!$G$22)</f>
        <v>3.0671899999999996</v>
      </c>
      <c r="M59" s="113">
        <f>ROUND((ROUND(H59,2)*(1+'2017 Determination - Revenue'!$F$18)),2)*(1+'2017 Determination - Revenue'!$H$22)</f>
        <v>3.1093299999999995</v>
      </c>
      <c r="N59" s="113">
        <f>ROUND((ROUND(I59,2)*(1+'2017 Determination - Revenue'!$F$18)),2)*(1+'2017 Determination - Revenue'!$I$22)</f>
        <v>3.1725400000000001</v>
      </c>
      <c r="O59" s="234"/>
      <c r="P59" s="190"/>
      <c r="Q59" s="196"/>
      <c r="R59" s="193"/>
      <c r="S59" s="103"/>
      <c r="T59" s="175"/>
      <c r="U59" s="103"/>
      <c r="V59" s="103"/>
      <c r="W59" s="103"/>
      <c r="X59" s="103"/>
      <c r="Y59" s="103"/>
      <c r="Z59" s="103"/>
      <c r="AA59" s="103"/>
      <c r="AB59" s="103"/>
    </row>
    <row r="60" spans="2:28">
      <c r="B60" s="42" t="str">
        <f>'2017 Determination - Revenue'!$B$41</f>
        <v>Lowbidgee</v>
      </c>
      <c r="C60" s="67" t="str">
        <f>Outputs!$C$27</f>
        <v>$/ML</v>
      </c>
      <c r="D60" s="65"/>
      <c r="E60" s="65"/>
      <c r="F60" s="112">
        <v>0</v>
      </c>
      <c r="G60" s="112">
        <v>0</v>
      </c>
      <c r="H60" s="112">
        <v>0</v>
      </c>
      <c r="I60" s="311">
        <v>0</v>
      </c>
      <c r="J60" s="177"/>
      <c r="K60" s="113">
        <f>ROUND(F60,2)*(1+'2017 Determination - Revenue'!$F$18)</f>
        <v>0</v>
      </c>
      <c r="L60" s="113">
        <f>ROUND((ROUND(G60,2)*(1+'2017 Determination - Revenue'!$F$18)),2)*(1+'2017 Determination - Revenue'!$G$22)</f>
        <v>0</v>
      </c>
      <c r="M60" s="113">
        <f>ROUND((ROUND(H60,2)*(1+'2017 Determination - Revenue'!$F$18)),2)*(1+'2017 Determination - Revenue'!$H$22)</f>
        <v>0</v>
      </c>
      <c r="N60" s="113">
        <f>ROUND((ROUND(I60,2)*(1+'2017 Determination - Revenue'!$F$18)),2)*(1+'2017 Determination - Revenue'!$I$22)</f>
        <v>0</v>
      </c>
      <c r="O60" s="234"/>
      <c r="P60" s="190"/>
      <c r="Q60" s="196"/>
      <c r="R60" s="193"/>
      <c r="S60" s="103"/>
      <c r="T60" s="175"/>
      <c r="U60" s="103"/>
      <c r="V60" s="103"/>
      <c r="W60" s="103"/>
      <c r="X60" s="103"/>
      <c r="Y60" s="103"/>
      <c r="Z60" s="103"/>
      <c r="AA60" s="103"/>
      <c r="AB60" s="103"/>
    </row>
    <row r="61" spans="2:28">
      <c r="B61" s="44"/>
      <c r="C61" s="68"/>
      <c r="D61" s="68"/>
      <c r="E61" s="68"/>
      <c r="F61" s="69"/>
      <c r="G61" s="69"/>
      <c r="H61" s="69"/>
      <c r="I61" s="314"/>
      <c r="J61" s="178"/>
      <c r="K61" s="69"/>
      <c r="L61" s="69"/>
      <c r="M61" s="69"/>
      <c r="N61" s="178"/>
      <c r="O61" s="235"/>
      <c r="P61" s="190"/>
      <c r="Q61" s="196"/>
      <c r="R61" s="193"/>
      <c r="S61" s="103"/>
      <c r="T61" s="175"/>
      <c r="U61" s="103"/>
      <c r="V61" s="103"/>
      <c r="W61" s="103"/>
      <c r="X61" s="103"/>
      <c r="Y61" s="103"/>
      <c r="Z61" s="103"/>
      <c r="AA61" s="103"/>
      <c r="AB61" s="103"/>
    </row>
    <row r="62" spans="2:28">
      <c r="B62" s="37"/>
      <c r="C62" s="52"/>
      <c r="D62" s="52"/>
      <c r="E62" s="52"/>
      <c r="F62" s="49"/>
      <c r="G62" s="49"/>
      <c r="H62" s="49"/>
      <c r="I62" s="308"/>
      <c r="J62" s="190"/>
      <c r="K62" s="190"/>
      <c r="L62" s="190"/>
      <c r="M62" s="190"/>
      <c r="N62" s="190"/>
      <c r="R62" s="193"/>
      <c r="S62" s="103"/>
      <c r="T62" s="175"/>
      <c r="U62" s="103"/>
      <c r="V62" s="103"/>
      <c r="W62" s="103"/>
      <c r="X62" s="103"/>
      <c r="Y62" s="103"/>
      <c r="Z62" s="103"/>
      <c r="AA62" s="103"/>
      <c r="AB62" s="103"/>
    </row>
    <row r="63" spans="2:28" s="103" customFormat="1">
      <c r="B63" s="37"/>
      <c r="C63" s="52"/>
      <c r="D63" s="52"/>
      <c r="E63" s="52"/>
      <c r="F63" s="49"/>
      <c r="G63" s="49"/>
      <c r="H63" s="49"/>
      <c r="I63" s="308"/>
      <c r="J63" s="190"/>
      <c r="K63" s="190"/>
      <c r="L63" s="190"/>
      <c r="M63" s="190"/>
      <c r="N63" s="190"/>
      <c r="O63" s="193"/>
      <c r="P63" s="193"/>
      <c r="R63" s="193"/>
      <c r="T63" s="175"/>
    </row>
    <row r="64" spans="2:28" s="103" customFormat="1">
      <c r="B64" s="60" t="s">
        <v>89</v>
      </c>
      <c r="F64" s="53"/>
      <c r="G64" s="53"/>
      <c r="H64" s="53"/>
      <c r="I64" s="307"/>
      <c r="J64" s="193"/>
      <c r="K64" s="193"/>
      <c r="L64" s="193"/>
      <c r="M64" s="193"/>
      <c r="N64" s="193"/>
      <c r="O64" s="193"/>
      <c r="P64" s="193"/>
      <c r="R64" s="193"/>
      <c r="T64" s="175"/>
    </row>
    <row r="65" spans="2:20" s="103" customFormat="1">
      <c r="B65" s="61" t="str">
        <f>'2017 Determination - Revenue'!B$16</f>
        <v>Financial year</v>
      </c>
      <c r="C65" s="62" t="str">
        <f>'2017 Determination - Revenue'!C$28</f>
        <v>Units</v>
      </c>
      <c r="D65" s="50"/>
      <c r="E65" s="50"/>
      <c r="F65" s="127" t="str">
        <f>'2017 Determination - Revenue'!F$16</f>
        <v>2017-18</v>
      </c>
      <c r="G65" s="127" t="str">
        <f>'2017 Determination - Revenue'!G$16</f>
        <v>2018-19</v>
      </c>
      <c r="H65" s="210" t="str">
        <f>'2017 Determination - Revenue'!H$16</f>
        <v>2019-20</v>
      </c>
      <c r="I65" s="210" t="str">
        <f>'2017 Determination - Revenue'!I$16</f>
        <v>2020-21</v>
      </c>
      <c r="J65" s="210"/>
      <c r="K65" s="163" t="str">
        <f>K$14</f>
        <v>2017-18</v>
      </c>
      <c r="L65" s="163" t="str">
        <f>L$14</f>
        <v>2018-19</v>
      </c>
      <c r="M65" s="163" t="str">
        <f>M$14</f>
        <v>2019-20</v>
      </c>
      <c r="N65" s="163" t="str">
        <f>N$14</f>
        <v>2020-21</v>
      </c>
      <c r="O65" s="236"/>
      <c r="P65" s="190"/>
      <c r="R65" s="193"/>
      <c r="T65" s="175"/>
    </row>
    <row r="66" spans="2:20" s="103" customFormat="1">
      <c r="B66" s="64"/>
      <c r="C66" s="52"/>
      <c r="D66" s="52"/>
      <c r="E66" s="52"/>
      <c r="F66" s="128" t="str">
        <f>'2017 Determination - Revenue'!$F$29</f>
        <v>$2016-17</v>
      </c>
      <c r="G66" s="128" t="str">
        <f>'2017 Determination - Revenue'!$F$29</f>
        <v>$2016-17</v>
      </c>
      <c r="H66" s="128" t="str">
        <f>'2017 Determination - Revenue'!$F$29</f>
        <v>$2016-17</v>
      </c>
      <c r="I66" s="128" t="str">
        <f>'2017 Determination - Revenue'!$F$29</f>
        <v>$2016-17</v>
      </c>
      <c r="J66" s="177"/>
      <c r="K66" s="128" t="str">
        <f>K$15</f>
        <v>$2017-18</v>
      </c>
      <c r="L66" s="128" t="str">
        <f>L$15</f>
        <v>$2018-19</v>
      </c>
      <c r="M66" s="128" t="str">
        <f>M$15</f>
        <v>$2019-20</v>
      </c>
      <c r="N66" s="128" t="str">
        <f>N$15</f>
        <v>$2020-21</v>
      </c>
      <c r="O66" s="234"/>
      <c r="P66" s="190"/>
      <c r="R66" s="193"/>
      <c r="T66" s="175"/>
    </row>
    <row r="67" spans="2:20" s="103" customFormat="1">
      <c r="B67" s="64"/>
      <c r="C67" s="52"/>
      <c r="D67" s="52"/>
      <c r="E67" s="52"/>
      <c r="F67" s="49"/>
      <c r="G67" s="49"/>
      <c r="H67" s="49"/>
      <c r="I67" s="308"/>
      <c r="J67" s="177"/>
      <c r="K67" s="190"/>
      <c r="L67" s="190"/>
      <c r="M67" s="190"/>
      <c r="N67" s="190"/>
      <c r="O67" s="234"/>
      <c r="P67" s="190"/>
      <c r="R67" s="193"/>
      <c r="T67" s="175"/>
    </row>
    <row r="68" spans="2:20" s="103" customFormat="1">
      <c r="B68" s="64" t="s">
        <v>88</v>
      </c>
      <c r="C68" s="52"/>
      <c r="D68" s="52"/>
      <c r="E68" s="52"/>
      <c r="F68" s="49"/>
      <c r="G68" s="49"/>
      <c r="H68" s="49"/>
      <c r="I68" s="308"/>
      <c r="J68" s="177"/>
      <c r="K68" s="190"/>
      <c r="L68" s="190"/>
      <c r="M68" s="190"/>
      <c r="N68" s="190"/>
      <c r="O68" s="234"/>
      <c r="P68" s="190"/>
      <c r="R68" s="193"/>
      <c r="T68" s="175"/>
    </row>
    <row r="69" spans="2:20" s="103" customFormat="1" ht="12" customHeight="1">
      <c r="B69" s="42" t="str">
        <f>'2017 Determination - Revenue'!$B$33</f>
        <v>Border</v>
      </c>
      <c r="C69" s="67" t="str">
        <f>Outputs!$C$27</f>
        <v>$/ML</v>
      </c>
      <c r="D69" s="52"/>
      <c r="E69" s="49"/>
      <c r="F69" s="112">
        <v>0.78386903671713781</v>
      </c>
      <c r="G69" s="112">
        <v>0.78386903671713781</v>
      </c>
      <c r="H69" s="112">
        <v>0.78386903671713781</v>
      </c>
      <c r="I69" s="311">
        <v>0.78386903671713781</v>
      </c>
      <c r="J69" s="177"/>
      <c r="K69" s="113">
        <f>ROUND(F69,2)*(1+'2017 Determination - Revenue'!$F$18)</f>
        <v>0.79637999999999998</v>
      </c>
      <c r="L69" s="113">
        <f>ROUND((ROUND(G69,2)*(1+'2017 Determination - Revenue'!$F$18)),2)*(1+'2017 Determination - Revenue'!$G$22)</f>
        <v>0.81519999999999992</v>
      </c>
      <c r="M69" s="113">
        <f>ROUND((ROUND(H69,2)*(1+'2017 Determination - Revenue'!$F$18)),2)*(1+'2017 Determination - Revenue'!$H$22)</f>
        <v>0.82640000000000002</v>
      </c>
      <c r="N69" s="113">
        <f>ROUND((ROUND(I69,2)*(1+'2017 Determination - Revenue'!$F$18)),2)*(1+'2017 Determination - Revenue'!$I$22)</f>
        <v>0.84320000000000006</v>
      </c>
      <c r="O69" s="234"/>
      <c r="P69" s="190"/>
      <c r="R69" s="193"/>
      <c r="T69" s="175"/>
    </row>
    <row r="70" spans="2:20" s="103" customFormat="1">
      <c r="B70" s="42" t="str">
        <f>'2017 Determination - Revenue'!$B$39</f>
        <v>Murray</v>
      </c>
      <c r="C70" s="67" t="str">
        <f>Outputs!$C$27</f>
        <v>$/ML</v>
      </c>
      <c r="D70" s="52"/>
      <c r="E70" s="49"/>
      <c r="F70" s="112">
        <v>1.4985294573379557</v>
      </c>
      <c r="G70" s="112">
        <v>1.4985294573379557</v>
      </c>
      <c r="H70" s="112">
        <v>1.4985294573379557</v>
      </c>
      <c r="I70" s="311">
        <v>1.4985294573379557</v>
      </c>
      <c r="J70" s="177"/>
      <c r="K70" s="113">
        <f>ROUND(F70,2)*(1+'2017 Determination - Revenue'!$F$18)</f>
        <v>1.5314999999999999</v>
      </c>
      <c r="L70" s="113">
        <f>ROUND((ROUND(G70,2)*(1+'2017 Determination - Revenue'!$F$18)),2)*(1+'2017 Determination - Revenue'!$G$22)</f>
        <v>1.55907</v>
      </c>
      <c r="M70" s="113">
        <f>ROUND((ROUND(H70,2)*(1+'2017 Determination - Revenue'!$F$18)),2)*(1+'2017 Determination - Revenue'!$H$22)</f>
        <v>1.58049</v>
      </c>
      <c r="N70" s="113">
        <f>ROUND((ROUND(I70,2)*(1+'2017 Determination - Revenue'!$F$18)),2)*(1+'2017 Determination - Revenue'!$I$22)</f>
        <v>1.6126200000000002</v>
      </c>
      <c r="O70" s="234"/>
      <c r="P70" s="190"/>
      <c r="R70" s="193"/>
      <c r="T70" s="175"/>
    </row>
    <row r="71" spans="2:20" s="103" customFormat="1">
      <c r="B71" s="42" t="str">
        <f>'2017 Determination - Revenue'!$B$40</f>
        <v>Murrumbidgee</v>
      </c>
      <c r="C71" s="67" t="str">
        <f>Outputs!$C$27</f>
        <v>$/ML</v>
      </c>
      <c r="D71" s="52"/>
      <c r="E71" s="49"/>
      <c r="F71" s="112">
        <v>0.3005578181756689</v>
      </c>
      <c r="G71" s="112">
        <v>0.3005578181756689</v>
      </c>
      <c r="H71" s="112">
        <v>0.3005578181756689</v>
      </c>
      <c r="I71" s="311">
        <v>0.3005578181756689</v>
      </c>
      <c r="J71" s="177"/>
      <c r="K71" s="113">
        <f>ROUND(F71,2)*(1+'2017 Determination - Revenue'!$F$18)</f>
        <v>0.30629999999999996</v>
      </c>
      <c r="L71" s="113">
        <f>ROUND((ROUND(G71,2)*(1+'2017 Determination - Revenue'!$F$18)),2)*(1+'2017 Determination - Revenue'!$G$22)</f>
        <v>0.31588999999999995</v>
      </c>
      <c r="M71" s="113">
        <f>ROUND((ROUND(H71,2)*(1+'2017 Determination - Revenue'!$F$18)),2)*(1+'2017 Determination - Revenue'!$H$22)</f>
        <v>0.32022999999999996</v>
      </c>
      <c r="N71" s="113">
        <f>ROUND((ROUND(I71,2)*(1+'2017 Determination - Revenue'!$F$18)),2)*(1+'2017 Determination - Revenue'!$I$22)</f>
        <v>0.32674000000000003</v>
      </c>
      <c r="O71" s="234"/>
      <c r="P71" s="190"/>
      <c r="R71" s="193"/>
      <c r="T71" s="175"/>
    </row>
    <row r="72" spans="2:20" s="103" customFormat="1">
      <c r="B72" s="42"/>
      <c r="C72" s="67"/>
      <c r="D72" s="52"/>
      <c r="E72" s="52"/>
      <c r="F72" s="158"/>
      <c r="G72" s="158"/>
      <c r="H72" s="49"/>
      <c r="I72" s="308"/>
      <c r="J72" s="177"/>
      <c r="K72" s="190"/>
      <c r="L72" s="113"/>
      <c r="M72" s="113"/>
      <c r="N72" s="113"/>
      <c r="O72" s="234"/>
      <c r="P72" s="190"/>
      <c r="R72" s="193"/>
      <c r="T72" s="175"/>
    </row>
    <row r="73" spans="2:20" s="103" customFormat="1">
      <c r="B73" s="64" t="s">
        <v>86</v>
      </c>
      <c r="C73" s="52"/>
      <c r="D73" s="52"/>
      <c r="E73" s="52"/>
      <c r="F73" s="159"/>
      <c r="G73" s="159"/>
      <c r="H73" s="49"/>
      <c r="I73" s="308"/>
      <c r="J73" s="177"/>
      <c r="K73" s="190"/>
      <c r="L73" s="113"/>
      <c r="M73" s="113"/>
      <c r="N73" s="113"/>
      <c r="O73" s="234"/>
      <c r="P73" s="190"/>
      <c r="R73" s="193"/>
      <c r="T73" s="175"/>
    </row>
    <row r="74" spans="2:20" s="103" customFormat="1" ht="12" customHeight="1">
      <c r="B74" s="42" t="str">
        <f>'2017 Determination - Revenue'!$B$33</f>
        <v>Border</v>
      </c>
      <c r="C74" s="67" t="str">
        <f>Outputs!$C$27</f>
        <v>$/ML</v>
      </c>
      <c r="D74" s="52"/>
      <c r="E74" s="49"/>
      <c r="F74" s="112">
        <v>1.7103348160629046</v>
      </c>
      <c r="G74" s="112">
        <v>1.7103348160629046</v>
      </c>
      <c r="H74" s="112">
        <v>1.7103348160629046</v>
      </c>
      <c r="I74" s="311">
        <v>1.7103348160629046</v>
      </c>
      <c r="J74" s="177"/>
      <c r="K74" s="113">
        <f>ROUND(F74,2)*(1+'2017 Determination - Revenue'!$F$18)</f>
        <v>1.7459099999999999</v>
      </c>
      <c r="L74" s="113">
        <f>ROUND((ROUND(G74,2)*(1+'2017 Determination - Revenue'!$F$18)),2)*(1+'2017 Determination - Revenue'!$G$22)</f>
        <v>1.7832499999999998</v>
      </c>
      <c r="M74" s="113">
        <f>ROUND((ROUND(H74,2)*(1+'2017 Determination - Revenue'!$F$18)),2)*(1+'2017 Determination - Revenue'!$H$22)</f>
        <v>1.80775</v>
      </c>
      <c r="N74" s="113">
        <f>ROUND((ROUND(I74,2)*(1+'2017 Determination - Revenue'!$F$18)),2)*(1+'2017 Determination - Revenue'!$I$22)</f>
        <v>1.8445</v>
      </c>
      <c r="O74" s="234"/>
      <c r="P74" s="190"/>
      <c r="R74" s="193"/>
      <c r="T74" s="175"/>
    </row>
    <row r="75" spans="2:20" s="103" customFormat="1">
      <c r="B75" s="42" t="str">
        <f>'2017 Determination - Revenue'!$B$39</f>
        <v>Murray</v>
      </c>
      <c r="C75" s="67" t="str">
        <f>Outputs!$C$27</f>
        <v>$/ML</v>
      </c>
      <c r="D75" s="52"/>
      <c r="E75" s="49"/>
      <c r="F75" s="112">
        <v>3.5616689641805239</v>
      </c>
      <c r="G75" s="112">
        <v>3.5616689641805239</v>
      </c>
      <c r="H75" s="112">
        <v>3.5616689641805239</v>
      </c>
      <c r="I75" s="311">
        <v>3.5616689641805239</v>
      </c>
      <c r="J75" s="177"/>
      <c r="K75" s="113">
        <f>ROUND(F75,2)*(1+'2017 Determination - Revenue'!$F$18)</f>
        <v>3.6347599999999995</v>
      </c>
      <c r="L75" s="113">
        <f>ROUND((ROUND(G75,2)*(1+'2017 Determination - Revenue'!$F$18)),2)*(1+'2017 Determination - Revenue'!$G$22)</f>
        <v>3.6989699999999996</v>
      </c>
      <c r="M75" s="113">
        <f>ROUND((ROUND(H75,2)*(1+'2017 Determination - Revenue'!$F$18)),2)*(1+'2017 Determination - Revenue'!$H$22)</f>
        <v>3.7497899999999995</v>
      </c>
      <c r="N75" s="113">
        <f>ROUND((ROUND(I75,2)*(1+'2017 Determination - Revenue'!$F$18)),2)*(1+'2017 Determination - Revenue'!$I$22)</f>
        <v>3.8260200000000002</v>
      </c>
      <c r="O75" s="234"/>
      <c r="P75" s="190"/>
      <c r="R75" s="193"/>
      <c r="T75" s="175"/>
    </row>
    <row r="76" spans="2:20" s="103" customFormat="1">
      <c r="B76" s="42" t="str">
        <f>'2017 Determination - Revenue'!$B$40</f>
        <v>Murrumbidgee</v>
      </c>
      <c r="C76" s="67" t="str">
        <f>Outputs!$C$27</f>
        <v>$/ML</v>
      </c>
      <c r="D76" s="52"/>
      <c r="E76" s="49"/>
      <c r="F76" s="112">
        <v>0.60861535478820739</v>
      </c>
      <c r="G76" s="112">
        <v>0.60861535478820739</v>
      </c>
      <c r="H76" s="112">
        <v>0.60861535478820739</v>
      </c>
      <c r="I76" s="311">
        <v>0.60861535478820739</v>
      </c>
      <c r="J76" s="177"/>
      <c r="K76" s="113">
        <f>ROUND(F76,2)*(1+'2017 Determination - Revenue'!$F$18)</f>
        <v>0.62280999999999997</v>
      </c>
      <c r="L76" s="113">
        <f>ROUND((ROUND(G76,2)*(1+'2017 Determination - Revenue'!$F$18)),2)*(1+'2017 Determination - Revenue'!$G$22)</f>
        <v>0.6317799999999999</v>
      </c>
      <c r="M76" s="113">
        <f>ROUND((ROUND(H76,2)*(1+'2017 Determination - Revenue'!$F$18)),2)*(1+'2017 Determination - Revenue'!$H$22)</f>
        <v>0.64045999999999992</v>
      </c>
      <c r="N76" s="113">
        <f>ROUND((ROUND(I76,2)*(1+'2017 Determination - Revenue'!$F$18)),2)*(1+'2017 Determination - Revenue'!$I$22)</f>
        <v>0.65348000000000006</v>
      </c>
      <c r="O76" s="234"/>
      <c r="P76" s="190"/>
      <c r="R76" s="193"/>
      <c r="T76" s="175"/>
    </row>
    <row r="77" spans="2:20" s="103" customFormat="1">
      <c r="B77" s="42"/>
      <c r="C77" s="52"/>
      <c r="D77" s="52"/>
      <c r="E77" s="52"/>
      <c r="F77" s="159"/>
      <c r="G77" s="159"/>
      <c r="H77" s="49"/>
      <c r="I77" s="308"/>
      <c r="J77" s="177"/>
      <c r="K77" s="190"/>
      <c r="L77" s="113"/>
      <c r="M77" s="113"/>
      <c r="N77" s="113"/>
      <c r="O77" s="234"/>
      <c r="P77" s="190"/>
      <c r="R77" s="193"/>
      <c r="T77" s="175"/>
    </row>
    <row r="78" spans="2:20" s="103" customFormat="1">
      <c r="B78" s="64" t="s">
        <v>87</v>
      </c>
      <c r="C78" s="52"/>
      <c r="D78" s="52"/>
      <c r="E78" s="52"/>
      <c r="F78" s="159"/>
      <c r="G78" s="159"/>
      <c r="H78" s="49"/>
      <c r="I78" s="308"/>
      <c r="J78" s="177"/>
      <c r="K78" s="190"/>
      <c r="L78" s="113"/>
      <c r="M78" s="113"/>
      <c r="N78" s="113"/>
      <c r="O78" s="234"/>
      <c r="P78" s="190"/>
      <c r="R78" s="193"/>
      <c r="T78" s="175"/>
    </row>
    <row r="79" spans="2:20" s="103" customFormat="1" ht="12" customHeight="1">
      <c r="B79" s="42" t="str">
        <f>'2017 Determination - Revenue'!$B$33</f>
        <v>Border</v>
      </c>
      <c r="C79" s="67" t="str">
        <f>Outputs!$C$27</f>
        <v>$/ML</v>
      </c>
      <c r="D79" s="52"/>
      <c r="E79" s="49"/>
      <c r="F79" s="112">
        <v>4.6050654775877584</v>
      </c>
      <c r="G79" s="112">
        <v>4.6050654775877584</v>
      </c>
      <c r="H79" s="112">
        <v>4.6050654775877584</v>
      </c>
      <c r="I79" s="311">
        <v>4.6050654775877584</v>
      </c>
      <c r="J79" s="177"/>
      <c r="K79" s="113">
        <f>ROUND(F79,2)*(1+'2017 Determination - Revenue'!$F$18)</f>
        <v>4.7068099999999999</v>
      </c>
      <c r="L79" s="113">
        <f>ROUND((ROUND(G79,2)*(1+'2017 Determination - Revenue'!$F$18)),2)*(1+'2017 Determination - Revenue'!$G$22)</f>
        <v>4.7994899999999996</v>
      </c>
      <c r="M79" s="113">
        <f>ROUND((ROUND(H79,2)*(1+'2017 Determination - Revenue'!$F$18)),2)*(1+'2017 Determination - Revenue'!$H$22)</f>
        <v>4.8654299999999999</v>
      </c>
      <c r="N79" s="113">
        <f>ROUND((ROUND(I79,2)*(1+'2017 Determination - Revenue'!$F$18)),2)*(1+'2017 Determination - Revenue'!$I$22)</f>
        <v>4.96434</v>
      </c>
      <c r="O79" s="234"/>
      <c r="P79" s="190"/>
      <c r="R79" s="193"/>
      <c r="T79" s="175"/>
    </row>
    <row r="80" spans="2:20" s="103" customFormat="1">
      <c r="B80" s="42" t="str">
        <f>'2017 Determination - Revenue'!$B$39</f>
        <v>Murray</v>
      </c>
      <c r="C80" s="67" t="str">
        <f>Outputs!$C$27</f>
        <v>$/ML</v>
      </c>
      <c r="D80" s="52"/>
      <c r="E80" s="49"/>
      <c r="F80" s="112">
        <v>7.2658214716513054</v>
      </c>
      <c r="G80" s="112">
        <v>7.2658214716513054</v>
      </c>
      <c r="H80" s="112">
        <v>7.2658214716513054</v>
      </c>
      <c r="I80" s="311">
        <v>7.2658214716513054</v>
      </c>
      <c r="J80" s="177"/>
      <c r="K80" s="113">
        <f>ROUND(F80,2)*(1+'2017 Determination - Revenue'!$F$18)</f>
        <v>7.4226699999999992</v>
      </c>
      <c r="L80" s="113">
        <f>ROUND((ROUND(G80,2)*(1+'2017 Determination - Revenue'!$F$18)),2)*(1+'2017 Determination - Revenue'!$G$22)</f>
        <v>7.5609799999999989</v>
      </c>
      <c r="M80" s="113">
        <f>ROUND((ROUND(H80,2)*(1+'2017 Determination - Revenue'!$F$18)),2)*(1+'2017 Determination - Revenue'!$H$22)</f>
        <v>7.6648599999999991</v>
      </c>
      <c r="N80" s="113">
        <f>ROUND((ROUND(I80,2)*(1+'2017 Determination - Revenue'!$F$18)),2)*(1+'2017 Determination - Revenue'!$I$22)</f>
        <v>7.8206800000000003</v>
      </c>
      <c r="O80" s="234"/>
      <c r="P80" s="190"/>
      <c r="R80" s="193"/>
      <c r="T80" s="175"/>
    </row>
    <row r="81" spans="2:29" s="103" customFormat="1">
      <c r="B81" s="42" t="str">
        <f>'2017 Determination - Revenue'!$B$40</f>
        <v>Murrumbidgee</v>
      </c>
      <c r="C81" s="67" t="str">
        <f>Outputs!$C$27</f>
        <v>$/ML</v>
      </c>
      <c r="D81" s="52"/>
      <c r="E81" s="49"/>
      <c r="F81" s="112">
        <v>1.6127560685673548</v>
      </c>
      <c r="G81" s="112">
        <v>1.6127560685673548</v>
      </c>
      <c r="H81" s="112">
        <v>1.6127560685673548</v>
      </c>
      <c r="I81" s="311">
        <v>1.6127560685673548</v>
      </c>
      <c r="J81" s="177"/>
      <c r="K81" s="113">
        <f>ROUND(F81,2)*(1+'2017 Determination - Revenue'!$F$18)</f>
        <v>1.64381</v>
      </c>
      <c r="L81" s="113">
        <f>ROUND((ROUND(G81,2)*(1+'2017 Determination - Revenue'!$F$18)),2)*(1+'2017 Determination - Revenue'!$G$22)</f>
        <v>1.6711599999999998</v>
      </c>
      <c r="M81" s="113">
        <f>ROUND((ROUND(H81,2)*(1+'2017 Determination - Revenue'!$F$18)),2)*(1+'2017 Determination - Revenue'!$H$22)</f>
        <v>1.6941199999999998</v>
      </c>
      <c r="N81" s="113">
        <f>ROUND((ROUND(I81,2)*(1+'2017 Determination - Revenue'!$F$18)),2)*(1+'2017 Determination - Revenue'!$I$22)</f>
        <v>1.7285599999999999</v>
      </c>
      <c r="O81" s="234"/>
      <c r="P81" s="190"/>
      <c r="R81" s="193"/>
      <c r="T81" s="175"/>
    </row>
    <row r="82" spans="2:29" s="103" customFormat="1">
      <c r="B82" s="42"/>
      <c r="C82" s="52"/>
      <c r="D82" s="52"/>
      <c r="E82" s="52"/>
      <c r="F82" s="49"/>
      <c r="G82" s="49"/>
      <c r="H82" s="49"/>
      <c r="I82" s="308"/>
      <c r="J82" s="190"/>
      <c r="K82" s="190"/>
      <c r="L82" s="190"/>
      <c r="M82" s="190"/>
      <c r="N82" s="190"/>
      <c r="O82" s="234"/>
      <c r="P82" s="190"/>
      <c r="R82" s="193"/>
      <c r="T82" s="175"/>
    </row>
    <row r="83" spans="2:29" s="103" customFormat="1">
      <c r="B83" s="44"/>
      <c r="C83" s="72"/>
      <c r="D83" s="72"/>
      <c r="E83" s="72"/>
      <c r="F83" s="54"/>
      <c r="G83" s="54"/>
      <c r="H83" s="54"/>
      <c r="I83" s="309"/>
      <c r="J83" s="176"/>
      <c r="K83" s="54"/>
      <c r="L83" s="54"/>
      <c r="M83" s="54"/>
      <c r="N83" s="176"/>
      <c r="O83" s="235"/>
      <c r="P83" s="190"/>
      <c r="R83" s="193"/>
      <c r="T83" s="175"/>
    </row>
    <row r="84" spans="2:29" s="103" customFormat="1">
      <c r="B84" s="37"/>
      <c r="C84" s="52"/>
      <c r="D84" s="52"/>
      <c r="E84" s="52"/>
      <c r="F84" s="49"/>
      <c r="G84" s="49"/>
      <c r="H84" s="49"/>
      <c r="I84" s="308"/>
      <c r="J84" s="190"/>
      <c r="K84" s="190"/>
      <c r="L84" s="190"/>
      <c r="M84" s="190"/>
      <c r="N84" s="190"/>
      <c r="O84" s="193"/>
      <c r="P84" s="193"/>
      <c r="R84" s="193"/>
      <c r="T84" s="175"/>
    </row>
    <row r="85" spans="2:29">
      <c r="B85" s="37"/>
      <c r="C85" s="52"/>
      <c r="D85" s="52"/>
      <c r="E85" s="52"/>
      <c r="F85" s="49"/>
      <c r="G85" s="49"/>
      <c r="H85" s="49"/>
      <c r="I85" s="308"/>
      <c r="J85" s="190"/>
      <c r="K85" s="190"/>
      <c r="L85" s="190"/>
      <c r="M85" s="190"/>
      <c r="N85" s="190"/>
      <c r="R85" s="193"/>
      <c r="S85" s="103"/>
      <c r="T85" s="175"/>
      <c r="U85" s="103"/>
      <c r="V85" s="103"/>
      <c r="W85" s="103"/>
      <c r="X85" s="103"/>
      <c r="Y85" s="103"/>
      <c r="Z85" s="103"/>
      <c r="AA85" s="103"/>
      <c r="AB85" s="103"/>
    </row>
    <row r="86" spans="2:29">
      <c r="B86" s="60" t="s">
        <v>126</v>
      </c>
      <c r="F86" s="53"/>
      <c r="G86" s="53"/>
      <c r="H86" s="53"/>
      <c r="I86" s="307"/>
      <c r="R86" s="193"/>
      <c r="S86" s="103"/>
      <c r="T86" s="175"/>
      <c r="U86" s="103"/>
      <c r="V86" s="103"/>
      <c r="W86" s="103"/>
      <c r="X86" s="103"/>
      <c r="Y86" s="103"/>
      <c r="Z86" s="103"/>
      <c r="AA86" s="103"/>
      <c r="AB86" s="103"/>
    </row>
    <row r="87" spans="2:29">
      <c r="B87" s="61" t="str">
        <f>'2017 Determination - Revenue'!B$16</f>
        <v>Financial year</v>
      </c>
      <c r="C87" s="62" t="str">
        <f>'2017 Determination - Revenue'!C$28</f>
        <v>Units</v>
      </c>
      <c r="D87" s="50"/>
      <c r="E87" s="50"/>
      <c r="F87" s="127" t="str">
        <f>'2017 Determination - Revenue'!F$16</f>
        <v>2017-18</v>
      </c>
      <c r="G87" s="127" t="str">
        <f>'2017 Determination - Revenue'!G$16</f>
        <v>2018-19</v>
      </c>
      <c r="H87" s="127" t="str">
        <f>'2017 Determination - Revenue'!H$16</f>
        <v>2019-20</v>
      </c>
      <c r="I87" s="210" t="str">
        <f>'2017 Determination - Revenue'!I$16</f>
        <v>2020-21</v>
      </c>
      <c r="J87" s="210"/>
      <c r="K87" s="163" t="str">
        <f>K$48</f>
        <v>2017-18</v>
      </c>
      <c r="L87" s="163" t="str">
        <f>L$48</f>
        <v>2018-19</v>
      </c>
      <c r="M87" s="163" t="str">
        <f>M$14</f>
        <v>2019-20</v>
      </c>
      <c r="N87" s="163" t="str">
        <f>N$14</f>
        <v>2020-21</v>
      </c>
      <c r="O87" s="236"/>
      <c r="P87" s="190"/>
      <c r="R87" s="193"/>
      <c r="S87" s="103"/>
      <c r="T87" s="175"/>
      <c r="U87" s="103"/>
      <c r="V87" s="103"/>
      <c r="W87" s="103"/>
      <c r="X87" s="103"/>
      <c r="Y87" s="103"/>
      <c r="Z87" s="103"/>
      <c r="AA87" s="103"/>
      <c r="AB87" s="103"/>
    </row>
    <row r="88" spans="2:29">
      <c r="B88" s="64"/>
      <c r="C88" s="52"/>
      <c r="D88" s="52"/>
      <c r="E88" s="52"/>
      <c r="F88" s="128" t="str">
        <f>'2017 Determination - Revenue'!$F$29</f>
        <v>$2016-17</v>
      </c>
      <c r="G88" s="128" t="str">
        <f>'2017 Determination - Revenue'!$F$29</f>
        <v>$2016-17</v>
      </c>
      <c r="H88" s="128" t="str">
        <f>'2017 Determination - Revenue'!$F$29</f>
        <v>$2016-17</v>
      </c>
      <c r="I88" s="128" t="str">
        <f>'2017 Determination - Revenue'!$F$29</f>
        <v>$2016-17</v>
      </c>
      <c r="J88" s="177"/>
      <c r="K88" s="128" t="str">
        <f>$K$15</f>
        <v>$2017-18</v>
      </c>
      <c r="L88" s="128" t="str">
        <f>$L$15</f>
        <v>$2018-19</v>
      </c>
      <c r="M88" s="128" t="str">
        <f>M$15</f>
        <v>$2019-20</v>
      </c>
      <c r="N88" s="128" t="str">
        <f>N$15</f>
        <v>$2020-21</v>
      </c>
      <c r="O88" s="234"/>
      <c r="P88" s="190"/>
      <c r="R88" s="193"/>
      <c r="S88" s="103"/>
      <c r="T88" s="175"/>
      <c r="U88" s="103"/>
      <c r="V88" s="103"/>
      <c r="W88" s="103"/>
      <c r="X88" s="103"/>
      <c r="Y88" s="103"/>
      <c r="Z88" s="103"/>
      <c r="AA88" s="103"/>
      <c r="AB88" s="103"/>
      <c r="AC88" s="103"/>
    </row>
    <row r="89" spans="2:29">
      <c r="B89" s="64"/>
      <c r="C89" s="52"/>
      <c r="D89" s="52"/>
      <c r="E89" s="52"/>
      <c r="F89" s="49"/>
      <c r="G89" s="49"/>
      <c r="H89" s="49"/>
      <c r="I89" s="308"/>
      <c r="J89" s="190"/>
      <c r="K89" s="190"/>
      <c r="L89" s="190"/>
      <c r="M89" s="190"/>
      <c r="N89" s="190"/>
      <c r="O89" s="234"/>
      <c r="P89" s="190"/>
      <c r="R89" s="193"/>
      <c r="S89" s="103"/>
      <c r="T89" s="175"/>
      <c r="U89" s="103"/>
      <c r="V89" s="103"/>
      <c r="W89" s="103"/>
      <c r="X89" s="103"/>
      <c r="Y89" s="103"/>
      <c r="Z89" s="103"/>
      <c r="AA89" s="103"/>
      <c r="AB89" s="103"/>
      <c r="AC89" s="103"/>
    </row>
    <row r="90" spans="2:29">
      <c r="B90" s="64" t="s">
        <v>45</v>
      </c>
      <c r="C90" s="52"/>
      <c r="D90" s="52"/>
      <c r="E90" s="52"/>
      <c r="F90" s="49"/>
      <c r="G90" s="49"/>
      <c r="H90" s="49"/>
      <c r="I90" s="308"/>
      <c r="J90" s="190"/>
      <c r="K90" s="190"/>
      <c r="L90" s="190"/>
      <c r="M90" s="190"/>
      <c r="N90" s="190"/>
      <c r="O90" s="234"/>
      <c r="P90" s="190"/>
      <c r="R90" s="193"/>
      <c r="S90" s="103"/>
      <c r="T90" s="175"/>
      <c r="U90" s="103"/>
      <c r="V90" s="103"/>
      <c r="W90" s="103"/>
      <c r="X90" s="103"/>
      <c r="Y90" s="103"/>
      <c r="Z90" s="103"/>
      <c r="AA90" s="103"/>
      <c r="AB90" s="103"/>
      <c r="AC90" s="103"/>
    </row>
    <row r="91" spans="2:29" ht="12" customHeight="1">
      <c r="B91" s="74" t="str">
        <f>'Updated Volumes'!B$31</f>
        <v xml:space="preserve">Energy Australia </v>
      </c>
      <c r="C91" s="67" t="str">
        <f>Outputs!$C$148</f>
        <v>$/KL</v>
      </c>
      <c r="D91" s="52"/>
      <c r="E91" s="49"/>
      <c r="F91" s="112">
        <v>0.3916320430805259</v>
      </c>
      <c r="G91" s="112">
        <v>0.3916320430805259</v>
      </c>
      <c r="H91" s="112">
        <v>0.3916320430805259</v>
      </c>
      <c r="I91" s="311">
        <v>0.3916320430805259</v>
      </c>
      <c r="J91" s="190"/>
      <c r="K91" s="113">
        <f>ROUND(F91,2)*(1+'2017 Determination - Revenue'!$F$18)</f>
        <v>0.39818999999999999</v>
      </c>
      <c r="L91" s="113">
        <f>ROUND((ROUND(G91,2)*(1+'2017 Determination - Revenue'!$F$18)),2)*(1+'2017 Determination - Revenue'!$G$22)</f>
        <v>0.40759999999999996</v>
      </c>
      <c r="M91" s="113">
        <f>ROUND((ROUND(H91,2)*(1+'2017 Determination - Revenue'!$F$18)),2)*(1+'2017 Determination - Revenue'!$H$22)</f>
        <v>0.41320000000000001</v>
      </c>
      <c r="N91" s="113">
        <f>ROUND((ROUND(I91,2)*(1+'2017 Determination - Revenue'!$F$18)),2)*(1+'2017 Determination - Revenue'!$I$22)</f>
        <v>0.42160000000000003</v>
      </c>
      <c r="O91" s="234"/>
      <c r="P91" s="190"/>
      <c r="R91" s="193"/>
      <c r="S91" s="103"/>
      <c r="T91" s="175"/>
      <c r="U91" s="103"/>
      <c r="V91" s="103"/>
      <c r="W91" s="103"/>
      <c r="X91" s="103"/>
      <c r="Y91" s="103"/>
      <c r="Z91" s="103"/>
      <c r="AA91" s="103"/>
      <c r="AB91" s="103"/>
      <c r="AC91" s="103"/>
    </row>
    <row r="92" spans="2:29" s="103" customFormat="1" ht="12" customHeight="1">
      <c r="B92" s="74" t="str">
        <f>'Updated Volumes'!B$32</f>
        <v xml:space="preserve">Minor customers (raw) </v>
      </c>
      <c r="C92" s="67" t="str">
        <f>Outputs!$C$148</f>
        <v>$/KL</v>
      </c>
      <c r="D92" s="52"/>
      <c r="E92" s="49"/>
      <c r="F92" s="112">
        <v>0.3916320430805259</v>
      </c>
      <c r="G92" s="112">
        <v>0.3916320430805259</v>
      </c>
      <c r="H92" s="112">
        <v>0.3916320430805259</v>
      </c>
      <c r="I92" s="311">
        <v>0.3916320430805259</v>
      </c>
      <c r="J92" s="190"/>
      <c r="K92" s="113">
        <f>ROUND(F92,2)*(1+'2017 Determination - Revenue'!$F$18)</f>
        <v>0.39818999999999999</v>
      </c>
      <c r="L92" s="113">
        <f>ROUND((ROUND(G92,2)*(1+'2017 Determination - Revenue'!$F$18)),2)*(1+'2017 Determination - Revenue'!$G$22)</f>
        <v>0.40759999999999996</v>
      </c>
      <c r="M92" s="113">
        <f>ROUND((ROUND(H92,2)*(1+'2017 Determination - Revenue'!$F$18)),2)*(1+'2017 Determination - Revenue'!$H$22)</f>
        <v>0.41320000000000001</v>
      </c>
      <c r="N92" s="113">
        <f>ROUND((ROUND(I92,2)*(1+'2017 Determination - Revenue'!$F$18)),2)*(1+'2017 Determination - Revenue'!$I$22)</f>
        <v>0.42160000000000003</v>
      </c>
      <c r="O92" s="234"/>
      <c r="P92" s="190"/>
      <c r="R92" s="193"/>
      <c r="T92" s="175"/>
    </row>
    <row r="93" spans="2:29">
      <c r="B93" s="74" t="str">
        <f>'Updated Volumes'!B$33</f>
        <v xml:space="preserve">Minor customers (filtered) </v>
      </c>
      <c r="C93" s="67" t="str">
        <f>Outputs!$C$148</f>
        <v>$/KL</v>
      </c>
      <c r="D93" s="52"/>
      <c r="E93" s="49"/>
      <c r="F93" s="112">
        <v>0.7580403009206228</v>
      </c>
      <c r="G93" s="112">
        <v>0.7580403009206228</v>
      </c>
      <c r="H93" s="112">
        <v>0.7580403009206228</v>
      </c>
      <c r="I93" s="311">
        <v>0.7580403009206228</v>
      </c>
      <c r="J93" s="190"/>
      <c r="K93" s="113">
        <f>ROUND(F93,2)*(1+'2017 Determination - Revenue'!$F$18)</f>
        <v>0.77595999999999998</v>
      </c>
      <c r="L93" s="113">
        <f>ROUND((ROUND(G93,2)*(1+'2017 Determination - Revenue'!$F$18)),2)*(1+'2017 Determination - Revenue'!$G$22)</f>
        <v>0.79481999999999997</v>
      </c>
      <c r="M93" s="113">
        <f>ROUND((ROUND(H93,2)*(1+'2017 Determination - Revenue'!$F$18)),2)*(1+'2017 Determination - Revenue'!$H$22)</f>
        <v>0.80574000000000001</v>
      </c>
      <c r="N93" s="113">
        <f>ROUND((ROUND(I93,2)*(1+'2017 Determination - Revenue'!$F$18)),2)*(1+'2017 Determination - Revenue'!$I$22)</f>
        <v>0.82212000000000007</v>
      </c>
      <c r="O93" s="234"/>
      <c r="P93" s="190"/>
      <c r="R93" s="185"/>
      <c r="S93" s="103"/>
      <c r="T93" s="175"/>
      <c r="U93" s="103"/>
      <c r="V93" s="103"/>
      <c r="W93" s="103"/>
      <c r="X93" s="103"/>
      <c r="Y93" s="103"/>
      <c r="Z93" s="103"/>
      <c r="AA93" s="103"/>
      <c r="AB93" s="103"/>
      <c r="AC93" s="103"/>
    </row>
    <row r="94" spans="2:29">
      <c r="B94" s="74"/>
      <c r="C94" s="52"/>
      <c r="D94" s="52"/>
      <c r="E94" s="49"/>
      <c r="F94" s="49"/>
      <c r="G94" s="49"/>
      <c r="H94" s="49"/>
      <c r="I94" s="308"/>
      <c r="J94" s="190"/>
      <c r="K94" s="190"/>
      <c r="L94" s="113"/>
      <c r="M94" s="113"/>
      <c r="N94" s="113"/>
      <c r="O94" s="234"/>
      <c r="P94" s="190"/>
      <c r="R94" s="193"/>
      <c r="S94" s="103"/>
      <c r="T94" s="175"/>
      <c r="U94" s="103"/>
      <c r="V94" s="103"/>
      <c r="W94" s="103"/>
      <c r="X94" s="103"/>
      <c r="Y94" s="103"/>
      <c r="Z94" s="103"/>
      <c r="AA94" s="103"/>
      <c r="AB94" s="103"/>
      <c r="AC94" s="103"/>
    </row>
    <row r="95" spans="2:29">
      <c r="B95" s="64" t="s">
        <v>46</v>
      </c>
      <c r="C95" s="52"/>
      <c r="D95" s="52"/>
      <c r="E95" s="49"/>
      <c r="F95" s="49"/>
      <c r="G95" s="49"/>
      <c r="H95" s="49"/>
      <c r="I95" s="308"/>
      <c r="J95" s="190"/>
      <c r="K95" s="190"/>
      <c r="L95" s="113"/>
      <c r="M95" s="113"/>
      <c r="N95" s="113"/>
      <c r="O95" s="234"/>
      <c r="P95" s="190"/>
      <c r="R95" s="193"/>
      <c r="S95" s="103"/>
      <c r="T95" s="175"/>
      <c r="U95" s="103"/>
      <c r="V95" s="103"/>
      <c r="W95" s="103"/>
      <c r="X95" s="103"/>
      <c r="Y95" s="103"/>
      <c r="Z95" s="103"/>
      <c r="AA95" s="103"/>
      <c r="AB95" s="103"/>
      <c r="AC95" s="103"/>
    </row>
    <row r="96" spans="2:29">
      <c r="B96" s="74" t="str">
        <f>'Updated Volumes'!B$31</f>
        <v xml:space="preserve">Energy Australia </v>
      </c>
      <c r="C96" s="67" t="str">
        <f>Outputs!$C$148</f>
        <v>$/KL</v>
      </c>
      <c r="D96" s="52"/>
      <c r="E96" s="49"/>
      <c r="F96" s="112">
        <v>0.24476949700441</v>
      </c>
      <c r="G96" s="112">
        <v>0.24476949700441</v>
      </c>
      <c r="H96" s="112">
        <v>0.24476949700441</v>
      </c>
      <c r="I96" s="311">
        <v>0.24476949700441</v>
      </c>
      <c r="J96" s="190"/>
      <c r="K96" s="113">
        <f>ROUND(F96,2)*(1+'2017 Determination - Revenue'!$F$18)</f>
        <v>0.24503999999999998</v>
      </c>
      <c r="L96" s="113">
        <f>ROUND((ROUND(G96,2)*(1+'2017 Determination - Revenue'!$F$18)),2)*(1+'2017 Determination - Revenue'!$G$22)</f>
        <v>0.25474999999999998</v>
      </c>
      <c r="M96" s="113">
        <f>ROUND((ROUND(H96,2)*(1+'2017 Determination - Revenue'!$F$18)),2)*(1+'2017 Determination - Revenue'!$H$22)</f>
        <v>0.25824999999999998</v>
      </c>
      <c r="N96" s="113">
        <f>ROUND((ROUND(I96,2)*(1+'2017 Determination - Revenue'!$F$18)),2)*(1+'2017 Determination - Revenue'!$I$22)</f>
        <v>0.26350000000000001</v>
      </c>
      <c r="O96" s="234"/>
      <c r="P96" s="190"/>
      <c r="R96" s="193"/>
      <c r="S96" s="103"/>
      <c r="T96" s="175"/>
      <c r="U96" s="103"/>
      <c r="V96" s="103"/>
      <c r="W96" s="103"/>
      <c r="X96" s="103"/>
      <c r="Y96" s="103"/>
      <c r="Z96" s="103"/>
      <c r="AA96" s="103"/>
      <c r="AB96" s="103"/>
      <c r="AC96" s="103"/>
    </row>
    <row r="97" spans="2:35" s="103" customFormat="1">
      <c r="B97" s="74" t="str">
        <f>'Updated Volumes'!B$32</f>
        <v xml:space="preserve">Minor customers (raw) </v>
      </c>
      <c r="C97" s="67" t="str">
        <f>Outputs!$C$148</f>
        <v>$/KL</v>
      </c>
      <c r="D97" s="52"/>
      <c r="E97" s="49"/>
      <c r="F97" s="112">
        <v>0.24476949700441</v>
      </c>
      <c r="G97" s="112">
        <v>0.24476949700441</v>
      </c>
      <c r="H97" s="112">
        <v>0.24476949700441</v>
      </c>
      <c r="I97" s="311">
        <v>0.24476949700441</v>
      </c>
      <c r="J97" s="190"/>
      <c r="K97" s="113">
        <f>ROUND(F97,2)*(1+'2017 Determination - Revenue'!$F$18)</f>
        <v>0.24503999999999998</v>
      </c>
      <c r="L97" s="113">
        <f>ROUND((ROUND(G97,2)*(1+'2017 Determination - Revenue'!$F$18)),2)*(1+'2017 Determination - Revenue'!$G$22)</f>
        <v>0.25474999999999998</v>
      </c>
      <c r="M97" s="113">
        <f>ROUND((ROUND(H97,2)*(1+'2017 Determination - Revenue'!$F$18)),2)*(1+'2017 Determination - Revenue'!$H$22)</f>
        <v>0.25824999999999998</v>
      </c>
      <c r="N97" s="113">
        <f>ROUND((ROUND(I97,2)*(1+'2017 Determination - Revenue'!$F$18)),2)*(1+'2017 Determination - Revenue'!$I$22)</f>
        <v>0.26350000000000001</v>
      </c>
      <c r="O97" s="234"/>
      <c r="P97" s="190"/>
      <c r="R97" s="193"/>
      <c r="T97" s="175"/>
    </row>
    <row r="98" spans="2:35">
      <c r="B98" s="74" t="str">
        <f>'Updated Volumes'!B$33</f>
        <v xml:space="preserve">Minor customers (filtered) </v>
      </c>
      <c r="C98" s="67" t="str">
        <f>Outputs!$C$148</f>
        <v>$/KL</v>
      </c>
      <c r="D98" s="52"/>
      <c r="E98" s="49"/>
      <c r="F98" s="112">
        <v>0.45655147010905456</v>
      </c>
      <c r="G98" s="112">
        <v>0.45655147010905456</v>
      </c>
      <c r="H98" s="112">
        <v>0.45655147010905456</v>
      </c>
      <c r="I98" s="311">
        <v>0.45655147010905456</v>
      </c>
      <c r="J98" s="190"/>
      <c r="K98" s="113">
        <f>ROUND(F98,2)*(1+'2017 Determination - Revenue'!$F$18)</f>
        <v>0.46965999999999997</v>
      </c>
      <c r="L98" s="113">
        <f>ROUND((ROUND(G98,2)*(1+'2017 Determination - Revenue'!$F$18)),2)*(1+'2017 Determination - Revenue'!$G$22)</f>
        <v>0.47892999999999991</v>
      </c>
      <c r="M98" s="113">
        <f>ROUND((ROUND(H98,2)*(1+'2017 Determination - Revenue'!$F$18)),2)*(1+'2017 Determination - Revenue'!$H$22)</f>
        <v>0.48550999999999994</v>
      </c>
      <c r="N98" s="113">
        <f>ROUND((ROUND(I98,2)*(1+'2017 Determination - Revenue'!$F$18)),2)*(1+'2017 Determination - Revenue'!$I$22)</f>
        <v>0.49537999999999999</v>
      </c>
      <c r="O98" s="234"/>
      <c r="P98" s="190"/>
      <c r="R98" s="193"/>
      <c r="S98" s="103"/>
      <c r="T98" s="175"/>
      <c r="U98" s="103"/>
      <c r="V98" s="103"/>
      <c r="W98" s="103"/>
      <c r="X98" s="103"/>
      <c r="Y98" s="103"/>
      <c r="Z98" s="103"/>
      <c r="AA98" s="103"/>
      <c r="AB98" s="103"/>
      <c r="AC98" s="103"/>
    </row>
    <row r="99" spans="2:35">
      <c r="B99" s="74"/>
      <c r="C99" s="52"/>
      <c r="D99" s="52"/>
      <c r="E99" s="49"/>
      <c r="F99" s="49"/>
      <c r="G99" s="49"/>
      <c r="H99" s="49"/>
      <c r="I99" s="308"/>
      <c r="J99" s="190"/>
      <c r="K99" s="190"/>
      <c r="L99" s="113"/>
      <c r="M99" s="113"/>
      <c r="N99" s="113"/>
      <c r="O99" s="234"/>
      <c r="P99" s="190"/>
      <c r="R99" s="193"/>
      <c r="S99" s="103"/>
      <c r="T99" s="175"/>
      <c r="U99" s="103"/>
      <c r="V99" s="103"/>
      <c r="W99" s="103"/>
      <c r="X99" s="103"/>
      <c r="Y99" s="103"/>
      <c r="Z99" s="103"/>
      <c r="AA99" s="103"/>
      <c r="AB99" s="103"/>
      <c r="AC99" s="103"/>
    </row>
    <row r="100" spans="2:35">
      <c r="B100" s="64" t="s">
        <v>47</v>
      </c>
      <c r="C100" s="52"/>
      <c r="D100" s="52"/>
      <c r="E100" s="49"/>
      <c r="F100" s="49"/>
      <c r="G100" s="49"/>
      <c r="H100" s="49"/>
      <c r="I100" s="308"/>
      <c r="J100" s="190"/>
      <c r="K100" s="113"/>
      <c r="L100" s="113"/>
      <c r="M100" s="113"/>
      <c r="N100" s="113"/>
      <c r="O100" s="234"/>
      <c r="P100" s="190"/>
      <c r="R100" s="193"/>
      <c r="S100" s="103"/>
      <c r="T100" s="175"/>
      <c r="U100" s="103"/>
      <c r="V100" s="103"/>
      <c r="W100" s="103"/>
      <c r="X100" s="103"/>
      <c r="Y100" s="103"/>
      <c r="Z100" s="103"/>
      <c r="AA100" s="103"/>
      <c r="AB100" s="103"/>
      <c r="AC100" s="103"/>
    </row>
    <row r="101" spans="2:35">
      <c r="B101" s="74" t="str">
        <f>'Updated Volumes'!B$31</f>
        <v xml:space="preserve">Energy Australia </v>
      </c>
      <c r="C101" s="67" t="str">
        <f>Outputs!$C$148</f>
        <v>$/KL</v>
      </c>
      <c r="D101" s="52"/>
      <c r="E101" s="49"/>
      <c r="F101" s="180">
        <f>F91+F96</f>
        <v>0.63640154008493588</v>
      </c>
      <c r="G101" s="180">
        <f>G91+G96</f>
        <v>0.63640154008493588</v>
      </c>
      <c r="H101" s="180">
        <f>H91+H96</f>
        <v>0.63640154008493588</v>
      </c>
      <c r="I101" s="315">
        <f>I91+I96</f>
        <v>0.63640154008493588</v>
      </c>
      <c r="J101" s="190"/>
      <c r="K101" s="113">
        <f>ROUND((ROUND(F91,2)*(1+'2017 Determination - Revenue'!$F$18)),2)+ROUND((ROUND(F96,2)*(1+'2017 Determination - Revenue'!$F$18)),2)</f>
        <v>0.65</v>
      </c>
      <c r="L101" s="113">
        <f>ROUND($K$101,2)*(1+'2017 Determination - Revenue'!G$22)</f>
        <v>0.66234999999999999</v>
      </c>
      <c r="M101" s="113">
        <f>ROUND($K$101,2)*(1+'2017 Determination - Revenue'!H$22)</f>
        <v>0.67144999999999999</v>
      </c>
      <c r="N101" s="113">
        <f>ROUND($K$101,2)*(1+'2017 Determination - Revenue'!I$22)</f>
        <v>0.68510000000000004</v>
      </c>
      <c r="O101" s="234"/>
      <c r="P101" s="190"/>
      <c r="Q101" s="196"/>
      <c r="R101" s="193"/>
      <c r="S101" s="196"/>
      <c r="T101" s="175"/>
      <c r="U101" s="196"/>
      <c r="V101" s="196"/>
      <c r="W101" s="196"/>
      <c r="X101" s="196"/>
      <c r="Y101" s="196"/>
      <c r="Z101" s="196"/>
      <c r="AA101" s="196"/>
      <c r="AB101" s="196"/>
      <c r="AC101" s="196"/>
      <c r="AD101" s="196"/>
      <c r="AE101" s="196"/>
      <c r="AF101" s="196"/>
      <c r="AG101" s="196"/>
      <c r="AH101" s="196"/>
      <c r="AI101" s="196"/>
    </row>
    <row r="102" spans="2:35" s="103" customFormat="1">
      <c r="B102" s="74" t="str">
        <f>'Updated Volumes'!B$32</f>
        <v xml:space="preserve">Minor customers (raw) </v>
      </c>
      <c r="C102" s="67" t="str">
        <f>Outputs!$C$148</f>
        <v>$/KL</v>
      </c>
      <c r="D102" s="52"/>
      <c r="E102" s="49"/>
      <c r="F102" s="180">
        <f t="shared" ref="F102:H103" si="1">F92+F97</f>
        <v>0.63640154008493588</v>
      </c>
      <c r="G102" s="180">
        <f t="shared" si="1"/>
        <v>0.63640154008493588</v>
      </c>
      <c r="H102" s="180">
        <f t="shared" si="1"/>
        <v>0.63640154008493588</v>
      </c>
      <c r="I102" s="315">
        <f t="shared" ref="I102" si="2">I92+I97</f>
        <v>0.63640154008493588</v>
      </c>
      <c r="J102" s="190"/>
      <c r="K102" s="113">
        <f>ROUND((ROUND(F92,2)*(1+'2017 Determination - Revenue'!$F$18)),2)+ROUND((ROUND(F97,2)*(1+'2017 Determination - Revenue'!$F$18)),2)</f>
        <v>0.65</v>
      </c>
      <c r="L102" s="113">
        <f>ROUND($K$102,2)*(1+'2017 Determination - Revenue'!G$22)</f>
        <v>0.66234999999999999</v>
      </c>
      <c r="M102" s="113">
        <f>ROUND($K$102,2)*(1+'2017 Determination - Revenue'!H$22)</f>
        <v>0.67144999999999999</v>
      </c>
      <c r="N102" s="113">
        <f>ROUND($K$102,2)*(1+'2017 Determination - Revenue'!I$22)</f>
        <v>0.68510000000000004</v>
      </c>
      <c r="O102" s="234"/>
      <c r="P102" s="190"/>
      <c r="Q102" s="196"/>
      <c r="R102" s="193"/>
      <c r="S102" s="196"/>
      <c r="T102" s="175"/>
      <c r="U102" s="196"/>
      <c r="V102" s="196"/>
      <c r="W102" s="196"/>
      <c r="X102" s="196"/>
      <c r="Y102" s="196"/>
      <c r="Z102" s="196"/>
      <c r="AA102" s="196"/>
      <c r="AB102" s="196"/>
      <c r="AC102" s="196"/>
      <c r="AD102" s="196"/>
      <c r="AE102" s="196"/>
      <c r="AF102" s="196"/>
      <c r="AG102" s="196"/>
      <c r="AH102" s="196"/>
      <c r="AI102" s="196"/>
    </row>
    <row r="103" spans="2:35">
      <c r="B103" s="74" t="str">
        <f>'Updated Volumes'!B$33</f>
        <v xml:space="preserve">Minor customers (filtered) </v>
      </c>
      <c r="C103" s="67" t="str">
        <f>Outputs!$C$148</f>
        <v>$/KL</v>
      </c>
      <c r="D103" s="52"/>
      <c r="E103" s="49"/>
      <c r="F103" s="180">
        <f t="shared" si="1"/>
        <v>1.2145917710296774</v>
      </c>
      <c r="G103" s="180">
        <f t="shared" si="1"/>
        <v>1.2145917710296774</v>
      </c>
      <c r="H103" s="180">
        <f t="shared" si="1"/>
        <v>1.2145917710296774</v>
      </c>
      <c r="I103" s="315">
        <f t="shared" ref="I103" si="3">I93+I98</f>
        <v>1.2145917710296774</v>
      </c>
      <c r="J103" s="190"/>
      <c r="K103" s="113">
        <f>ROUND((ROUND(F93,2)*(1+'2017 Determination - Revenue'!$F$18)),2)+ROUND((ROUND(F98,2)*(1+'2017 Determination - Revenue'!$F$18)),2)</f>
        <v>1.25</v>
      </c>
      <c r="L103" s="113">
        <f>ROUND($K$103,2)*(1+'2017 Determination - Revenue'!G$22)</f>
        <v>1.2737499999999999</v>
      </c>
      <c r="M103" s="113">
        <f>ROUND($K$103,2)*(1+'2017 Determination - Revenue'!H$22)</f>
        <v>1.2912499999999998</v>
      </c>
      <c r="N103" s="113">
        <f>ROUND($K$103,2)*(1+'2017 Determination - Revenue'!I$22)</f>
        <v>1.3175000000000001</v>
      </c>
      <c r="O103" s="234"/>
      <c r="P103" s="190"/>
      <c r="Q103" s="196"/>
      <c r="R103" s="193"/>
      <c r="S103" s="196"/>
      <c r="T103" s="175"/>
      <c r="U103" s="196"/>
      <c r="V103" s="196"/>
      <c r="W103" s="196"/>
      <c r="X103" s="196"/>
      <c r="Y103" s="196"/>
      <c r="Z103" s="196"/>
      <c r="AA103" s="196"/>
      <c r="AB103" s="196"/>
      <c r="AC103" s="196"/>
      <c r="AD103" s="196"/>
      <c r="AE103" s="196"/>
      <c r="AF103" s="196"/>
      <c r="AG103" s="196"/>
      <c r="AH103" s="196"/>
      <c r="AI103" s="196"/>
    </row>
    <row r="104" spans="2:35">
      <c r="B104" s="75"/>
      <c r="C104" s="72"/>
      <c r="D104" s="72"/>
      <c r="E104" s="72"/>
      <c r="F104" s="72"/>
      <c r="G104" s="72"/>
      <c r="H104" s="72"/>
      <c r="I104" s="310"/>
      <c r="J104" s="176"/>
      <c r="K104" s="54"/>
      <c r="L104" s="54"/>
      <c r="M104" s="54"/>
      <c r="N104" s="176"/>
      <c r="O104" s="235"/>
      <c r="P104" s="190"/>
      <c r="Q104" s="196"/>
      <c r="R104" s="193"/>
      <c r="S104" s="196"/>
      <c r="T104" s="175"/>
      <c r="U104" s="196"/>
      <c r="V104" s="196"/>
      <c r="W104" s="196"/>
      <c r="X104" s="196"/>
      <c r="Y104" s="196"/>
      <c r="Z104" s="196"/>
      <c r="AA104" s="196"/>
      <c r="AB104" s="196"/>
      <c r="AC104" s="196"/>
      <c r="AD104" s="196"/>
      <c r="AE104" s="196"/>
      <c r="AF104" s="196"/>
      <c r="AG104" s="196"/>
      <c r="AH104" s="196"/>
      <c r="AI104" s="196"/>
    </row>
    <row r="105" spans="2:35">
      <c r="Q105" s="196"/>
      <c r="R105" s="193"/>
      <c r="S105" s="196"/>
      <c r="T105" s="175"/>
      <c r="U105" s="196"/>
      <c r="V105" s="196"/>
      <c r="W105" s="196"/>
      <c r="X105" s="196"/>
      <c r="Y105" s="196"/>
      <c r="Z105" s="196"/>
      <c r="AA105" s="196"/>
      <c r="AB105" s="196"/>
      <c r="AC105" s="196"/>
      <c r="AD105" s="196"/>
      <c r="AE105" s="196"/>
      <c r="AF105" s="196"/>
      <c r="AG105" s="196"/>
      <c r="AH105" s="196"/>
      <c r="AI105" s="196"/>
    </row>
    <row r="106" spans="2:35">
      <c r="Q106" s="196"/>
      <c r="R106" s="193"/>
      <c r="S106" s="196"/>
      <c r="T106" s="175"/>
      <c r="U106" s="196"/>
      <c r="V106" s="196"/>
      <c r="W106" s="196"/>
      <c r="X106" s="196"/>
      <c r="Y106" s="196"/>
      <c r="Z106" s="196"/>
      <c r="AA106" s="196"/>
      <c r="AB106" s="196"/>
      <c r="AC106" s="196"/>
      <c r="AD106" s="196"/>
      <c r="AE106" s="196"/>
      <c r="AF106" s="196"/>
      <c r="AG106" s="196"/>
      <c r="AH106" s="196"/>
      <c r="AI106" s="196"/>
    </row>
    <row r="112" spans="2:35" hidden="1"/>
    <row r="113" ht="12.65" hidden="1" customHeight="1"/>
    <row r="114" hidden="1"/>
    <row r="115" hidden="1"/>
    <row r="116" hidden="1"/>
    <row r="117" hidden="1"/>
    <row r="118" hidden="1"/>
    <row r="119" hidden="1"/>
    <row r="120" hidden="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D5"/>
  <sheetViews>
    <sheetView showGridLines="0" workbookViewId="0"/>
  </sheetViews>
  <sheetFormatPr defaultRowHeight="11.5"/>
  <sheetData>
    <row r="5" spans="4:4" ht="15.5">
      <c r="D5" s="1"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B2:W379"/>
  <sheetViews>
    <sheetView showGridLines="0" tabSelected="1" topLeftCell="A99" zoomScale="102" zoomScaleNormal="85" workbookViewId="0">
      <selection activeCell="J338" sqref="J338"/>
    </sheetView>
  </sheetViews>
  <sheetFormatPr defaultColWidth="9.09765625" defaultRowHeight="11.5" outlineLevelRow="1"/>
  <cols>
    <col min="1" max="1" width="2.69921875" style="31" customWidth="1"/>
    <col min="2" max="2" width="40.69921875" style="31" customWidth="1"/>
    <col min="3" max="3" width="9" style="31" customWidth="1"/>
    <col min="4" max="5" width="5.69921875" style="31" customWidth="1"/>
    <col min="6" max="6" width="12.09765625" style="31" customWidth="1"/>
    <col min="7" max="7" width="13.09765625" style="31" customWidth="1"/>
    <col min="8" max="8" width="13.09765625" style="106" customWidth="1"/>
    <col min="9" max="9" width="17.3984375" style="31" bestFit="1" customWidth="1"/>
    <col min="10" max="10" width="19.3984375" style="31" customWidth="1"/>
    <col min="11" max="11" width="15.8984375" style="106" customWidth="1"/>
    <col min="12" max="12" width="21.09765625" style="31" customWidth="1"/>
    <col min="13" max="13" width="20.8984375" style="106" customWidth="1"/>
    <col min="14" max="14" width="14.3984375" style="106" customWidth="1"/>
    <col min="15" max="16" width="21.09765625" style="106" customWidth="1"/>
    <col min="17" max="17" width="19" style="106" customWidth="1"/>
    <col min="18" max="18" width="8" style="106" customWidth="1"/>
    <col min="19" max="19" width="9.09765625" style="193"/>
    <col min="20" max="22" width="14.59765625" style="31" customWidth="1"/>
    <col min="23" max="16384" width="9.09765625" style="31"/>
  </cols>
  <sheetData>
    <row r="2" spans="2:19" ht="18">
      <c r="B2" s="34" t="s">
        <v>127</v>
      </c>
    </row>
    <row r="3" spans="2:19">
      <c r="B3" s="31" t="s">
        <v>38</v>
      </c>
    </row>
    <row r="4" spans="2:19">
      <c r="J4" s="106"/>
    </row>
    <row r="5" spans="2:19">
      <c r="B5" s="37" t="s">
        <v>28</v>
      </c>
      <c r="C5" s="37"/>
      <c r="D5" s="37"/>
      <c r="J5" s="38" t="s">
        <v>29</v>
      </c>
      <c r="K5" s="31"/>
    </row>
    <row r="6" spans="2:19" s="106" customFormat="1">
      <c r="B6" s="194" t="str">
        <f>B20</f>
        <v xml:space="preserve">CHARGES </v>
      </c>
      <c r="C6" s="238"/>
      <c r="D6" s="238"/>
      <c r="E6" s="238"/>
      <c r="F6" s="238"/>
      <c r="G6" s="238"/>
      <c r="H6" s="238"/>
      <c r="I6" s="238"/>
      <c r="J6" s="181"/>
      <c r="K6" s="193"/>
      <c r="L6" s="193"/>
      <c r="M6" s="193"/>
      <c r="N6" s="193"/>
      <c r="O6" s="193"/>
      <c r="P6" s="193"/>
      <c r="Q6" s="193"/>
      <c r="R6" s="193"/>
      <c r="S6" s="193"/>
    </row>
    <row r="7" spans="2:19" s="79" customFormat="1">
      <c r="B7" s="190" t="str">
        <f>B22</f>
        <v>TABLE 4.1 - TOTAL CHARGES FOR MDB CUSTOMERS</v>
      </c>
      <c r="C7" s="216"/>
      <c r="D7" s="216"/>
      <c r="E7" s="216"/>
      <c r="F7" s="216"/>
      <c r="G7" s="216"/>
      <c r="H7" s="216"/>
      <c r="I7" s="216"/>
      <c r="J7" s="216">
        <f>ROW(B22)</f>
        <v>22</v>
      </c>
      <c r="K7" s="256"/>
      <c r="L7" s="256"/>
      <c r="M7" s="256"/>
      <c r="N7" s="256"/>
      <c r="O7" s="256"/>
      <c r="P7" s="256"/>
      <c r="Q7" s="256"/>
      <c r="R7" s="256"/>
      <c r="S7" s="256"/>
    </row>
    <row r="8" spans="2:19">
      <c r="B8" s="190" t="str">
        <f>B63</f>
        <v>TABLE 4.2 - WaterNSW CHARGES</v>
      </c>
      <c r="C8" s="190"/>
      <c r="D8" s="190"/>
      <c r="E8" s="190"/>
      <c r="F8" s="190"/>
      <c r="G8" s="190"/>
      <c r="H8" s="190"/>
      <c r="I8" s="190"/>
      <c r="J8" s="190">
        <f>ROW(B63)</f>
        <v>63</v>
      </c>
      <c r="K8" s="193"/>
      <c r="L8" s="193"/>
      <c r="M8" s="193"/>
      <c r="N8" s="193"/>
      <c r="O8" s="193"/>
      <c r="P8" s="193"/>
      <c r="Q8" s="193"/>
      <c r="R8" s="193"/>
    </row>
    <row r="9" spans="2:19">
      <c r="B9" s="190" t="str">
        <f>B103</f>
        <v>TABLE 4.3 - MDBA/BRC CHARGES</v>
      </c>
      <c r="C9" s="190"/>
      <c r="D9" s="190"/>
      <c r="E9" s="190"/>
      <c r="F9" s="190"/>
      <c r="G9" s="190"/>
      <c r="H9" s="190"/>
      <c r="I9" s="190"/>
      <c r="J9" s="190">
        <f>ROW(B103)</f>
        <v>103</v>
      </c>
      <c r="K9" s="193"/>
      <c r="L9" s="193"/>
      <c r="M9" s="193"/>
      <c r="N9" s="193"/>
      <c r="O9" s="193"/>
      <c r="P9" s="193"/>
      <c r="Q9" s="193"/>
      <c r="R9" s="193"/>
    </row>
    <row r="10" spans="2:19" s="106" customFormat="1">
      <c r="B10" s="190" t="str">
        <f>B143</f>
        <v>TABLE 4.4 - FISH RIVER WATER SUPPLY SCHEME CHARGES</v>
      </c>
      <c r="C10" s="190"/>
      <c r="D10" s="190"/>
      <c r="E10" s="190"/>
      <c r="F10" s="190"/>
      <c r="G10" s="190"/>
      <c r="H10" s="190"/>
      <c r="I10" s="190"/>
      <c r="J10" s="190">
        <f>ROW(B143)</f>
        <v>143</v>
      </c>
      <c r="K10" s="193"/>
      <c r="L10" s="193"/>
      <c r="M10" s="193"/>
      <c r="N10" s="193"/>
      <c r="O10" s="193"/>
      <c r="P10" s="193"/>
      <c r="Q10" s="193"/>
      <c r="R10" s="193"/>
      <c r="S10" s="193"/>
    </row>
    <row r="11" spans="2:19" s="106" customFormat="1">
      <c r="B11" s="246" t="str">
        <f>B164</f>
        <v xml:space="preserve">CUSTOMER BILLS </v>
      </c>
      <c r="C11" s="190"/>
      <c r="D11" s="190"/>
      <c r="E11" s="190"/>
      <c r="F11" s="190"/>
      <c r="G11" s="190"/>
      <c r="H11" s="190"/>
      <c r="I11" s="190"/>
      <c r="J11" s="190"/>
      <c r="K11" s="193"/>
      <c r="L11" s="193"/>
      <c r="M11" s="193"/>
      <c r="N11" s="193"/>
      <c r="O11" s="193"/>
      <c r="P11" s="193"/>
      <c r="Q11" s="193"/>
      <c r="R11" s="193"/>
      <c r="S11" s="193"/>
    </row>
    <row r="12" spans="2:19" s="106" customFormat="1">
      <c r="B12" s="190" t="str">
        <f>B166</f>
        <v>TABLE 4.5 - INDICATIVE BILLS FOR HIGH SECURITY CUSTOMERS  - WaterNSW CHARGES</v>
      </c>
      <c r="C12" s="190"/>
      <c r="D12" s="190"/>
      <c r="E12" s="190"/>
      <c r="F12" s="190"/>
      <c r="G12" s="190"/>
      <c r="H12" s="190"/>
      <c r="I12" s="190"/>
      <c r="J12" s="190">
        <f>ROW(B166)</f>
        <v>166</v>
      </c>
      <c r="K12" s="193"/>
      <c r="L12" s="193"/>
      <c r="M12" s="193"/>
      <c r="N12" s="193"/>
      <c r="O12" s="193"/>
      <c r="P12" s="193"/>
      <c r="Q12" s="193"/>
      <c r="R12" s="193"/>
      <c r="S12" s="193"/>
    </row>
    <row r="13" spans="2:19" s="106" customFormat="1">
      <c r="B13" s="190" t="str">
        <f>B205</f>
        <v>TABLE 4.6 - INDICATIVE BILLS FOR GENERAL SECURITY CUSTOMERS  - WaterNSW CHARGES</v>
      </c>
      <c r="C13" s="190"/>
      <c r="D13" s="190"/>
      <c r="E13" s="190"/>
      <c r="F13" s="190"/>
      <c r="G13" s="190"/>
      <c r="H13" s="190"/>
      <c r="I13" s="190"/>
      <c r="J13" s="190">
        <f>ROW(B205)</f>
        <v>205</v>
      </c>
      <c r="K13" s="193"/>
      <c r="L13" s="193"/>
      <c r="M13" s="193"/>
      <c r="N13" s="193"/>
      <c r="O13" s="193"/>
      <c r="P13" s="193"/>
      <c r="Q13" s="193"/>
      <c r="R13" s="193"/>
      <c r="S13" s="193"/>
    </row>
    <row r="14" spans="2:19" s="106" customFormat="1">
      <c r="B14" s="190" t="str">
        <f>B244</f>
        <v>TABLE 4.7 - INDICATIVE BILLS FOR HIGH SECURITY AND GENERAL SECURITY CUSTOMERS - MDBA/BRC CHARGES</v>
      </c>
      <c r="C14" s="190"/>
      <c r="D14" s="190"/>
      <c r="E14" s="190"/>
      <c r="F14" s="190"/>
      <c r="G14" s="190"/>
      <c r="H14" s="190"/>
      <c r="I14" s="190"/>
      <c r="J14" s="190">
        <f>ROW(B244)</f>
        <v>244</v>
      </c>
      <c r="K14" s="193"/>
      <c r="L14" s="193"/>
      <c r="M14" s="193"/>
      <c r="N14" s="193"/>
      <c r="O14" s="193"/>
      <c r="P14" s="193"/>
      <c r="Q14" s="193"/>
      <c r="R14" s="193"/>
      <c r="S14" s="193"/>
    </row>
    <row r="15" spans="2:19" s="106" customFormat="1">
      <c r="B15" s="190" t="str">
        <f>B281</f>
        <v>TABLE 4.8 - INDICATIVE BILLS FOR CUSTOMERS IN THE FRWS</v>
      </c>
      <c r="C15" s="190"/>
      <c r="D15" s="190"/>
      <c r="E15" s="190"/>
      <c r="F15" s="190"/>
      <c r="G15" s="190"/>
      <c r="H15" s="190"/>
      <c r="I15" s="190"/>
      <c r="J15" s="190">
        <f>ROW(B281)</f>
        <v>281</v>
      </c>
      <c r="K15" s="193"/>
      <c r="L15" s="193"/>
      <c r="M15" s="193"/>
      <c r="N15" s="193"/>
      <c r="O15" s="193"/>
      <c r="P15" s="193"/>
      <c r="Q15" s="193"/>
      <c r="R15" s="193"/>
      <c r="S15" s="193"/>
    </row>
    <row r="16" spans="2:19" s="106" customFormat="1">
      <c r="B16" s="246" t="str">
        <f>B292</f>
        <v>REVENUE FORECASTS</v>
      </c>
      <c r="C16" s="190"/>
      <c r="D16" s="190"/>
      <c r="E16" s="190"/>
      <c r="F16" s="190"/>
      <c r="G16" s="190"/>
      <c r="H16" s="190"/>
      <c r="I16" s="190"/>
      <c r="J16" s="190"/>
      <c r="K16" s="193"/>
      <c r="L16" s="193"/>
      <c r="M16" s="193"/>
      <c r="N16" s="193"/>
      <c r="O16" s="193"/>
      <c r="P16" s="193"/>
      <c r="Q16" s="193"/>
      <c r="R16" s="193"/>
      <c r="S16" s="193"/>
    </row>
    <row r="17" spans="2:20" s="106" customFormat="1">
      <c r="B17" s="54" t="str">
        <f>B294</f>
        <v>TABLE 4.9 - Comparison of WaterNSW'S Forecast Revenue in 2020-21 under different scenarios (2016-17 $'000)</v>
      </c>
      <c r="C17" s="54"/>
      <c r="D17" s="54"/>
      <c r="E17" s="54"/>
      <c r="F17" s="54"/>
      <c r="G17" s="54"/>
      <c r="H17" s="54"/>
      <c r="I17" s="54"/>
      <c r="J17" s="54">
        <f>ROW(B294)</f>
        <v>294</v>
      </c>
      <c r="K17" s="193"/>
      <c r="L17" s="193"/>
      <c r="M17" s="193"/>
      <c r="N17" s="193"/>
      <c r="O17" s="193"/>
      <c r="P17" s="193"/>
      <c r="Q17" s="193"/>
      <c r="R17" s="193"/>
      <c r="S17" s="193"/>
    </row>
    <row r="18" spans="2:20">
      <c r="B18" s="193"/>
      <c r="C18" s="193"/>
      <c r="D18" s="193"/>
      <c r="E18" s="193"/>
      <c r="F18" s="193"/>
      <c r="G18" s="193"/>
      <c r="H18" s="193"/>
      <c r="I18" s="193"/>
      <c r="J18" s="193"/>
      <c r="K18" s="193"/>
      <c r="L18" s="193"/>
      <c r="M18" s="193"/>
      <c r="N18" s="193"/>
      <c r="O18" s="193"/>
      <c r="P18" s="193"/>
      <c r="Q18" s="193"/>
      <c r="R18" s="193"/>
    </row>
    <row r="19" spans="2:20">
      <c r="B19" s="193"/>
      <c r="C19" s="193"/>
      <c r="D19" s="193"/>
      <c r="E19" s="193"/>
      <c r="F19" s="193"/>
      <c r="G19" s="193"/>
      <c r="H19" s="193"/>
      <c r="I19" s="193"/>
      <c r="J19" s="193"/>
      <c r="K19" s="193"/>
      <c r="L19" s="193"/>
      <c r="M19" s="193"/>
      <c r="N19" s="193"/>
      <c r="O19" s="193"/>
      <c r="P19" s="193"/>
      <c r="Q19" s="193"/>
      <c r="R19" s="193"/>
    </row>
    <row r="20" spans="2:20" ht="15.5">
      <c r="B20" s="116" t="s">
        <v>99</v>
      </c>
      <c r="C20" s="115"/>
      <c r="D20" s="115"/>
      <c r="E20" s="115"/>
      <c r="F20" s="115"/>
      <c r="G20" s="115"/>
      <c r="H20" s="115"/>
      <c r="I20" s="115"/>
      <c r="J20" s="115"/>
      <c r="K20" s="115"/>
      <c r="L20" s="115"/>
      <c r="M20" s="115"/>
      <c r="N20" s="115"/>
      <c r="O20" s="115"/>
      <c r="P20" s="115"/>
      <c r="Q20" s="115"/>
      <c r="R20" s="115"/>
      <c r="S20" s="106"/>
      <c r="T20" s="193"/>
    </row>
    <row r="21" spans="2:20">
      <c r="G21" s="53"/>
      <c r="H21" s="53"/>
      <c r="I21" s="193"/>
      <c r="J21" s="193"/>
      <c r="K21" s="193"/>
      <c r="L21" s="193"/>
      <c r="M21" s="193"/>
      <c r="N21" s="193"/>
      <c r="O21" s="193"/>
      <c r="P21" s="193"/>
      <c r="Q21" s="193"/>
      <c r="R21" s="193"/>
      <c r="S21" s="106"/>
      <c r="T21" s="193"/>
    </row>
    <row r="22" spans="2:20">
      <c r="B22" s="32" t="s">
        <v>182</v>
      </c>
      <c r="G22" s="53"/>
      <c r="H22" s="53"/>
      <c r="I22" s="193"/>
      <c r="J22" s="193"/>
      <c r="K22" s="193"/>
      <c r="L22" s="193"/>
      <c r="M22" s="193"/>
      <c r="N22" s="193"/>
      <c r="O22" s="193"/>
      <c r="P22" s="193"/>
      <c r="Q22" s="193"/>
      <c r="R22" s="193"/>
      <c r="S22" s="106"/>
      <c r="T22" s="193"/>
    </row>
    <row r="23" spans="2:20" ht="23.5" customHeight="1">
      <c r="B23" s="237" t="str">
        <f>'2017 Determination - Revenue'!B$16</f>
        <v>Financial year</v>
      </c>
      <c r="C23" s="238" t="str">
        <f>'2017 Determination - Revenue'!C$28</f>
        <v>Units</v>
      </c>
      <c r="D23" s="238"/>
      <c r="E23" s="238"/>
      <c r="F23" s="210" t="str">
        <f>'2017 Determination - Revenue'!F$16</f>
        <v>2017-18</v>
      </c>
      <c r="G23" s="210" t="str">
        <f>'2017 Determination - Revenue'!G$16</f>
        <v>2018-19</v>
      </c>
      <c r="H23" s="210" t="str">
        <f>'2017 Determination - Revenue'!H$16</f>
        <v>2019-20</v>
      </c>
      <c r="I23" s="210" t="str">
        <f>'2017 Determination - Revenue'!I$16</f>
        <v>2020-21</v>
      </c>
      <c r="J23" s="181"/>
      <c r="K23" s="393" t="s">
        <v>230</v>
      </c>
      <c r="L23" s="393"/>
      <c r="M23" s="393"/>
      <c r="N23" s="181"/>
      <c r="O23" s="393" t="s">
        <v>228</v>
      </c>
      <c r="P23" s="393"/>
      <c r="Q23" s="393"/>
      <c r="R23" s="236"/>
      <c r="T23" s="193"/>
    </row>
    <row r="24" spans="2:20" s="106" customFormat="1" ht="34.4" customHeight="1">
      <c r="B24" s="209"/>
      <c r="C24" s="190"/>
      <c r="D24" s="190"/>
      <c r="E24" s="190"/>
      <c r="F24" s="213" t="s">
        <v>226</v>
      </c>
      <c r="G24" s="213" t="s">
        <v>225</v>
      </c>
      <c r="H24" s="213" t="s">
        <v>225</v>
      </c>
      <c r="I24" s="213" t="s">
        <v>225</v>
      </c>
      <c r="J24" s="182"/>
      <c r="K24" s="182" t="str">
        <f>F24</f>
        <v>As per 2017 Price Review</v>
      </c>
      <c r="L24" s="182" t="str">
        <f>G24</f>
        <v>Re-calculated using updated demand</v>
      </c>
      <c r="M24" s="182" t="s">
        <v>229</v>
      </c>
      <c r="N24" s="182"/>
      <c r="O24" s="182" t="str">
        <f>K24</f>
        <v>As per 2017 Price Review</v>
      </c>
      <c r="P24" s="182" t="str">
        <f>L24</f>
        <v>Re-calculated using updated demand</v>
      </c>
      <c r="Q24" s="182" t="s">
        <v>227</v>
      </c>
      <c r="R24" s="234"/>
      <c r="S24" s="193"/>
      <c r="T24" s="193"/>
    </row>
    <row r="25" spans="2:20">
      <c r="B25" s="209"/>
      <c r="C25" s="190"/>
      <c r="D25" s="190"/>
      <c r="E25" s="190"/>
      <c r="F25" s="214" t="str">
        <f>'2017 Determination - Revenue'!$F$29</f>
        <v>$2016-17</v>
      </c>
      <c r="G25" s="214" t="str">
        <f>'2017 Determination - Revenue'!$F$29</f>
        <v>$2016-17</v>
      </c>
      <c r="H25" s="214" t="str">
        <f>'2017 Determination - Revenue'!$F$29</f>
        <v>$2016-17</v>
      </c>
      <c r="I25" s="214" t="str">
        <f>'2017 Determination - Revenue'!$F$29</f>
        <v>$2016-17</v>
      </c>
      <c r="J25" s="183"/>
      <c r="K25" s="183" t="s">
        <v>224</v>
      </c>
      <c r="L25" s="128" t="str">
        <f>K25</f>
        <v>$2020-21</v>
      </c>
      <c r="M25" s="183" t="s">
        <v>1</v>
      </c>
      <c r="N25" s="184"/>
      <c r="O25" s="128" t="str">
        <f>F25</f>
        <v>$2016-17</v>
      </c>
      <c r="P25" s="128" t="str">
        <f>O25</f>
        <v>$2016-17</v>
      </c>
      <c r="Q25" s="128" t="s">
        <v>1</v>
      </c>
      <c r="R25" s="234"/>
      <c r="T25" s="193"/>
    </row>
    <row r="26" spans="2:20">
      <c r="B26" s="239" t="s">
        <v>88</v>
      </c>
      <c r="C26" s="190"/>
      <c r="D26" s="190"/>
      <c r="E26" s="190"/>
      <c r="F26" s="190"/>
      <c r="G26" s="190"/>
      <c r="H26" s="190"/>
      <c r="I26" s="190"/>
      <c r="J26" s="190"/>
      <c r="K26" s="211"/>
      <c r="L26" s="211"/>
      <c r="M26" s="211"/>
      <c r="N26" s="211"/>
      <c r="O26" s="211"/>
      <c r="P26" s="211"/>
      <c r="Q26" s="211"/>
      <c r="R26" s="234"/>
      <c r="T26" s="193"/>
    </row>
    <row r="27" spans="2:20">
      <c r="B27" s="209" t="str">
        <f>'2017 Determination - Revenue'!B$33</f>
        <v>Border</v>
      </c>
      <c r="C27" s="250" t="s">
        <v>11</v>
      </c>
      <c r="D27" s="190"/>
      <c r="E27" s="190"/>
      <c r="F27" s="290">
        <f t="shared" ref="F27:H35" si="0">(F68+F108)</f>
        <v>6.2288309942415188</v>
      </c>
      <c r="G27" s="289">
        <f t="shared" si="0"/>
        <v>6.1001963447133463</v>
      </c>
      <c r="H27" s="289">
        <f t="shared" si="0"/>
        <v>6.1991026948941093</v>
      </c>
      <c r="I27" s="289">
        <f t="shared" ref="I27" si="1">(I68+I108)</f>
        <v>6.2383513799745609</v>
      </c>
      <c r="J27" s="172"/>
      <c r="K27" s="291">
        <f t="shared" ref="K27:L35" si="2">(K68+K108)</f>
        <v>6.6929000000000007</v>
      </c>
      <c r="L27" s="291">
        <f t="shared" si="2"/>
        <v>6.7139800000000003</v>
      </c>
      <c r="M27" s="223">
        <f t="shared" ref="M27:M35" si="3">IF(K27=0,"na",L27/K27-1)</f>
        <v>3.1496062992124596E-3</v>
      </c>
      <c r="N27" s="223"/>
      <c r="O27" s="291">
        <f t="shared" ref="O27:P35" si="4">(O68+O108)</f>
        <v>6.2288309942415188</v>
      </c>
      <c r="P27" s="291">
        <f t="shared" si="4"/>
        <v>6.2383513799745609</v>
      </c>
      <c r="Q27" s="223">
        <f>IF(O27=0,"na",P27/O27-1)</f>
        <v>1.5284386013754148E-3</v>
      </c>
      <c r="R27" s="234"/>
      <c r="T27" s="193"/>
    </row>
    <row r="28" spans="2:20">
      <c r="B28" s="209" t="str">
        <f>'2017 Determination - Revenue'!B$34</f>
        <v>Gwydir</v>
      </c>
      <c r="C28" s="190" t="str">
        <f>$C$27</f>
        <v>$/ML</v>
      </c>
      <c r="D28" s="190"/>
      <c r="E28" s="190"/>
      <c r="F28" s="290">
        <f t="shared" si="0"/>
        <v>11.873139524320214</v>
      </c>
      <c r="G28" s="289">
        <f t="shared" si="0"/>
        <v>12.015082003392797</v>
      </c>
      <c r="H28" s="289">
        <f t="shared" si="0"/>
        <v>12.348169387028879</v>
      </c>
      <c r="I28" s="289">
        <f t="shared" ref="I28" si="5">(I69+I109)</f>
        <v>13.00218238815347</v>
      </c>
      <c r="J28" s="172"/>
      <c r="K28" s="291">
        <f t="shared" si="2"/>
        <v>12.774480000000001</v>
      </c>
      <c r="L28" s="291">
        <f t="shared" si="2"/>
        <v>13.98658</v>
      </c>
      <c r="M28" s="223">
        <f t="shared" si="3"/>
        <v>9.4884488448844895E-2</v>
      </c>
      <c r="N28" s="223"/>
      <c r="O28" s="291">
        <f t="shared" si="4"/>
        <v>11.873139524320214</v>
      </c>
      <c r="P28" s="291">
        <f t="shared" si="4"/>
        <v>13.00218238815347</v>
      </c>
      <c r="Q28" s="223">
        <f t="shared" ref="Q28:Q35" si="6">IF(O28=0,"na",P28/O28-1)</f>
        <v>9.509219204580166E-2</v>
      </c>
      <c r="R28" s="152"/>
      <c r="T28" s="193"/>
    </row>
    <row r="29" spans="2:20">
      <c r="B29" s="209" t="str">
        <f>'2017 Determination - Revenue'!B$35</f>
        <v>Namoi</v>
      </c>
      <c r="C29" s="190" t="str">
        <f t="shared" ref="C29:C35" si="7">$C$27</f>
        <v>$/ML</v>
      </c>
      <c r="D29" s="190"/>
      <c r="E29" s="190"/>
      <c r="F29" s="290">
        <f t="shared" si="0"/>
        <v>19.983537685794229</v>
      </c>
      <c r="G29" s="289">
        <f t="shared" si="0"/>
        <v>19.895307159106121</v>
      </c>
      <c r="H29" s="289">
        <f t="shared" si="0"/>
        <v>20.793739614922096</v>
      </c>
      <c r="I29" s="289">
        <f t="shared" ref="I29" si="8">(I70+I110)</f>
        <v>21.96541236473454</v>
      </c>
      <c r="J29" s="172"/>
      <c r="K29" s="291">
        <f t="shared" si="2"/>
        <v>21.5016</v>
      </c>
      <c r="L29" s="291">
        <f t="shared" si="2"/>
        <v>23.641220000000001</v>
      </c>
      <c r="M29" s="223">
        <f t="shared" si="3"/>
        <v>9.9509803921568718E-2</v>
      </c>
      <c r="N29" s="223"/>
      <c r="O29" s="291">
        <f t="shared" si="4"/>
        <v>19.983537685794229</v>
      </c>
      <c r="P29" s="291">
        <f t="shared" si="4"/>
        <v>21.96541236473454</v>
      </c>
      <c r="Q29" s="223">
        <f t="shared" si="6"/>
        <v>9.9175366749460592E-2</v>
      </c>
      <c r="R29" s="152"/>
      <c r="T29" s="193"/>
    </row>
    <row r="30" spans="2:20">
      <c r="B30" s="209" t="str">
        <f>'2017 Determination - Revenue'!B$36</f>
        <v>Peel</v>
      </c>
      <c r="C30" s="190" t="str">
        <f t="shared" si="7"/>
        <v>$/ML</v>
      </c>
      <c r="D30" s="190"/>
      <c r="E30" s="190"/>
      <c r="F30" s="290">
        <f t="shared" si="0"/>
        <v>55.091150391764842</v>
      </c>
      <c r="G30" s="289">
        <f t="shared" si="0"/>
        <v>17.994700641217754</v>
      </c>
      <c r="H30" s="289">
        <f t="shared" si="0"/>
        <v>17.540784239105591</v>
      </c>
      <c r="I30" s="289">
        <f t="shared" ref="I30" si="9">(I71+I111)</f>
        <v>16.640226735442837</v>
      </c>
      <c r="J30" s="172"/>
      <c r="K30" s="291">
        <f t="shared" si="2"/>
        <v>19.762499999999999</v>
      </c>
      <c r="L30" s="291">
        <f t="shared" si="2"/>
        <v>17.90746</v>
      </c>
      <c r="M30" s="223">
        <f t="shared" si="3"/>
        <v>-9.3866666666666654E-2</v>
      </c>
      <c r="N30" s="223"/>
      <c r="O30" s="291">
        <f t="shared" si="4"/>
        <v>18.363716797254945</v>
      </c>
      <c r="P30" s="291">
        <f t="shared" si="4"/>
        <v>16.640226735442837</v>
      </c>
      <c r="Q30" s="223">
        <f t="shared" si="6"/>
        <v>-9.385300812685915E-2</v>
      </c>
      <c r="R30" s="152"/>
      <c r="T30" s="193"/>
    </row>
    <row r="31" spans="2:20">
      <c r="B31" s="209" t="str">
        <f>'2017 Determination - Revenue'!B$37</f>
        <v>Lachlan</v>
      </c>
      <c r="C31" s="190" t="str">
        <f t="shared" si="7"/>
        <v>$/ML</v>
      </c>
      <c r="D31" s="190"/>
      <c r="E31" s="190"/>
      <c r="F31" s="290">
        <f t="shared" si="0"/>
        <v>19.038335664987216</v>
      </c>
      <c r="G31" s="289">
        <f t="shared" si="0"/>
        <v>20.16030963938173</v>
      </c>
      <c r="H31" s="289">
        <f t="shared" si="0"/>
        <v>20.510709897903102</v>
      </c>
      <c r="I31" s="289">
        <f t="shared" ref="I31" si="10">(I72+I112)</f>
        <v>20.509517294385017</v>
      </c>
      <c r="J31" s="172"/>
      <c r="K31" s="291">
        <f t="shared" si="2"/>
        <v>20.489760000000004</v>
      </c>
      <c r="L31" s="291">
        <f t="shared" si="2"/>
        <v>22.070760000000003</v>
      </c>
      <c r="M31" s="223">
        <f t="shared" si="3"/>
        <v>7.7160493827160392E-2</v>
      </c>
      <c r="N31" s="223"/>
      <c r="O31" s="291">
        <f t="shared" si="4"/>
        <v>19.038335664987216</v>
      </c>
      <c r="P31" s="291">
        <f t="shared" si="4"/>
        <v>20.509517294385017</v>
      </c>
      <c r="Q31" s="223">
        <f t="shared" si="6"/>
        <v>7.7274697499078338E-2</v>
      </c>
      <c r="R31" s="152"/>
      <c r="T31" s="193"/>
    </row>
    <row r="32" spans="2:20">
      <c r="B32" s="209" t="str">
        <f>'2017 Determination - Revenue'!B$38</f>
        <v>Macquarie</v>
      </c>
      <c r="C32" s="190" t="str">
        <f t="shared" si="7"/>
        <v>$/ML</v>
      </c>
      <c r="D32" s="190"/>
      <c r="E32" s="190"/>
      <c r="F32" s="290">
        <f t="shared" si="0"/>
        <v>13.78434038452443</v>
      </c>
      <c r="G32" s="289">
        <f t="shared" si="0"/>
        <v>14.102148917391292</v>
      </c>
      <c r="H32" s="289">
        <f t="shared" si="0"/>
        <v>14.11345678548799</v>
      </c>
      <c r="I32" s="289">
        <f t="shared" ref="I32" si="11">(I73+I113)</f>
        <v>14.340487833418338</v>
      </c>
      <c r="J32" s="172"/>
      <c r="K32" s="291">
        <f t="shared" si="2"/>
        <v>14.829780000000001</v>
      </c>
      <c r="L32" s="291">
        <f t="shared" si="2"/>
        <v>15.430560000000002</v>
      </c>
      <c r="M32" s="223">
        <f t="shared" si="3"/>
        <v>4.051172707889128E-2</v>
      </c>
      <c r="N32" s="223"/>
      <c r="O32" s="291">
        <f t="shared" si="4"/>
        <v>13.78434038452443</v>
      </c>
      <c r="P32" s="291">
        <f t="shared" si="4"/>
        <v>14.340487833418338</v>
      </c>
      <c r="Q32" s="223">
        <f t="shared" si="6"/>
        <v>4.0346322956323011E-2</v>
      </c>
      <c r="R32" s="152"/>
      <c r="T32" s="193"/>
    </row>
    <row r="33" spans="2:20">
      <c r="B33" s="209" t="str">
        <f>'2017 Determination - Revenue'!B$39</f>
        <v>Murray</v>
      </c>
      <c r="C33" s="190" t="str">
        <f t="shared" si="7"/>
        <v>$/ML</v>
      </c>
      <c r="D33" s="190"/>
      <c r="E33" s="190"/>
      <c r="F33" s="290">
        <f t="shared" si="0"/>
        <v>3.4044369605332392</v>
      </c>
      <c r="G33" s="289">
        <f t="shared" si="0"/>
        <v>3.4838977018248567</v>
      </c>
      <c r="H33" s="289">
        <f t="shared" si="0"/>
        <v>3.5385593466572938</v>
      </c>
      <c r="I33" s="289">
        <f t="shared" ref="I33" si="12">(I74+I114)</f>
        <v>3.7243589451420629</v>
      </c>
      <c r="J33" s="172"/>
      <c r="K33" s="291">
        <f t="shared" si="2"/>
        <v>3.6679200000000001</v>
      </c>
      <c r="L33" s="291">
        <f t="shared" si="2"/>
        <v>4.0052000000000003</v>
      </c>
      <c r="M33" s="223">
        <f t="shared" si="3"/>
        <v>9.1954022988505857E-2</v>
      </c>
      <c r="N33" s="223"/>
      <c r="O33" s="291">
        <f t="shared" si="4"/>
        <v>3.4044369605332392</v>
      </c>
      <c r="P33" s="291">
        <f t="shared" si="4"/>
        <v>3.7243589451420629</v>
      </c>
      <c r="Q33" s="223">
        <f t="shared" si="6"/>
        <v>9.3972068896442273E-2</v>
      </c>
      <c r="R33" s="152"/>
      <c r="T33" s="193"/>
    </row>
    <row r="34" spans="2:20">
      <c r="B34" s="209" t="str">
        <f>'2017 Determination - Revenue'!B$40</f>
        <v>Murrumbidgee</v>
      </c>
      <c r="C34" s="190" t="str">
        <f t="shared" si="7"/>
        <v>$/ML</v>
      </c>
      <c r="D34" s="190"/>
      <c r="E34" s="190"/>
      <c r="F34" s="290">
        <f t="shared" si="0"/>
        <v>3.6072258265831025</v>
      </c>
      <c r="G34" s="289">
        <f t="shared" si="0"/>
        <v>3.6959693237646865</v>
      </c>
      <c r="H34" s="289">
        <f t="shared" si="0"/>
        <v>3.7852933309641896</v>
      </c>
      <c r="I34" s="289">
        <f t="shared" ref="I34" si="13">(I75+I115)</f>
        <v>3.9252786260642183</v>
      </c>
      <c r="J34" s="172"/>
      <c r="K34" s="291">
        <f t="shared" si="2"/>
        <v>3.8892600000000002</v>
      </c>
      <c r="L34" s="291">
        <f t="shared" si="2"/>
        <v>4.2370800000000006</v>
      </c>
      <c r="M34" s="223">
        <f t="shared" si="3"/>
        <v>8.9430894308943243E-2</v>
      </c>
      <c r="N34" s="223"/>
      <c r="O34" s="291">
        <f t="shared" si="4"/>
        <v>3.6072258265831025</v>
      </c>
      <c r="P34" s="291">
        <f t="shared" si="4"/>
        <v>3.9252786260642183</v>
      </c>
      <c r="Q34" s="223">
        <f t="shared" si="6"/>
        <v>8.8171025261921887E-2</v>
      </c>
      <c r="R34" s="152"/>
      <c r="T34" s="193"/>
    </row>
    <row r="35" spans="2:20">
      <c r="B35" s="209" t="str">
        <f>'2017 Determination - Revenue'!B$41</f>
        <v>Lowbidgee</v>
      </c>
      <c r="C35" s="190" t="str">
        <f t="shared" si="7"/>
        <v>$/ML</v>
      </c>
      <c r="D35" s="190"/>
      <c r="E35" s="190"/>
      <c r="F35" s="290">
        <f t="shared" si="0"/>
        <v>0</v>
      </c>
      <c r="G35" s="289">
        <f t="shared" si="0"/>
        <v>0</v>
      </c>
      <c r="H35" s="289">
        <f t="shared" si="0"/>
        <v>0</v>
      </c>
      <c r="I35" s="289">
        <f t="shared" ref="I35" si="14">(I76+I116)</f>
        <v>0</v>
      </c>
      <c r="J35" s="172"/>
      <c r="K35" s="291">
        <f t="shared" si="2"/>
        <v>0</v>
      </c>
      <c r="L35" s="291">
        <f t="shared" si="2"/>
        <v>0</v>
      </c>
      <c r="M35" s="223" t="str">
        <f t="shared" si="3"/>
        <v>na</v>
      </c>
      <c r="N35" s="223"/>
      <c r="O35" s="291">
        <f t="shared" si="4"/>
        <v>0</v>
      </c>
      <c r="P35" s="291">
        <f t="shared" si="4"/>
        <v>0</v>
      </c>
      <c r="Q35" s="223" t="str">
        <f t="shared" si="6"/>
        <v>na</v>
      </c>
      <c r="R35" s="43"/>
      <c r="T35" s="193"/>
    </row>
    <row r="36" spans="2:20">
      <c r="B36" s="240" t="s">
        <v>34</v>
      </c>
      <c r="C36" s="206"/>
      <c r="D36" s="206"/>
      <c r="E36" s="206"/>
      <c r="F36" s="199">
        <f>SUM(F27:F35)-SUM(F68:F76)-SUM(F108:F115)</f>
        <v>-1.3322676295501878E-14</v>
      </c>
      <c r="G36" s="199">
        <f>SUM(G27:G35)-SUM(G68:G76)-SUM(G108:G115)</f>
        <v>0</v>
      </c>
      <c r="H36" s="199">
        <f>SUM(H27:H35)-SUM(H68:H76)-SUM(H108:H115)</f>
        <v>8.8817841970012523E-15</v>
      </c>
      <c r="I36" s="199">
        <f>SUM(I27:I35)-SUM(I68:I76)-SUM(I108:I115)</f>
        <v>-2.7533531010703882E-14</v>
      </c>
      <c r="J36" s="199"/>
      <c r="K36" s="199">
        <f>SUM(K27:K35)-SUM(K68:K76)-SUM(K108:K115)</f>
        <v>-1.0658141036401503E-14</v>
      </c>
      <c r="L36" s="199">
        <f>SUM(L27:L35)-SUM(L68:L76)-SUM(L108:L115)</f>
        <v>1.1546319456101628E-14</v>
      </c>
      <c r="M36" s="223"/>
      <c r="N36" s="223"/>
      <c r="O36" s="199">
        <f>SUM(O27:O35)-SUM(O68:O76)-SUM(O108:O115)</f>
        <v>1.5099033134902129E-14</v>
      </c>
      <c r="P36" s="199">
        <f>SUM(P27:P35)-SUM(P68:P76)-SUM(P108:P115)</f>
        <v>-2.7533531010703882E-14</v>
      </c>
      <c r="Q36" s="223"/>
      <c r="R36" s="234"/>
      <c r="T36" s="193"/>
    </row>
    <row r="37" spans="2:20">
      <c r="B37" s="239" t="s">
        <v>180</v>
      </c>
      <c r="C37" s="190"/>
      <c r="D37" s="190"/>
      <c r="E37" s="190"/>
      <c r="F37" s="190"/>
      <c r="G37" s="190"/>
      <c r="H37" s="190"/>
      <c r="I37" s="190"/>
      <c r="J37" s="190"/>
      <c r="K37" s="223"/>
      <c r="L37" s="223"/>
      <c r="M37" s="223"/>
      <c r="N37" s="223"/>
      <c r="O37" s="223"/>
      <c r="P37" s="223"/>
      <c r="Q37" s="223"/>
      <c r="R37" s="234"/>
      <c r="T37" s="193"/>
    </row>
    <row r="38" spans="2:20">
      <c r="B38" s="209" t="str">
        <f>'2017 Determination - Revenue'!B$33</f>
        <v>Border</v>
      </c>
      <c r="C38" s="190" t="str">
        <f>$C$27</f>
        <v>$/ML</v>
      </c>
      <c r="D38" s="190"/>
      <c r="E38" s="190"/>
      <c r="F38" s="290">
        <f t="shared" ref="F38:H46" si="15">(F79+F119)</f>
        <v>3.6892035351000141</v>
      </c>
      <c r="G38" s="289">
        <f t="shared" si="15"/>
        <v>3.6943275169382614</v>
      </c>
      <c r="H38" s="289">
        <f t="shared" si="15"/>
        <v>3.6901548092440564</v>
      </c>
      <c r="I38" s="289">
        <f t="shared" ref="I38" si="16">(I79+I119)</f>
        <v>3.6870704662410962</v>
      </c>
      <c r="J38" s="172"/>
      <c r="K38" s="291">
        <f t="shared" ref="K38:L46" si="17">(K79+K119)</f>
        <v>3.9735800000000001</v>
      </c>
      <c r="L38" s="291">
        <f t="shared" si="17"/>
        <v>3.9735800000000001</v>
      </c>
      <c r="M38" s="223">
        <f t="shared" ref="M38:M46" si="18">IF(K38=0,"na",L38/K38-1)</f>
        <v>0</v>
      </c>
      <c r="N38" s="223"/>
      <c r="O38" s="291">
        <f t="shared" ref="O38:P46" si="19">(O79+O119)</f>
        <v>3.6892035351000141</v>
      </c>
      <c r="P38" s="291">
        <f t="shared" si="19"/>
        <v>3.6870704662410962</v>
      </c>
      <c r="Q38" s="223">
        <f t="shared" ref="Q38:Q46" si="20">IF(O38=0,"na",P38/O38-1)</f>
        <v>-5.7819224085176035E-4</v>
      </c>
      <c r="R38" s="43"/>
      <c r="T38" s="193"/>
    </row>
    <row r="39" spans="2:20">
      <c r="B39" s="209" t="str">
        <f>'2017 Determination - Revenue'!B$34</f>
        <v>Gwydir</v>
      </c>
      <c r="C39" s="190" t="str">
        <f t="shared" ref="C39:C45" si="21">$C$27</f>
        <v>$/ML</v>
      </c>
      <c r="D39" s="190"/>
      <c r="E39" s="190"/>
      <c r="F39" s="290">
        <f t="shared" si="15"/>
        <v>3.4798474827858135</v>
      </c>
      <c r="G39" s="289">
        <f t="shared" si="15"/>
        <v>3.4819348836386537</v>
      </c>
      <c r="H39" s="289">
        <f t="shared" si="15"/>
        <v>3.4429045265792064</v>
      </c>
      <c r="I39" s="289">
        <f t="shared" ref="I39" si="22">(I80+I120)</f>
        <v>3.3114186262775012</v>
      </c>
      <c r="J39" s="172"/>
      <c r="K39" s="291">
        <f t="shared" si="17"/>
        <v>3.7416999999999998</v>
      </c>
      <c r="L39" s="291">
        <f t="shared" si="17"/>
        <v>3.5625200000000001</v>
      </c>
      <c r="M39" s="223">
        <f t="shared" si="18"/>
        <v>-4.7887323943661908E-2</v>
      </c>
      <c r="N39" s="223"/>
      <c r="O39" s="291">
        <f t="shared" si="19"/>
        <v>3.4798474827858135</v>
      </c>
      <c r="P39" s="291">
        <f t="shared" si="19"/>
        <v>3.3114186262775012</v>
      </c>
      <c r="Q39" s="223">
        <f t="shared" si="20"/>
        <v>-4.8401217967597665E-2</v>
      </c>
      <c r="R39" s="43"/>
      <c r="T39" s="193"/>
    </row>
    <row r="40" spans="2:20">
      <c r="B40" s="209" t="str">
        <f>'2017 Determination - Revenue'!B$35</f>
        <v>Namoi</v>
      </c>
      <c r="C40" s="190" t="str">
        <f t="shared" si="21"/>
        <v>$/ML</v>
      </c>
      <c r="D40" s="190"/>
      <c r="E40" s="190"/>
      <c r="F40" s="290">
        <f t="shared" si="15"/>
        <v>7.9573495340749334</v>
      </c>
      <c r="G40" s="289">
        <f t="shared" si="15"/>
        <v>7.9683518692056623</v>
      </c>
      <c r="H40" s="289">
        <f t="shared" si="15"/>
        <v>7.9155573202818603</v>
      </c>
      <c r="I40" s="289">
        <f t="shared" ref="I40" si="23">(I81+I121)</f>
        <v>7.7682714168891716</v>
      </c>
      <c r="J40" s="172"/>
      <c r="K40" s="291">
        <f t="shared" si="17"/>
        <v>8.5690200000000019</v>
      </c>
      <c r="L40" s="291">
        <f t="shared" si="17"/>
        <v>8.3582199999999993</v>
      </c>
      <c r="M40" s="223">
        <f t="shared" si="18"/>
        <v>-2.4600246002460358E-2</v>
      </c>
      <c r="N40" s="223"/>
      <c r="O40" s="291">
        <f t="shared" si="19"/>
        <v>7.9573495340749334</v>
      </c>
      <c r="P40" s="291">
        <f t="shared" si="19"/>
        <v>7.7682714168891716</v>
      </c>
      <c r="Q40" s="223">
        <f t="shared" si="20"/>
        <v>-2.3761444231661821E-2</v>
      </c>
      <c r="R40" s="43"/>
      <c r="T40" s="193"/>
    </row>
    <row r="41" spans="2:20">
      <c r="B41" s="209" t="str">
        <f>'2017 Determination - Revenue'!B$36</f>
        <v>Peel</v>
      </c>
      <c r="C41" s="190" t="str">
        <f t="shared" si="21"/>
        <v>$/ML</v>
      </c>
      <c r="D41" s="190"/>
      <c r="E41" s="190"/>
      <c r="F41" s="290">
        <f t="shared" si="15"/>
        <v>2.0088384355493285</v>
      </c>
      <c r="G41" s="289">
        <f t="shared" si="15"/>
        <v>4.1140497558650839</v>
      </c>
      <c r="H41" s="289">
        <f t="shared" si="15"/>
        <v>4.1373190377332918</v>
      </c>
      <c r="I41" s="289">
        <f t="shared" ref="I41" si="24">(I82+I122)</f>
        <v>3.9650823910176269</v>
      </c>
      <c r="J41" s="172"/>
      <c r="K41" s="291">
        <f t="shared" si="17"/>
        <v>4.3213999999999997</v>
      </c>
      <c r="L41" s="291">
        <f t="shared" si="17"/>
        <v>4.2686999999999999</v>
      </c>
      <c r="M41" s="223">
        <f t="shared" si="18"/>
        <v>-1.2195121951219412E-2</v>
      </c>
      <c r="N41" s="223"/>
      <c r="O41" s="291">
        <f t="shared" si="19"/>
        <v>4.017676871098657</v>
      </c>
      <c r="P41" s="291">
        <f t="shared" si="19"/>
        <v>3.9650823910176269</v>
      </c>
      <c r="Q41" s="223">
        <f t="shared" si="20"/>
        <v>-1.3090769060939422E-2</v>
      </c>
      <c r="R41" s="43"/>
      <c r="T41" s="193"/>
    </row>
    <row r="42" spans="2:20">
      <c r="B42" s="209" t="str">
        <f>'2017 Determination - Revenue'!B$37</f>
        <v>Lachlan</v>
      </c>
      <c r="C42" s="190" t="str">
        <f t="shared" si="21"/>
        <v>$/ML</v>
      </c>
      <c r="D42" s="190"/>
      <c r="E42" s="190"/>
      <c r="F42" s="290">
        <f t="shared" si="15"/>
        <v>2.7294754839554174</v>
      </c>
      <c r="G42" s="289">
        <f t="shared" si="15"/>
        <v>2.7758839032514664</v>
      </c>
      <c r="H42" s="289">
        <f t="shared" si="15"/>
        <v>2.7011352666429462</v>
      </c>
      <c r="I42" s="289">
        <f t="shared" ref="I42" si="25">(I83+I123)</f>
        <v>2.5572264215621305</v>
      </c>
      <c r="J42" s="172"/>
      <c r="K42" s="291">
        <f t="shared" si="17"/>
        <v>2.9406600000000003</v>
      </c>
      <c r="L42" s="291">
        <f t="shared" si="17"/>
        <v>2.7509399999999999</v>
      </c>
      <c r="M42" s="223">
        <f t="shared" si="18"/>
        <v>-6.4516129032258118E-2</v>
      </c>
      <c r="N42" s="223"/>
      <c r="O42" s="291">
        <f t="shared" si="19"/>
        <v>2.7294754839554174</v>
      </c>
      <c r="P42" s="291">
        <f t="shared" si="19"/>
        <v>2.5572264215621305</v>
      </c>
      <c r="Q42" s="223">
        <f t="shared" si="20"/>
        <v>-6.3107019427656619E-2</v>
      </c>
      <c r="R42" s="43"/>
      <c r="T42" s="193"/>
    </row>
    <row r="43" spans="2:20">
      <c r="B43" s="209" t="str">
        <f>'2017 Determination - Revenue'!B$38</f>
        <v>Macquarie</v>
      </c>
      <c r="C43" s="190" t="str">
        <f t="shared" si="21"/>
        <v>$/ML</v>
      </c>
      <c r="D43" s="190"/>
      <c r="E43" s="190"/>
      <c r="F43" s="290">
        <f t="shared" si="15"/>
        <v>2.8467811535599639</v>
      </c>
      <c r="G43" s="289">
        <f t="shared" si="15"/>
        <v>2.8600389822677408</v>
      </c>
      <c r="H43" s="289">
        <f t="shared" si="15"/>
        <v>2.8830512530915575</v>
      </c>
      <c r="I43" s="289">
        <f t="shared" ref="I43" si="26">(I84+I124)</f>
        <v>2.7945559429356339</v>
      </c>
      <c r="J43" s="172"/>
      <c r="K43" s="291">
        <f t="shared" si="17"/>
        <v>3.0671400000000002</v>
      </c>
      <c r="L43" s="291">
        <f t="shared" si="17"/>
        <v>3.0039000000000002</v>
      </c>
      <c r="M43" s="223">
        <f t="shared" si="18"/>
        <v>-2.0618556701030966E-2</v>
      </c>
      <c r="N43" s="223"/>
      <c r="O43" s="291">
        <f t="shared" si="19"/>
        <v>2.8467811535599639</v>
      </c>
      <c r="P43" s="291">
        <f t="shared" si="19"/>
        <v>2.7945559429356339</v>
      </c>
      <c r="Q43" s="223">
        <f t="shared" si="20"/>
        <v>-1.8345354913924861E-2</v>
      </c>
      <c r="R43" s="43"/>
      <c r="T43" s="193"/>
    </row>
    <row r="44" spans="2:20">
      <c r="B44" s="209" t="str">
        <f>'2017 Determination - Revenue'!B$39</f>
        <v>Murray</v>
      </c>
      <c r="C44" s="190" t="str">
        <f t="shared" si="21"/>
        <v>$/ML</v>
      </c>
      <c r="D44" s="190"/>
      <c r="E44" s="190"/>
      <c r="F44" s="290">
        <f t="shared" si="15"/>
        <v>4.3154595949272476</v>
      </c>
      <c r="G44" s="289">
        <f t="shared" si="15"/>
        <v>4.315505025563775</v>
      </c>
      <c r="H44" s="289">
        <f t="shared" si="15"/>
        <v>4.291578034093833</v>
      </c>
      <c r="I44" s="289">
        <f t="shared" ref="I44" si="27">(I85+I125)</f>
        <v>4.2172059067107988</v>
      </c>
      <c r="J44" s="172"/>
      <c r="K44" s="291">
        <f t="shared" si="17"/>
        <v>4.6375999999999999</v>
      </c>
      <c r="L44" s="291">
        <f t="shared" si="17"/>
        <v>4.5427400000000002</v>
      </c>
      <c r="M44" s="223">
        <f t="shared" si="18"/>
        <v>-2.0454545454545392E-2</v>
      </c>
      <c r="N44" s="223"/>
      <c r="O44" s="291">
        <f t="shared" si="19"/>
        <v>4.3154595949272476</v>
      </c>
      <c r="P44" s="291">
        <f t="shared" si="19"/>
        <v>4.2172059067107988</v>
      </c>
      <c r="Q44" s="223">
        <f t="shared" si="20"/>
        <v>-2.2767838756257763E-2</v>
      </c>
      <c r="R44" s="43"/>
      <c r="T44" s="193"/>
    </row>
    <row r="45" spans="2:20">
      <c r="B45" s="209" t="str">
        <f>'2017 Determination - Revenue'!B$40</f>
        <v>Murrumbidgee</v>
      </c>
      <c r="C45" s="190" t="str">
        <f t="shared" si="21"/>
        <v>$/ML</v>
      </c>
      <c r="D45" s="190"/>
      <c r="E45" s="190"/>
      <c r="F45" s="290">
        <f t="shared" si="15"/>
        <v>1.7231101331486112</v>
      </c>
      <c r="G45" s="289">
        <f t="shared" si="15"/>
        <v>1.7231334860827887</v>
      </c>
      <c r="H45" s="289">
        <f t="shared" si="15"/>
        <v>1.7059146548406074</v>
      </c>
      <c r="I45" s="289">
        <f t="shared" ref="I45" si="28">(I86+I126)</f>
        <v>1.6675559964804387</v>
      </c>
      <c r="J45" s="172"/>
      <c r="K45" s="291">
        <f t="shared" si="17"/>
        <v>1.8445</v>
      </c>
      <c r="L45" s="291">
        <f t="shared" si="17"/>
        <v>1.7918000000000003</v>
      </c>
      <c r="M45" s="223">
        <f t="shared" si="18"/>
        <v>-2.857142857142847E-2</v>
      </c>
      <c r="N45" s="223"/>
      <c r="O45" s="291">
        <f t="shared" si="19"/>
        <v>1.7231101331486112</v>
      </c>
      <c r="P45" s="291">
        <f t="shared" si="19"/>
        <v>1.6675559964804387</v>
      </c>
      <c r="Q45" s="223">
        <f t="shared" si="20"/>
        <v>-3.2240618634549634E-2</v>
      </c>
      <c r="R45" s="43"/>
      <c r="T45" s="193"/>
    </row>
    <row r="46" spans="2:20">
      <c r="B46" s="209" t="str">
        <f>'2017 Determination - Revenue'!B$41</f>
        <v>Lowbidgee</v>
      </c>
      <c r="C46" s="190" t="str">
        <f>$C$27</f>
        <v>$/ML</v>
      </c>
      <c r="D46" s="190"/>
      <c r="E46" s="190"/>
      <c r="F46" s="290">
        <f t="shared" si="15"/>
        <v>0.7831544756319907</v>
      </c>
      <c r="G46" s="289">
        <f t="shared" si="15"/>
        <v>0.78328421327595998</v>
      </c>
      <c r="H46" s="289">
        <f t="shared" si="15"/>
        <v>0.78298426918511288</v>
      </c>
      <c r="I46" s="289">
        <f t="shared" ref="I46" si="29">(I87+I127)</f>
        <v>0.78270256054631426</v>
      </c>
      <c r="J46" s="172"/>
      <c r="K46" s="291">
        <f t="shared" si="17"/>
        <v>0.84320000000000006</v>
      </c>
      <c r="L46" s="291">
        <f t="shared" si="17"/>
        <v>0.84320000000000006</v>
      </c>
      <c r="M46" s="223">
        <f t="shared" si="18"/>
        <v>0</v>
      </c>
      <c r="N46" s="223"/>
      <c r="O46" s="291">
        <f t="shared" si="19"/>
        <v>0.7831544756319907</v>
      </c>
      <c r="P46" s="291">
        <f t="shared" si="19"/>
        <v>0.78270256054631426</v>
      </c>
      <c r="Q46" s="223">
        <f t="shared" si="20"/>
        <v>-5.7704463134400363E-4</v>
      </c>
      <c r="R46" s="43"/>
      <c r="T46" s="193"/>
    </row>
    <row r="47" spans="2:20">
      <c r="B47" s="240" t="s">
        <v>34</v>
      </c>
      <c r="C47" s="206"/>
      <c r="D47" s="206"/>
      <c r="E47" s="206"/>
      <c r="F47" s="199">
        <f>SUM(F38:F46)-SUM(F79:F87)-SUM(F119:F126)</f>
        <v>0</v>
      </c>
      <c r="G47" s="199">
        <f>SUM(G38:G46)-SUM(G79:G87)-SUM(G119:G126)</f>
        <v>0</v>
      </c>
      <c r="H47" s="199">
        <f>SUM(H38:H46)-SUM(H79:H87)-SUM(H119:H126)</f>
        <v>0</v>
      </c>
      <c r="I47" s="199">
        <f>SUM(I38:I46)-SUM(I79:I87)-SUM(I119:I126)</f>
        <v>0</v>
      </c>
      <c r="J47" s="199"/>
      <c r="K47" s="199">
        <f>SUM(K38:K46)-SUM(K79:K87)-SUM(K119:K126)</f>
        <v>0</v>
      </c>
      <c r="L47" s="199">
        <f>SUM(L38:L46)-SUM(L79:L87)-SUM(L119:L126)</f>
        <v>0</v>
      </c>
      <c r="M47" s="223"/>
      <c r="N47" s="223"/>
      <c r="O47" s="199">
        <f>SUM(O38:O46)-SUM(O79:O87)-SUM(O119:O126)</f>
        <v>0</v>
      </c>
      <c r="P47" s="199">
        <f>SUM(P38:P46)-SUM(P79:P87)-SUM(P119:P126)</f>
        <v>0</v>
      </c>
      <c r="Q47" s="223"/>
      <c r="R47" s="234"/>
      <c r="T47" s="193"/>
    </row>
    <row r="48" spans="2:20">
      <c r="B48" s="239" t="s">
        <v>181</v>
      </c>
      <c r="C48" s="190"/>
      <c r="D48" s="190"/>
      <c r="E48" s="190"/>
      <c r="F48" s="190"/>
      <c r="G48" s="190"/>
      <c r="H48" s="190"/>
      <c r="I48" s="190"/>
      <c r="J48" s="190"/>
      <c r="K48" s="223"/>
      <c r="L48" s="223"/>
      <c r="M48" s="223"/>
      <c r="N48" s="223"/>
      <c r="O48" s="223"/>
      <c r="P48" s="223"/>
      <c r="Q48" s="223"/>
      <c r="R48" s="234"/>
      <c r="T48" s="193"/>
    </row>
    <row r="49" spans="2:20">
      <c r="B49" s="209" t="str">
        <f>'2017 Determination - Revenue'!B$33</f>
        <v>Border</v>
      </c>
      <c r="C49" s="190" t="str">
        <f>$C$27</f>
        <v>$/ML</v>
      </c>
      <c r="D49" s="190"/>
      <c r="E49" s="190"/>
      <c r="F49" s="290">
        <f t="shared" ref="F49:H57" si="30">F90+F130</f>
        <v>9.9331567595586812</v>
      </c>
      <c r="G49" s="289">
        <f t="shared" si="30"/>
        <v>9.464024542764669</v>
      </c>
      <c r="H49" s="289">
        <f t="shared" si="30"/>
        <v>9.7397686661684304</v>
      </c>
      <c r="I49" s="289">
        <f t="shared" ref="I49" si="31">I90+I130</f>
        <v>10.071893591648546</v>
      </c>
      <c r="J49" s="172"/>
      <c r="K49" s="291">
        <f t="shared" ref="K49:L57" si="32">K90+K130</f>
        <v>10.6981</v>
      </c>
      <c r="L49" s="291">
        <f t="shared" si="32"/>
        <v>10.83512</v>
      </c>
      <c r="M49" s="223">
        <f t="shared" ref="M49:M57" si="33">IF(K49=0,"na",L49/K49-1)</f>
        <v>1.2807881773398977E-2</v>
      </c>
      <c r="N49" s="223"/>
      <c r="O49" s="291">
        <f t="shared" ref="O49:P57" si="34">O90+O130</f>
        <v>9.9350654775877594</v>
      </c>
      <c r="P49" s="291">
        <f t="shared" si="34"/>
        <v>10.071893591648546</v>
      </c>
      <c r="Q49" s="223">
        <f t="shared" ref="Q49:Q57" si="35">IF(O49=0,"na",P49/O49-1)</f>
        <v>1.3772240793928692E-2</v>
      </c>
      <c r="R49" s="43"/>
      <c r="T49" s="193"/>
    </row>
    <row r="50" spans="2:20">
      <c r="B50" s="209" t="str">
        <f>'2017 Determination - Revenue'!B$34</f>
        <v>Gwydir</v>
      </c>
      <c r="C50" s="190" t="str">
        <f t="shared" ref="C50:C56" si="36">$C$27</f>
        <v>$/ML</v>
      </c>
      <c r="D50" s="190"/>
      <c r="E50" s="190"/>
      <c r="F50" s="290">
        <f t="shared" si="30"/>
        <v>11.081245442126379</v>
      </c>
      <c r="G50" s="289">
        <f t="shared" si="30"/>
        <v>11.042211204680088</v>
      </c>
      <c r="H50" s="289">
        <f t="shared" si="30"/>
        <v>11.77936904257113</v>
      </c>
      <c r="I50" s="289">
        <f t="shared" ref="I50" si="37">I91+I131</f>
        <v>14.267580494197</v>
      </c>
      <c r="J50" s="172"/>
      <c r="K50" s="291">
        <f t="shared" si="32"/>
        <v>11.92074</v>
      </c>
      <c r="L50" s="291">
        <f t="shared" si="32"/>
        <v>15.356780000000001</v>
      </c>
      <c r="M50" s="223">
        <f t="shared" si="33"/>
        <v>0.28824049513704697</v>
      </c>
      <c r="N50" s="223"/>
      <c r="O50" s="291">
        <f t="shared" si="34"/>
        <v>11.081245442126379</v>
      </c>
      <c r="P50" s="291">
        <f t="shared" si="34"/>
        <v>14.267580494197</v>
      </c>
      <c r="Q50" s="223">
        <f t="shared" si="35"/>
        <v>0.28754304457127833</v>
      </c>
      <c r="R50" s="43"/>
      <c r="T50" s="193"/>
    </row>
    <row r="51" spans="2:20">
      <c r="B51" s="209" t="str">
        <f>'2017 Determination - Revenue'!B$35</f>
        <v>Namoi</v>
      </c>
      <c r="C51" s="190" t="str">
        <f t="shared" si="36"/>
        <v>$/ML</v>
      </c>
      <c r="D51" s="190"/>
      <c r="E51" s="190"/>
      <c r="F51" s="290">
        <f t="shared" si="30"/>
        <v>17.078806213771792</v>
      </c>
      <c r="G51" s="289">
        <f t="shared" si="30"/>
        <v>16.761594789902677</v>
      </c>
      <c r="H51" s="289">
        <f t="shared" si="30"/>
        <v>17.998221785890252</v>
      </c>
      <c r="I51" s="289">
        <f t="shared" ref="I51" si="38">I92+I132</f>
        <v>22.25670410237764</v>
      </c>
      <c r="J51" s="172"/>
      <c r="K51" s="291">
        <f t="shared" si="32"/>
        <v>18.381760000000003</v>
      </c>
      <c r="L51" s="291">
        <f t="shared" si="32"/>
        <v>23.957420000000003</v>
      </c>
      <c r="M51" s="223">
        <f t="shared" si="33"/>
        <v>0.30332568807339433</v>
      </c>
      <c r="N51" s="223"/>
      <c r="O51" s="291">
        <f t="shared" si="34"/>
        <v>17.078806213771792</v>
      </c>
      <c r="P51" s="291">
        <f t="shared" si="34"/>
        <v>22.25670410237764</v>
      </c>
      <c r="Q51" s="223">
        <f t="shared" si="35"/>
        <v>0.30317680426812044</v>
      </c>
      <c r="R51" s="43"/>
      <c r="T51" s="193"/>
    </row>
    <row r="52" spans="2:20">
      <c r="B52" s="209" t="str">
        <f>'2017 Determination - Revenue'!B$36</f>
        <v>Peel</v>
      </c>
      <c r="C52" s="190" t="str">
        <f t="shared" si="36"/>
        <v>$/ML</v>
      </c>
      <c r="D52" s="190"/>
      <c r="E52" s="190"/>
      <c r="F52" s="290">
        <f t="shared" si="30"/>
        <v>20.78395133436014</v>
      </c>
      <c r="G52" s="289">
        <f t="shared" si="30"/>
        <v>41.401125251337078</v>
      </c>
      <c r="H52" s="289">
        <f t="shared" si="30"/>
        <v>41.547652623209807</v>
      </c>
      <c r="I52" s="289">
        <f t="shared" ref="I52" si="39">I93+I133</f>
        <v>41.840401580058895</v>
      </c>
      <c r="J52" s="172"/>
      <c r="K52" s="291">
        <f t="shared" si="32"/>
        <v>44.731760000000001</v>
      </c>
      <c r="L52" s="291">
        <f t="shared" si="32"/>
        <v>45.026879999999998</v>
      </c>
      <c r="M52" s="223">
        <f t="shared" si="33"/>
        <v>6.5975494816210567E-3</v>
      </c>
      <c r="N52" s="223"/>
      <c r="O52" s="291">
        <f t="shared" si="34"/>
        <v>41.567902668720279</v>
      </c>
      <c r="P52" s="291">
        <f t="shared" si="34"/>
        <v>41.840401580058895</v>
      </c>
      <c r="Q52" s="223">
        <f t="shared" si="35"/>
        <v>6.5555126394112317E-3</v>
      </c>
      <c r="R52" s="43"/>
      <c r="T52" s="193"/>
    </row>
    <row r="53" spans="2:20">
      <c r="B53" s="209" t="str">
        <f>'2017 Determination - Revenue'!B$37</f>
        <v>Lachlan</v>
      </c>
      <c r="C53" s="190" t="str">
        <f t="shared" si="36"/>
        <v>$/ML</v>
      </c>
      <c r="D53" s="190"/>
      <c r="E53" s="190"/>
      <c r="F53" s="290">
        <f t="shared" si="30"/>
        <v>15.379109814709489</v>
      </c>
      <c r="G53" s="289">
        <f t="shared" si="30"/>
        <v>14.867665553751058</v>
      </c>
      <c r="H53" s="289">
        <f t="shared" si="30"/>
        <v>15.691859559139104</v>
      </c>
      <c r="I53" s="289">
        <f t="shared" ref="I53" si="40">I94+I134</f>
        <v>17.29576851050135</v>
      </c>
      <c r="J53" s="172"/>
      <c r="K53" s="291">
        <f t="shared" si="32"/>
        <v>16.547799999999999</v>
      </c>
      <c r="L53" s="291">
        <f t="shared" si="32"/>
        <v>18.61364</v>
      </c>
      <c r="M53" s="223">
        <f t="shared" si="33"/>
        <v>0.12484076433121039</v>
      </c>
      <c r="N53" s="223"/>
      <c r="O53" s="291">
        <f t="shared" si="34"/>
        <v>15.379109814709489</v>
      </c>
      <c r="P53" s="291">
        <f t="shared" si="34"/>
        <v>17.29576851050135</v>
      </c>
      <c r="Q53" s="223">
        <f t="shared" si="35"/>
        <v>0.1246274146478008</v>
      </c>
      <c r="R53" s="43"/>
      <c r="T53" s="193"/>
    </row>
    <row r="54" spans="2:20">
      <c r="B54" s="209" t="str">
        <f>'2017 Determination - Revenue'!B$38</f>
        <v>Macquarie</v>
      </c>
      <c r="C54" s="190" t="str">
        <f t="shared" si="36"/>
        <v>$/ML</v>
      </c>
      <c r="D54" s="190"/>
      <c r="E54" s="190"/>
      <c r="F54" s="290">
        <f t="shared" si="30"/>
        <v>13.514162012252285</v>
      </c>
      <c r="G54" s="289">
        <f t="shared" si="30"/>
        <v>13.3257587341638</v>
      </c>
      <c r="H54" s="289">
        <f t="shared" si="30"/>
        <v>12.983641167550713</v>
      </c>
      <c r="I54" s="289">
        <f t="shared" ref="I54" si="41">I95+I135</f>
        <v>14.29258122643277</v>
      </c>
      <c r="J54" s="172"/>
      <c r="K54" s="291">
        <f t="shared" si="32"/>
        <v>14.534660000000001</v>
      </c>
      <c r="L54" s="291">
        <f t="shared" si="32"/>
        <v>15.37786</v>
      </c>
      <c r="M54" s="223">
        <f t="shared" si="33"/>
        <v>5.8013052936910725E-2</v>
      </c>
      <c r="N54" s="223"/>
      <c r="O54" s="291">
        <f t="shared" si="34"/>
        <v>13.514162012252285</v>
      </c>
      <c r="P54" s="291">
        <f t="shared" si="34"/>
        <v>14.29258122643277</v>
      </c>
      <c r="Q54" s="223">
        <f t="shared" si="35"/>
        <v>5.7600257675966215E-2</v>
      </c>
      <c r="R54" s="43"/>
      <c r="T54" s="193"/>
    </row>
    <row r="55" spans="2:20">
      <c r="B55" s="209" t="str">
        <f>'2017 Determination - Revenue'!B$39</f>
        <v>Murray</v>
      </c>
      <c r="C55" s="190" t="str">
        <f t="shared" si="36"/>
        <v>$/ML</v>
      </c>
      <c r="D55" s="190"/>
      <c r="E55" s="190"/>
      <c r="F55" s="290">
        <f t="shared" si="30"/>
        <v>8.8035579106887454</v>
      </c>
      <c r="G55" s="289">
        <f t="shared" si="30"/>
        <v>8.8036505894013555</v>
      </c>
      <c r="H55" s="289">
        <f t="shared" si="30"/>
        <v>8.9939448358644292</v>
      </c>
      <c r="I55" s="289">
        <f t="shared" ref="I55" si="42">I96+I136</f>
        <v>9.5757448017322826</v>
      </c>
      <c r="J55" s="172"/>
      <c r="K55" s="291">
        <f t="shared" si="32"/>
        <v>9.47546</v>
      </c>
      <c r="L55" s="291">
        <f t="shared" si="32"/>
        <v>10.308120000000002</v>
      </c>
      <c r="M55" s="223">
        <f t="shared" si="33"/>
        <v>8.7875417130144795E-2</v>
      </c>
      <c r="N55" s="223"/>
      <c r="O55" s="291">
        <f t="shared" si="34"/>
        <v>8.8035579106887454</v>
      </c>
      <c r="P55" s="291">
        <f t="shared" si="34"/>
        <v>9.5757448017322826</v>
      </c>
      <c r="Q55" s="223">
        <f t="shared" si="35"/>
        <v>8.7713047256268384E-2</v>
      </c>
      <c r="R55" s="43"/>
      <c r="T55" s="193"/>
    </row>
    <row r="56" spans="2:20">
      <c r="B56" s="209" t="str">
        <f>'2017 Determination - Revenue'!B$40</f>
        <v>Murrumbidgee</v>
      </c>
      <c r="C56" s="190" t="str">
        <f t="shared" si="36"/>
        <v>$/ML</v>
      </c>
      <c r="D56" s="190"/>
      <c r="E56" s="190"/>
      <c r="F56" s="290">
        <f t="shared" si="30"/>
        <v>4.5660305843127746</v>
      </c>
      <c r="G56" s="289">
        <f t="shared" si="30"/>
        <v>4.5661078724131983</v>
      </c>
      <c r="H56" s="289">
        <f t="shared" si="30"/>
        <v>4.654692602317648</v>
      </c>
      <c r="I56" s="289">
        <f t="shared" ref="I56" si="43">I97+I137</f>
        <v>4.8527009537451331</v>
      </c>
      <c r="J56" s="172"/>
      <c r="K56" s="291">
        <f t="shared" si="32"/>
        <v>4.9010999999999996</v>
      </c>
      <c r="L56" s="291">
        <f t="shared" si="32"/>
        <v>5.2278400000000005</v>
      </c>
      <c r="M56" s="223">
        <f t="shared" si="33"/>
        <v>6.6666666666666874E-2</v>
      </c>
      <c r="N56" s="223"/>
      <c r="O56" s="291">
        <f t="shared" si="34"/>
        <v>4.5660305843127746</v>
      </c>
      <c r="P56" s="291">
        <f t="shared" si="34"/>
        <v>4.8527009537451331</v>
      </c>
      <c r="Q56" s="223">
        <f t="shared" si="35"/>
        <v>6.2783278416323807E-2</v>
      </c>
      <c r="R56" s="43"/>
      <c r="T56" s="193"/>
    </row>
    <row r="57" spans="2:20">
      <c r="B57" s="209" t="str">
        <f>'2017 Determination - Revenue'!B$41</f>
        <v>Lowbidgee</v>
      </c>
      <c r="C57" s="190" t="str">
        <f>$C$27</f>
        <v>$/ML</v>
      </c>
      <c r="D57" s="190"/>
      <c r="E57" s="190"/>
      <c r="F57" s="290">
        <f t="shared" si="30"/>
        <v>0</v>
      </c>
      <c r="G57" s="289">
        <f t="shared" si="30"/>
        <v>0</v>
      </c>
      <c r="H57" s="289">
        <f t="shared" si="30"/>
        <v>0</v>
      </c>
      <c r="I57" s="289">
        <f t="shared" ref="I57" si="44">I98+I138</f>
        <v>0</v>
      </c>
      <c r="J57" s="172"/>
      <c r="K57" s="291">
        <f t="shared" si="32"/>
        <v>0</v>
      </c>
      <c r="L57" s="291">
        <f t="shared" si="32"/>
        <v>0</v>
      </c>
      <c r="M57" s="223" t="str">
        <f t="shared" si="33"/>
        <v>na</v>
      </c>
      <c r="N57" s="223"/>
      <c r="O57" s="291">
        <f t="shared" si="34"/>
        <v>0</v>
      </c>
      <c r="P57" s="291">
        <f t="shared" si="34"/>
        <v>0</v>
      </c>
      <c r="Q57" s="223" t="str">
        <f t="shared" si="35"/>
        <v>na</v>
      </c>
      <c r="R57" s="43"/>
      <c r="T57" s="193"/>
    </row>
    <row r="58" spans="2:20">
      <c r="B58" s="240" t="s">
        <v>34</v>
      </c>
      <c r="C58" s="206"/>
      <c r="D58" s="206"/>
      <c r="E58" s="206"/>
      <c r="F58" s="199">
        <f>SUM(F49:F57)-SUM(F90:F98)-SUM(F130:F137)</f>
        <v>0</v>
      </c>
      <c r="G58" s="199">
        <f>SUM(G49:G57)-SUM(G90:G98)-SUM(G130:G137)</f>
        <v>0</v>
      </c>
      <c r="H58" s="199">
        <f>SUM(H49:H57)-SUM(H90:H98)-SUM(H130:H137)</f>
        <v>0</v>
      </c>
      <c r="I58" s="199">
        <f>SUM(I49:I57)-SUM(I90:I98)-SUM(I130:I137)</f>
        <v>2.1316282072803006E-14</v>
      </c>
      <c r="J58" s="199"/>
      <c r="K58" s="199">
        <f>SUM(K49:K57)-SUM(K90:K98)-SUM(K130:K137)</f>
        <v>-2.3092638912203256E-14</v>
      </c>
      <c r="L58" s="199">
        <f>SUM(L49:L57)-SUM(L90:L98)-SUM(L130:L137)</f>
        <v>2.4868995751603507E-14</v>
      </c>
      <c r="M58" s="211"/>
      <c r="N58" s="211"/>
      <c r="O58" s="199">
        <f>SUM(O49:O57)-SUM(O90:O98)-SUM(O130:O137)</f>
        <v>-1.9539925233402755E-14</v>
      </c>
      <c r="P58" s="199">
        <f>SUM(P49:P57)-SUM(P90:P98)-SUM(P130:P137)</f>
        <v>2.1316282072803006E-14</v>
      </c>
      <c r="Q58" s="211"/>
      <c r="R58" s="234"/>
      <c r="T58" s="193"/>
    </row>
    <row r="59" spans="2:20">
      <c r="B59" s="240"/>
      <c r="C59" s="206"/>
      <c r="D59" s="206"/>
      <c r="E59" s="206"/>
      <c r="F59" s="199"/>
      <c r="G59" s="199"/>
      <c r="H59" s="199"/>
      <c r="I59" s="199"/>
      <c r="J59" s="199"/>
      <c r="K59" s="211"/>
      <c r="L59" s="211"/>
      <c r="M59" s="211"/>
      <c r="N59" s="211"/>
      <c r="O59" s="211"/>
      <c r="P59" s="211"/>
      <c r="Q59" s="211"/>
      <c r="R59" s="234"/>
      <c r="T59" s="193"/>
    </row>
    <row r="60" spans="2:20">
      <c r="B60" s="243"/>
      <c r="C60" s="54"/>
      <c r="D60" s="54"/>
      <c r="E60" s="54"/>
      <c r="F60" s="54"/>
      <c r="G60" s="54"/>
      <c r="H60" s="54"/>
      <c r="I60" s="54"/>
      <c r="J60" s="54"/>
      <c r="K60" s="167"/>
      <c r="L60" s="167"/>
      <c r="M60" s="167"/>
      <c r="N60" s="226"/>
      <c r="O60" s="226"/>
      <c r="P60" s="226"/>
      <c r="Q60" s="226"/>
      <c r="R60" s="235"/>
      <c r="T60" s="193"/>
    </row>
    <row r="61" spans="2:20">
      <c r="B61" s="193"/>
      <c r="C61" s="193"/>
      <c r="D61" s="193"/>
      <c r="E61" s="193"/>
      <c r="F61" s="193"/>
      <c r="G61" s="193"/>
      <c r="H61" s="193"/>
      <c r="I61" s="193"/>
      <c r="J61" s="193"/>
      <c r="K61" s="193"/>
      <c r="L61" s="193"/>
      <c r="M61" s="227"/>
      <c r="N61" s="227"/>
      <c r="O61" s="227"/>
      <c r="P61" s="227"/>
      <c r="Q61" s="227"/>
      <c r="R61" s="227"/>
      <c r="T61" s="193"/>
    </row>
    <row r="62" spans="2:20">
      <c r="B62" s="193"/>
      <c r="C62" s="193"/>
      <c r="D62" s="193"/>
      <c r="E62" s="193"/>
      <c r="F62" s="193"/>
      <c r="G62" s="193"/>
      <c r="H62" s="193"/>
      <c r="I62" s="193"/>
      <c r="J62" s="193"/>
      <c r="K62" s="193"/>
      <c r="L62" s="193"/>
      <c r="M62" s="227"/>
      <c r="N62" s="227"/>
      <c r="O62" s="227"/>
      <c r="P62" s="227"/>
      <c r="Q62" s="227"/>
      <c r="R62" s="227"/>
      <c r="T62" s="193"/>
    </row>
    <row r="63" spans="2:20">
      <c r="B63" s="244" t="s">
        <v>216</v>
      </c>
      <c r="C63" s="193"/>
      <c r="D63" s="193"/>
      <c r="E63" s="193"/>
      <c r="F63" s="193"/>
      <c r="G63" s="193"/>
      <c r="H63" s="193"/>
      <c r="I63" s="193"/>
      <c r="J63" s="193"/>
      <c r="K63" s="193"/>
      <c r="L63" s="193"/>
      <c r="M63" s="227"/>
      <c r="N63" s="227"/>
      <c r="O63" s="227"/>
      <c r="P63" s="227"/>
      <c r="Q63" s="227"/>
      <c r="R63" s="227"/>
      <c r="S63" s="227"/>
      <c r="T63" s="193"/>
    </row>
    <row r="64" spans="2:20" ht="22.75" customHeight="1">
      <c r="B64" s="237" t="str">
        <f>'2017 Determination - Revenue'!B$16</f>
        <v>Financial year</v>
      </c>
      <c r="C64" s="238" t="str">
        <f>'2017 Determination - Revenue'!C$28</f>
        <v>Units</v>
      </c>
      <c r="D64" s="238"/>
      <c r="E64" s="238"/>
      <c r="F64" s="210" t="str">
        <f>'2017 Determination - Revenue'!F$16</f>
        <v>2017-18</v>
      </c>
      <c r="G64" s="210" t="str">
        <f>'2017 Determination - Revenue'!G$16</f>
        <v>2018-19</v>
      </c>
      <c r="H64" s="210" t="str">
        <f>'2017 Determination - Revenue'!H$16</f>
        <v>2019-20</v>
      </c>
      <c r="I64" s="210" t="str">
        <f>'2017 Determination - Revenue'!I$16</f>
        <v>2020-21</v>
      </c>
      <c r="J64" s="181"/>
      <c r="K64" s="393" t="str">
        <f>K$23</f>
        <v>Analysis of 2020-21 Charges based on ∆ in demand and CPI 
(expressed in $2020-21)</v>
      </c>
      <c r="L64" s="393"/>
      <c r="M64" s="393"/>
      <c r="N64" s="181"/>
      <c r="O64" s="393" t="str">
        <f>O23</f>
        <v>Analysis of 2020-21 Charges based on ∆ in demand 
(expressed in $2016-17)</v>
      </c>
      <c r="P64" s="393"/>
      <c r="Q64" s="393"/>
      <c r="R64" s="236"/>
      <c r="S64" s="190"/>
      <c r="T64" s="193"/>
    </row>
    <row r="65" spans="2:20" s="106" customFormat="1" ht="40.75" customHeight="1">
      <c r="B65" s="209"/>
      <c r="C65" s="190"/>
      <c r="D65" s="190"/>
      <c r="E65" s="190"/>
      <c r="F65" s="213" t="str">
        <f>F$24</f>
        <v>As per 2017 Price Review</v>
      </c>
      <c r="G65" s="213" t="str">
        <f>G$24</f>
        <v>Re-calculated using updated demand</v>
      </c>
      <c r="H65" s="213" t="str">
        <f>H$24</f>
        <v>Re-calculated using updated demand</v>
      </c>
      <c r="I65" s="213" t="str">
        <f>I$24</f>
        <v>Re-calculated using updated demand</v>
      </c>
      <c r="J65" s="182"/>
      <c r="K65" s="213" t="str">
        <f>F65</f>
        <v>As per 2017 Price Review</v>
      </c>
      <c r="L65" s="182" t="str">
        <f>G65</f>
        <v>Re-calculated using updated demand</v>
      </c>
      <c r="M65" s="182" t="str">
        <f>$M$24</f>
        <v xml:space="preserve"> Difference </v>
      </c>
      <c r="N65" s="182"/>
      <c r="O65" s="182" t="str">
        <f>O24</f>
        <v>As per 2017 Price Review</v>
      </c>
      <c r="P65" s="182" t="str">
        <f>P24</f>
        <v>Re-calculated using updated demand</v>
      </c>
      <c r="Q65" s="182" t="str">
        <f>Q24</f>
        <v>Difference</v>
      </c>
      <c r="R65" s="234"/>
      <c r="S65" s="190"/>
      <c r="T65" s="193"/>
    </row>
    <row r="66" spans="2:20">
      <c r="B66" s="209"/>
      <c r="C66" s="190"/>
      <c r="D66" s="190"/>
      <c r="E66" s="190"/>
      <c r="F66" s="214" t="str">
        <f>'2017 Determination - Revenue'!$F$29</f>
        <v>$2016-17</v>
      </c>
      <c r="G66" s="214" t="str">
        <f>'2017 Determination - Revenue'!$F$29</f>
        <v>$2016-17</v>
      </c>
      <c r="H66" s="214" t="str">
        <f>'2017 Determination - Revenue'!$F$29</f>
        <v>$2016-17</v>
      </c>
      <c r="I66" s="214" t="str">
        <f>'2017 Determination - Revenue'!$F$29</f>
        <v>$2016-17</v>
      </c>
      <c r="J66" s="183"/>
      <c r="K66" s="292" t="str">
        <f>K$25</f>
        <v>$2020-21</v>
      </c>
      <c r="L66" s="214" t="str">
        <f>L$25</f>
        <v>$2020-21</v>
      </c>
      <c r="M66" s="128" t="str">
        <f>$M$25</f>
        <v>%</v>
      </c>
      <c r="N66" s="128"/>
      <c r="O66" s="128" t="str">
        <f>O$25</f>
        <v>$2016-17</v>
      </c>
      <c r="P66" s="128" t="str">
        <f>P$25</f>
        <v>$2016-17</v>
      </c>
      <c r="Q66" s="128" t="str">
        <f>Q$25</f>
        <v>%</v>
      </c>
      <c r="R66" s="234"/>
      <c r="S66" s="190"/>
      <c r="T66" s="193"/>
    </row>
    <row r="67" spans="2:20">
      <c r="B67" s="239" t="str">
        <f>B$26</f>
        <v>Usage charges</v>
      </c>
      <c r="C67" s="190"/>
      <c r="D67" s="190"/>
      <c r="E67" s="190"/>
      <c r="F67" s="217"/>
      <c r="G67" s="217"/>
      <c r="H67" s="217"/>
      <c r="I67" s="217"/>
      <c r="J67" s="217"/>
      <c r="K67" s="211"/>
      <c r="L67" s="211"/>
      <c r="M67" s="211"/>
      <c r="N67" s="211"/>
      <c r="O67" s="211"/>
      <c r="P67" s="211"/>
      <c r="Q67" s="211"/>
      <c r="R67" s="234"/>
      <c r="S67" s="190"/>
      <c r="T67" s="193"/>
    </row>
    <row r="68" spans="2:20">
      <c r="B68" s="209" t="str">
        <f>'2017 Determination - Revenue'!B$33</f>
        <v>Border</v>
      </c>
      <c r="C68" s="190" t="str">
        <f>$C$27</f>
        <v>$/ML</v>
      </c>
      <c r="D68" s="190"/>
      <c r="E68" s="190"/>
      <c r="F68" s="293">
        <f>'2017 Determination - charges'!F18</f>
        <v>5.4449619575243808</v>
      </c>
      <c r="G68" s="289">
        <f>(('MDB calcs'!G172/'MDB calcs'!G21)*1000)</f>
        <v>5.3325154463286548</v>
      </c>
      <c r="H68" s="289">
        <f>(('MDB calcs'!H172/'MDB calcs'!H21)*1000)</f>
        <v>5.418975229671779</v>
      </c>
      <c r="I68" s="289">
        <f>(('MDB calcs'!I172/'MDB calcs'!I21)*1000)</f>
        <v>5.4532832126016277</v>
      </c>
      <c r="J68" s="172"/>
      <c r="K68" s="201">
        <f>'2017 Determination - charges'!N18</f>
        <v>5.8497000000000003</v>
      </c>
      <c r="L68" s="201">
        <f>ROUND((ROUND(I68,2)*(1+'2017 Determination - Revenue'!$F$18)),2)*(1+'2017 Determination - Revenue'!$I$22)</f>
        <v>5.8602400000000001</v>
      </c>
      <c r="M68" s="223">
        <f t="shared" ref="M68:M76" si="45">IF(K68=0,"na",L68/K68-1)</f>
        <v>1.8018018018017834E-3</v>
      </c>
      <c r="N68" s="223"/>
      <c r="O68" s="185">
        <f>'2017 Determination - charges'!I18</f>
        <v>5.4449619575243808</v>
      </c>
      <c r="P68" s="185">
        <f>I68</f>
        <v>5.4532832126016277</v>
      </c>
      <c r="Q68" s="223">
        <f t="shared" ref="Q68:Q76" si="46">IF(O68=0,"na",P68/O68-1)</f>
        <v>1.5282485244452193E-3</v>
      </c>
      <c r="R68" s="241"/>
      <c r="S68" s="201"/>
      <c r="T68" s="193"/>
    </row>
    <row r="69" spans="2:20">
      <c r="B69" s="209" t="str">
        <f>'2017 Determination - Revenue'!B$34</f>
        <v>Gwydir</v>
      </c>
      <c r="C69" s="190" t="str">
        <f t="shared" ref="C69:C75" si="47">$C$27</f>
        <v>$/ML</v>
      </c>
      <c r="D69" s="190"/>
      <c r="E69" s="190"/>
      <c r="F69" s="293">
        <f>'2017 Determination - charges'!F19</f>
        <v>11.873139524320214</v>
      </c>
      <c r="G69" s="289">
        <f>(('MDB calcs'!G173/'MDB calcs'!G22)*1000)</f>
        <v>12.015082003392797</v>
      </c>
      <c r="H69" s="289">
        <f>(('MDB calcs'!H173/'MDB calcs'!H22)*1000)</f>
        <v>12.348169387028879</v>
      </c>
      <c r="I69" s="289">
        <f>(('MDB calcs'!I173/'MDB calcs'!I22)*1000)</f>
        <v>13.00218238815347</v>
      </c>
      <c r="J69" s="172"/>
      <c r="K69" s="201">
        <f>'2017 Determination - charges'!N19</f>
        <v>12.774480000000001</v>
      </c>
      <c r="L69" s="201">
        <f>ROUND((ROUND(I69,2)*(1+'2017 Determination - Revenue'!$F$18)),2)*(1+'2017 Determination - Revenue'!$I$22)</f>
        <v>13.98658</v>
      </c>
      <c r="M69" s="223">
        <f t="shared" si="45"/>
        <v>9.4884488448844895E-2</v>
      </c>
      <c r="N69" s="223"/>
      <c r="O69" s="185">
        <f>'2017 Determination - charges'!I19</f>
        <v>11.873139524320214</v>
      </c>
      <c r="P69" s="185">
        <f t="shared" ref="P69:P76" si="48">I69</f>
        <v>13.00218238815347</v>
      </c>
      <c r="Q69" s="223">
        <f t="shared" si="46"/>
        <v>9.509219204580166E-2</v>
      </c>
      <c r="R69" s="234"/>
      <c r="S69" s="190"/>
      <c r="T69" s="193"/>
    </row>
    <row r="70" spans="2:20">
      <c r="B70" s="209" t="str">
        <f>'2017 Determination - Revenue'!B$35</f>
        <v>Namoi</v>
      </c>
      <c r="C70" s="190" t="str">
        <f t="shared" si="47"/>
        <v>$/ML</v>
      </c>
      <c r="D70" s="190"/>
      <c r="E70" s="190"/>
      <c r="F70" s="293">
        <f>'2017 Determination - charges'!F20</f>
        <v>19.983537685794229</v>
      </c>
      <c r="G70" s="289">
        <f>(('MDB calcs'!G174/'MDB calcs'!G23)*1000)</f>
        <v>19.895307159106121</v>
      </c>
      <c r="H70" s="289">
        <f>(('MDB calcs'!H174/'MDB calcs'!H23)*1000)</f>
        <v>20.793739614922096</v>
      </c>
      <c r="I70" s="289">
        <f>(('MDB calcs'!I174/'MDB calcs'!I23)*1000)</f>
        <v>21.96541236473454</v>
      </c>
      <c r="J70" s="172"/>
      <c r="K70" s="201">
        <f>'2017 Determination - charges'!N20</f>
        <v>21.5016</v>
      </c>
      <c r="L70" s="201">
        <f>ROUND((ROUND(I70,2)*(1+'2017 Determination - Revenue'!$F$18)),2)*(1+'2017 Determination - Revenue'!$I$22)</f>
        <v>23.641220000000001</v>
      </c>
      <c r="M70" s="223">
        <f t="shared" si="45"/>
        <v>9.9509803921568718E-2</v>
      </c>
      <c r="N70" s="223"/>
      <c r="O70" s="185">
        <f>'2017 Determination - charges'!I20</f>
        <v>19.983537685794229</v>
      </c>
      <c r="P70" s="185">
        <f t="shared" si="48"/>
        <v>21.96541236473454</v>
      </c>
      <c r="Q70" s="223">
        <f t="shared" si="46"/>
        <v>9.9175366749460592E-2</v>
      </c>
      <c r="R70" s="234"/>
      <c r="S70" s="190"/>
      <c r="T70" s="193"/>
    </row>
    <row r="71" spans="2:20">
      <c r="B71" s="209" t="str">
        <f>'2017 Determination - Revenue'!B$36</f>
        <v>Peel</v>
      </c>
      <c r="C71" s="190" t="str">
        <f t="shared" si="47"/>
        <v>$/ML</v>
      </c>
      <c r="D71" s="190"/>
      <c r="E71" s="190"/>
      <c r="F71" s="293">
        <f>'2017 Determination - charges'!F21</f>
        <v>55.091150391764842</v>
      </c>
      <c r="G71" s="289">
        <f>(('MDB calcs'!G175/'MDB calcs'!G24)*1000)</f>
        <v>17.994700641217754</v>
      </c>
      <c r="H71" s="289">
        <f>(('MDB calcs'!H175/'MDB calcs'!H24)*1000)</f>
        <v>17.540784239105591</v>
      </c>
      <c r="I71" s="289">
        <f>(('MDB calcs'!I175/'MDB calcs'!I24)*1000)</f>
        <v>16.640226735442837</v>
      </c>
      <c r="J71" s="172"/>
      <c r="K71" s="201">
        <f>'2017 Determination - charges'!N21</f>
        <v>19.762499999999999</v>
      </c>
      <c r="L71" s="201">
        <f>ROUND((ROUND(I71,2)*(1+'2017 Determination - Revenue'!$F$18)),2)*(1+'2017 Determination - Revenue'!$I$22)</f>
        <v>17.90746</v>
      </c>
      <c r="M71" s="223">
        <f t="shared" si="45"/>
        <v>-9.3866666666666654E-2</v>
      </c>
      <c r="N71" s="223"/>
      <c r="O71" s="185">
        <f>'2017 Determination - charges'!I21</f>
        <v>18.363716797254945</v>
      </c>
      <c r="P71" s="185">
        <f>I71</f>
        <v>16.640226735442837</v>
      </c>
      <c r="Q71" s="223">
        <f t="shared" si="46"/>
        <v>-9.385300812685915E-2</v>
      </c>
      <c r="R71" s="234"/>
      <c r="S71" s="190"/>
      <c r="T71" s="193"/>
    </row>
    <row r="72" spans="2:20">
      <c r="B72" s="209" t="str">
        <f>'2017 Determination - Revenue'!B$37</f>
        <v>Lachlan</v>
      </c>
      <c r="C72" s="190" t="str">
        <f t="shared" si="47"/>
        <v>$/ML</v>
      </c>
      <c r="D72" s="190"/>
      <c r="E72" s="190"/>
      <c r="F72" s="293">
        <f>'2017 Determination - charges'!F22</f>
        <v>19.038335664987216</v>
      </c>
      <c r="G72" s="289">
        <f>(('MDB calcs'!G176/'MDB calcs'!G25)*1000)</f>
        <v>20.16030963938173</v>
      </c>
      <c r="H72" s="289">
        <f>(('MDB calcs'!H176/'MDB calcs'!H25)*1000)</f>
        <v>20.510709897903102</v>
      </c>
      <c r="I72" s="289">
        <f>(('MDB calcs'!I176/'MDB calcs'!I25)*1000)</f>
        <v>20.509517294385017</v>
      </c>
      <c r="J72" s="172"/>
      <c r="K72" s="201">
        <f>'2017 Determination - charges'!N22</f>
        <v>20.489760000000004</v>
      </c>
      <c r="L72" s="201">
        <f>ROUND((ROUND(I72,2)*(1+'2017 Determination - Revenue'!$F$18)),2)*(1+'2017 Determination - Revenue'!$I$22)</f>
        <v>22.070760000000003</v>
      </c>
      <c r="M72" s="223">
        <f t="shared" si="45"/>
        <v>7.7160493827160392E-2</v>
      </c>
      <c r="N72" s="223"/>
      <c r="O72" s="185">
        <f>'2017 Determination - charges'!I22</f>
        <v>19.038335664987216</v>
      </c>
      <c r="P72" s="185">
        <f t="shared" si="48"/>
        <v>20.509517294385017</v>
      </c>
      <c r="Q72" s="223">
        <f t="shared" si="46"/>
        <v>7.7274697499078338E-2</v>
      </c>
      <c r="R72" s="234"/>
      <c r="S72" s="190"/>
      <c r="T72" s="193"/>
    </row>
    <row r="73" spans="2:20">
      <c r="B73" s="209" t="str">
        <f>'2017 Determination - Revenue'!B$38</f>
        <v>Macquarie</v>
      </c>
      <c r="C73" s="190" t="str">
        <f t="shared" si="47"/>
        <v>$/ML</v>
      </c>
      <c r="D73" s="190"/>
      <c r="E73" s="190"/>
      <c r="F73" s="293">
        <f>'2017 Determination - charges'!F23</f>
        <v>13.78434038452443</v>
      </c>
      <c r="G73" s="289">
        <f>(('MDB calcs'!G177/'MDB calcs'!G26)*1000)</f>
        <v>14.102148917391292</v>
      </c>
      <c r="H73" s="289">
        <f>(('MDB calcs'!H177/'MDB calcs'!H26)*1000)</f>
        <v>14.11345678548799</v>
      </c>
      <c r="I73" s="289">
        <f>(('MDB calcs'!I177/'MDB calcs'!I26)*1000)</f>
        <v>14.340487833418338</v>
      </c>
      <c r="J73" s="172"/>
      <c r="K73" s="201">
        <f>'2017 Determination - charges'!N23</f>
        <v>14.829780000000001</v>
      </c>
      <c r="L73" s="201">
        <f>ROUND((ROUND(I73,2)*(1+'2017 Determination - Revenue'!$F$18)),2)*(1+'2017 Determination - Revenue'!$I$22)</f>
        <v>15.430560000000002</v>
      </c>
      <c r="M73" s="223">
        <f t="shared" si="45"/>
        <v>4.051172707889128E-2</v>
      </c>
      <c r="N73" s="223"/>
      <c r="O73" s="185">
        <f>'2017 Determination - charges'!I23</f>
        <v>13.78434038452443</v>
      </c>
      <c r="P73" s="185">
        <f t="shared" si="48"/>
        <v>14.340487833418338</v>
      </c>
      <c r="Q73" s="223">
        <f t="shared" si="46"/>
        <v>4.0346322956323011E-2</v>
      </c>
      <c r="R73" s="234"/>
      <c r="S73" s="190"/>
      <c r="T73" s="193"/>
    </row>
    <row r="74" spans="2:20">
      <c r="B74" s="209" t="str">
        <f>'2017 Determination - Revenue'!B$39</f>
        <v>Murray</v>
      </c>
      <c r="C74" s="190" t="str">
        <f t="shared" si="47"/>
        <v>$/ML</v>
      </c>
      <c r="D74" s="190"/>
      <c r="E74" s="190"/>
      <c r="F74" s="293">
        <f>'2017 Determination - charges'!F24</f>
        <v>1.9059075031952837</v>
      </c>
      <c r="G74" s="289">
        <f>(('MDB calcs'!G178/'MDB calcs'!G27)*1000)</f>
        <v>1.9503940570760232</v>
      </c>
      <c r="H74" s="289">
        <f>(('MDB calcs'!H178/'MDB calcs'!H27)*1000)</f>
        <v>1.9809946647821046</v>
      </c>
      <c r="I74" s="289">
        <f>(('MDB calcs'!I178/'MDB calcs'!I27)*1000)</f>
        <v>2.0850066540512064</v>
      </c>
      <c r="J74" s="172"/>
      <c r="K74" s="201">
        <f>'2017 Determination - charges'!N24</f>
        <v>2.0552999999999999</v>
      </c>
      <c r="L74" s="201">
        <f>ROUND((ROUND(I74,2)*(1+'2017 Determination - Revenue'!$F$18)),2)*(1+'2017 Determination - Revenue'!$I$22)</f>
        <v>2.2450199999999998</v>
      </c>
      <c r="M74" s="223">
        <f t="shared" si="45"/>
        <v>9.2307692307692202E-2</v>
      </c>
      <c r="N74" s="223"/>
      <c r="O74" s="185">
        <f>'2017 Determination - charges'!I24</f>
        <v>1.9059075031952837</v>
      </c>
      <c r="P74" s="185">
        <f t="shared" si="48"/>
        <v>2.0850066540512064</v>
      </c>
      <c r="Q74" s="223">
        <f t="shared" si="46"/>
        <v>9.3970536637092872E-2</v>
      </c>
      <c r="R74" s="234"/>
      <c r="S74" s="190"/>
      <c r="T74" s="193"/>
    </row>
    <row r="75" spans="2:20">
      <c r="B75" s="209" t="str">
        <f>'2017 Determination - Revenue'!B$40</f>
        <v>Murrumbidgee</v>
      </c>
      <c r="C75" s="190" t="str">
        <f t="shared" si="47"/>
        <v>$/ML</v>
      </c>
      <c r="D75" s="190"/>
      <c r="E75" s="190"/>
      <c r="F75" s="293">
        <f>'2017 Determination - charges'!F25</f>
        <v>3.3066680084074336</v>
      </c>
      <c r="G75" s="289">
        <f>(('MDB calcs'!G179/'MDB calcs'!G28)*1000)</f>
        <v>3.388023718574328</v>
      </c>
      <c r="H75" s="289">
        <f>(('MDB calcs'!H179/'MDB calcs'!H28)*1000)</f>
        <v>3.4698884803489101</v>
      </c>
      <c r="I75" s="289">
        <f>(('MDB calcs'!I179/'MDB calcs'!I28)*1000)</f>
        <v>3.5981937176414753</v>
      </c>
      <c r="J75" s="172"/>
      <c r="K75" s="201">
        <f>'2017 Determination - charges'!N25</f>
        <v>3.5625200000000001</v>
      </c>
      <c r="L75" s="201">
        <f>ROUND((ROUND(I75,2)*(1+'2017 Determination - Revenue'!$F$18)),2)*(1+'2017 Determination - Revenue'!$I$22)</f>
        <v>3.8787200000000004</v>
      </c>
      <c r="M75" s="223">
        <f t="shared" si="45"/>
        <v>8.8757396449704151E-2</v>
      </c>
      <c r="N75" s="223"/>
      <c r="O75" s="185">
        <f>'2017 Determination - charges'!I25</f>
        <v>3.3066680084074336</v>
      </c>
      <c r="P75" s="185">
        <f t="shared" si="48"/>
        <v>3.5981937176414753</v>
      </c>
      <c r="Q75" s="223">
        <f t="shared" si="46"/>
        <v>8.8162981131706397E-2</v>
      </c>
      <c r="R75" s="234"/>
      <c r="S75" s="190"/>
      <c r="T75" s="193"/>
    </row>
    <row r="76" spans="2:20">
      <c r="B76" s="209" t="str">
        <f>'2017 Determination - Revenue'!B$41</f>
        <v>Lowbidgee</v>
      </c>
      <c r="C76" s="190" t="str">
        <f>$C$27</f>
        <v>$/ML</v>
      </c>
      <c r="D76" s="190"/>
      <c r="E76" s="190"/>
      <c r="F76" s="219">
        <v>0</v>
      </c>
      <c r="G76" s="289">
        <f>(('MDB calcs'!G180/'MDB calcs'!G29)*1000)</f>
        <v>0</v>
      </c>
      <c r="H76" s="289">
        <f>(('MDB calcs'!H180/'MDB calcs'!H29)*1000)</f>
        <v>0</v>
      </c>
      <c r="I76" s="289">
        <f>(('MDB calcs'!I180/'MDB calcs'!I29)*1000)</f>
        <v>0</v>
      </c>
      <c r="J76" s="172"/>
      <c r="K76" s="201">
        <f>'2017 Determination - charges'!N26</f>
        <v>0</v>
      </c>
      <c r="L76" s="201">
        <f>ROUND((ROUND(I76,2)*(1+'2017 Determination - Revenue'!$F$18)),2)*(1+'2017 Determination - Revenue'!$I$22)</f>
        <v>0</v>
      </c>
      <c r="M76" s="223" t="str">
        <f t="shared" si="45"/>
        <v>na</v>
      </c>
      <c r="N76" s="223"/>
      <c r="O76" s="185">
        <f>'2017 Determination - charges'!I26</f>
        <v>0</v>
      </c>
      <c r="P76" s="185">
        <f t="shared" si="48"/>
        <v>0</v>
      </c>
      <c r="Q76" s="223" t="str">
        <f t="shared" si="46"/>
        <v>na</v>
      </c>
      <c r="R76" s="234"/>
      <c r="S76" s="190"/>
      <c r="T76" s="193"/>
    </row>
    <row r="77" spans="2:20">
      <c r="B77" s="240" t="s">
        <v>34</v>
      </c>
      <c r="C77" s="190"/>
      <c r="D77" s="190"/>
      <c r="E77" s="190"/>
      <c r="F77" s="199"/>
      <c r="G77" s="199">
        <f>SUM(G68:G75)-((SUMPRODUCT('MDB calcs'!G172:G179/'MDB calcs'!G21:G28))*1000)</f>
        <v>0</v>
      </c>
      <c r="H77" s="199">
        <f>SUM(H68:H75)-((SUMPRODUCT('MDB calcs'!H172:H179/'MDB calcs'!H21:H28))*1000)</f>
        <v>0</v>
      </c>
      <c r="I77" s="199">
        <f>SUM(I68:I75)-((SUMPRODUCT('MDB calcs'!I172:I179/'MDB calcs'!I21:I28))*1000)</f>
        <v>0</v>
      </c>
      <c r="J77" s="199"/>
      <c r="K77" s="223"/>
      <c r="L77" s="223"/>
      <c r="M77" s="223"/>
      <c r="N77" s="223"/>
      <c r="O77" s="223"/>
      <c r="P77" s="223"/>
      <c r="Q77" s="223"/>
      <c r="R77" s="234"/>
      <c r="S77" s="190"/>
      <c r="T77" s="193"/>
    </row>
    <row r="78" spans="2:20">
      <c r="B78" s="239" t="str">
        <f>B$37</f>
        <v>General security entitlement charges</v>
      </c>
      <c r="C78" s="190"/>
      <c r="D78" s="190"/>
      <c r="E78" s="190"/>
      <c r="F78" s="174"/>
      <c r="G78" s="52"/>
      <c r="H78" s="52"/>
      <c r="I78" s="192"/>
      <c r="J78" s="37"/>
      <c r="K78" s="223"/>
      <c r="L78" s="223"/>
      <c r="M78" s="223"/>
      <c r="N78" s="223"/>
      <c r="O78" s="223"/>
      <c r="P78" s="223"/>
      <c r="Q78" s="223"/>
      <c r="R78" s="234"/>
      <c r="S78" s="190"/>
      <c r="T78" s="193"/>
    </row>
    <row r="79" spans="2:20">
      <c r="B79" s="209" t="str">
        <f>'2017 Determination - Revenue'!B$33</f>
        <v>Border</v>
      </c>
      <c r="C79" s="190" t="str">
        <f>$C$27</f>
        <v>$/ML</v>
      </c>
      <c r="D79" s="190"/>
      <c r="E79" s="190"/>
      <c r="F79" s="293">
        <f>'2017 Determination - charges'!F35</f>
        <v>1.9788687190371097</v>
      </c>
      <c r="G79" s="289">
        <f>(('MDB calcs'!G160/'MDB calcs'!G131)*1000)</f>
        <v>1.9816172959109561</v>
      </c>
      <c r="H79" s="289">
        <f>(('MDB calcs'!H160/'MDB calcs'!H131)*1000)</f>
        <v>1.979379522389638</v>
      </c>
      <c r="I79" s="289">
        <f>(('MDB calcs'!I160/'MDB calcs'!I131)*1000)</f>
        <v>1.9777231697493767</v>
      </c>
      <c r="J79" s="172"/>
      <c r="K79" s="201">
        <f>'2017 Determination - charges'!N35</f>
        <v>2.1290800000000001</v>
      </c>
      <c r="L79" s="201">
        <f>ROUND((ROUND(I79,2)*(1+'2017 Determination - Revenue'!$F$18)),2)*(1+'2017 Determination - Revenue'!$I$22)</f>
        <v>2.1290800000000001</v>
      </c>
      <c r="M79" s="223">
        <f t="shared" ref="M79:M87" si="49">IF(K79=0,"na",L79/K79-1)</f>
        <v>0</v>
      </c>
      <c r="N79" s="223"/>
      <c r="O79" s="185">
        <f>'2017 Determination - charges'!I35</f>
        <v>1.9788687190371097</v>
      </c>
      <c r="P79" s="185">
        <f>I79</f>
        <v>1.9777231697493767</v>
      </c>
      <c r="Q79" s="223">
        <f t="shared" ref="Q79:Q87" si="50">IF(O79=0,"na",P79/O79-1)</f>
        <v>-5.7889099802965749E-4</v>
      </c>
      <c r="R79" s="234"/>
      <c r="S79" s="190"/>
      <c r="T79" s="193"/>
    </row>
    <row r="80" spans="2:20">
      <c r="B80" s="209" t="str">
        <f>'2017 Determination - Revenue'!B$34</f>
        <v>Gwydir</v>
      </c>
      <c r="C80" s="190" t="str">
        <f t="shared" ref="C80:C86" si="51">$C$27</f>
        <v>$/ML</v>
      </c>
      <c r="D80" s="190"/>
      <c r="E80" s="190"/>
      <c r="F80" s="293">
        <f>'2017 Determination - charges'!F36</f>
        <v>3.4798474827858135</v>
      </c>
      <c r="G80" s="289">
        <f>(('MDB calcs'!G161/'MDB calcs'!G132)*1000)</f>
        <v>3.4819348836386537</v>
      </c>
      <c r="H80" s="289">
        <f>(('MDB calcs'!H161/'MDB calcs'!H132)*1000)</f>
        <v>3.4429045265792064</v>
      </c>
      <c r="I80" s="289">
        <f>(('MDB calcs'!I161/'MDB calcs'!I132)*1000)</f>
        <v>3.3114186262775012</v>
      </c>
      <c r="J80" s="172"/>
      <c r="K80" s="201">
        <f>'2017 Determination - charges'!N36</f>
        <v>3.7416999999999998</v>
      </c>
      <c r="L80" s="201">
        <f>ROUND((ROUND(I80,2)*(1+'2017 Determination - Revenue'!$F$18)),2)*(1+'2017 Determination - Revenue'!$I$22)</f>
        <v>3.5625200000000001</v>
      </c>
      <c r="M80" s="223">
        <f t="shared" si="49"/>
        <v>-4.7887323943661908E-2</v>
      </c>
      <c r="N80" s="223"/>
      <c r="O80" s="185">
        <f>'2017 Determination - charges'!I36</f>
        <v>3.4798474827858135</v>
      </c>
      <c r="P80" s="185">
        <f t="shared" ref="P80:P87" si="52">I80</f>
        <v>3.3114186262775012</v>
      </c>
      <c r="Q80" s="223">
        <f t="shared" si="50"/>
        <v>-4.8401217967597665E-2</v>
      </c>
      <c r="R80" s="234"/>
      <c r="S80" s="190"/>
      <c r="T80" s="193"/>
    </row>
    <row r="81" spans="2:20">
      <c r="B81" s="209" t="str">
        <f>'2017 Determination - Revenue'!B$35</f>
        <v>Namoi</v>
      </c>
      <c r="C81" s="190" t="str">
        <f t="shared" si="51"/>
        <v>$/ML</v>
      </c>
      <c r="D81" s="190"/>
      <c r="E81" s="190"/>
      <c r="F81" s="293">
        <f>'2017 Determination - charges'!F37</f>
        <v>7.9573495340749334</v>
      </c>
      <c r="G81" s="289">
        <f>(('MDB calcs'!G162/'MDB calcs'!G133)*1000)</f>
        <v>7.9683518692056623</v>
      </c>
      <c r="H81" s="289">
        <f>(('MDB calcs'!H162/'MDB calcs'!H133)*1000)</f>
        <v>7.9155573202818603</v>
      </c>
      <c r="I81" s="289">
        <f>(('MDB calcs'!I162/'MDB calcs'!I133)*1000)</f>
        <v>7.7682714168891716</v>
      </c>
      <c r="J81" s="172"/>
      <c r="K81" s="201">
        <f>'2017 Determination - charges'!N37</f>
        <v>8.5690200000000019</v>
      </c>
      <c r="L81" s="201">
        <f>ROUND((ROUND(I81,2)*(1+'2017 Determination - Revenue'!$F$18)),2)*(1+'2017 Determination - Revenue'!$I$22)</f>
        <v>8.3582199999999993</v>
      </c>
      <c r="M81" s="223">
        <f t="shared" si="49"/>
        <v>-2.4600246002460358E-2</v>
      </c>
      <c r="N81" s="223"/>
      <c r="O81" s="185">
        <f>'2017 Determination - charges'!I37</f>
        <v>7.9573495340749334</v>
      </c>
      <c r="P81" s="185">
        <f t="shared" si="52"/>
        <v>7.7682714168891716</v>
      </c>
      <c r="Q81" s="223">
        <f t="shared" si="50"/>
        <v>-2.3761444231661821E-2</v>
      </c>
      <c r="R81" s="234"/>
      <c r="S81" s="190"/>
      <c r="T81" s="193"/>
    </row>
    <row r="82" spans="2:20">
      <c r="B82" s="209" t="str">
        <f>'2017 Determination - Revenue'!B$36</f>
        <v>Peel</v>
      </c>
      <c r="C82" s="190" t="str">
        <f t="shared" si="51"/>
        <v>$/ML</v>
      </c>
      <c r="D82" s="190"/>
      <c r="E82" s="190"/>
      <c r="F82" s="293">
        <f>'2017 Determination - charges'!F38</f>
        <v>2.0088384355493285</v>
      </c>
      <c r="G82" s="289">
        <f>(('MDB calcs'!G163/'MDB calcs'!G134)*1000)</f>
        <v>4.1140497558650839</v>
      </c>
      <c r="H82" s="289">
        <f>(('MDB calcs'!H163/'MDB calcs'!H134)*1000)</f>
        <v>4.1373190377332918</v>
      </c>
      <c r="I82" s="289">
        <f>(('MDB calcs'!I163/'MDB calcs'!I134)*1000)</f>
        <v>3.9650823910176269</v>
      </c>
      <c r="J82" s="172"/>
      <c r="K82" s="201">
        <f>'2017 Determination - charges'!N38</f>
        <v>4.3213999999999997</v>
      </c>
      <c r="L82" s="201">
        <f>ROUND((ROUND(I82,2)*(1+'2017 Determination - Revenue'!$F$18)),2)*(1+'2017 Determination - Revenue'!$I$22)</f>
        <v>4.2686999999999999</v>
      </c>
      <c r="M82" s="223">
        <f t="shared" si="49"/>
        <v>-1.2195121951219412E-2</v>
      </c>
      <c r="N82" s="223"/>
      <c r="O82" s="185">
        <f>'2017 Determination - charges'!I38</f>
        <v>4.017676871098657</v>
      </c>
      <c r="P82" s="185">
        <f t="shared" si="52"/>
        <v>3.9650823910176269</v>
      </c>
      <c r="Q82" s="223">
        <f t="shared" si="50"/>
        <v>-1.3090769060939422E-2</v>
      </c>
      <c r="R82" s="234"/>
      <c r="S82" s="190"/>
      <c r="T82" s="193"/>
    </row>
    <row r="83" spans="2:20">
      <c r="B83" s="209" t="str">
        <f>'2017 Determination - Revenue'!B$37</f>
        <v>Lachlan</v>
      </c>
      <c r="C83" s="190" t="str">
        <f t="shared" si="51"/>
        <v>$/ML</v>
      </c>
      <c r="D83" s="190"/>
      <c r="E83" s="190"/>
      <c r="F83" s="293">
        <f>'2017 Determination - charges'!F39</f>
        <v>2.7294754839554174</v>
      </c>
      <c r="G83" s="289">
        <f>(('MDB calcs'!G164/'MDB calcs'!G135)*1000)</f>
        <v>2.7758839032514664</v>
      </c>
      <c r="H83" s="289">
        <f>(('MDB calcs'!H164/'MDB calcs'!H135)*1000)</f>
        <v>2.7011352666429462</v>
      </c>
      <c r="I83" s="289">
        <f>(('MDB calcs'!I164/'MDB calcs'!I135)*1000)</f>
        <v>2.5572264215621305</v>
      </c>
      <c r="J83" s="172"/>
      <c r="K83" s="201">
        <f>'2017 Determination - charges'!N39</f>
        <v>2.9406600000000003</v>
      </c>
      <c r="L83" s="201">
        <f>ROUND((ROUND(I83,2)*(1+'2017 Determination - Revenue'!$F$18)),2)*(1+'2017 Determination - Revenue'!$I$22)</f>
        <v>2.7509399999999999</v>
      </c>
      <c r="M83" s="223">
        <f t="shared" si="49"/>
        <v>-6.4516129032258118E-2</v>
      </c>
      <c r="N83" s="223"/>
      <c r="O83" s="185">
        <f>'2017 Determination - charges'!I39</f>
        <v>2.7294754839554174</v>
      </c>
      <c r="P83" s="185">
        <f t="shared" si="52"/>
        <v>2.5572264215621305</v>
      </c>
      <c r="Q83" s="223">
        <f t="shared" si="50"/>
        <v>-6.3107019427656619E-2</v>
      </c>
      <c r="R83" s="234"/>
      <c r="S83" s="190"/>
      <c r="T83" s="193"/>
    </row>
    <row r="84" spans="2:20">
      <c r="B84" s="209" t="str">
        <f>'2017 Determination - Revenue'!B$38</f>
        <v>Macquarie</v>
      </c>
      <c r="C84" s="190" t="str">
        <f t="shared" si="51"/>
        <v>$/ML</v>
      </c>
      <c r="D84" s="190"/>
      <c r="E84" s="190"/>
      <c r="F84" s="293">
        <f>'2017 Determination - charges'!F40</f>
        <v>2.8467811535599639</v>
      </c>
      <c r="G84" s="289">
        <f>(('MDB calcs'!G165/'MDB calcs'!G136)*1000)</f>
        <v>2.8600389822677408</v>
      </c>
      <c r="H84" s="289">
        <f>(('MDB calcs'!H165/'MDB calcs'!H136)*1000)</f>
        <v>2.8830512530915575</v>
      </c>
      <c r="I84" s="289">
        <f>(('MDB calcs'!I165/'MDB calcs'!I136)*1000)</f>
        <v>2.7945559429356339</v>
      </c>
      <c r="J84" s="172"/>
      <c r="K84" s="201">
        <f>'2017 Determination - charges'!N40</f>
        <v>3.0671400000000002</v>
      </c>
      <c r="L84" s="201">
        <f>ROUND((ROUND(I84,2)*(1+'2017 Determination - Revenue'!$F$18)),2)*(1+'2017 Determination - Revenue'!$I$22)</f>
        <v>3.0039000000000002</v>
      </c>
      <c r="M84" s="223">
        <f t="shared" si="49"/>
        <v>-2.0618556701030966E-2</v>
      </c>
      <c r="N84" s="223"/>
      <c r="O84" s="185">
        <f>'2017 Determination - charges'!I40</f>
        <v>2.8467811535599639</v>
      </c>
      <c r="P84" s="185">
        <f t="shared" si="52"/>
        <v>2.7945559429356339</v>
      </c>
      <c r="Q84" s="223">
        <f t="shared" si="50"/>
        <v>-1.8345354913924861E-2</v>
      </c>
      <c r="R84" s="234"/>
      <c r="S84" s="190"/>
      <c r="T84" s="193"/>
    </row>
    <row r="85" spans="2:20">
      <c r="B85" s="209" t="str">
        <f>'2017 Determination - Revenue'!B$39</f>
        <v>Murray</v>
      </c>
      <c r="C85" s="190" t="str">
        <f t="shared" si="51"/>
        <v>$/ML</v>
      </c>
      <c r="D85" s="190"/>
      <c r="E85" s="190"/>
      <c r="F85" s="293">
        <f>'2017 Determination - charges'!F41</f>
        <v>0.75379063074672403</v>
      </c>
      <c r="G85" s="289">
        <f>(('MDB calcs'!G166/'MDB calcs'!G137)*1000)</f>
        <v>0.75380002329512741</v>
      </c>
      <c r="H85" s="289">
        <f>(('MDB calcs'!H166/'MDB calcs'!H137)*1000)</f>
        <v>0.74962015532850257</v>
      </c>
      <c r="I85" s="289">
        <f>(('MDB calcs'!I166/'MDB calcs'!I137)*1000)</f>
        <v>0.73662651265745072</v>
      </c>
      <c r="J85" s="172"/>
      <c r="K85" s="201">
        <f>'2017 Determination - charges'!N41</f>
        <v>0.81158000000000008</v>
      </c>
      <c r="L85" s="201">
        <f>ROUND((ROUND(I85,2)*(1+'2017 Determination - Revenue'!$F$18)),2)*(1+'2017 Determination - Revenue'!$I$22)</f>
        <v>0.80104000000000009</v>
      </c>
      <c r="M85" s="223">
        <f t="shared" si="49"/>
        <v>-1.2987012987012991E-2</v>
      </c>
      <c r="N85" s="223"/>
      <c r="O85" s="185">
        <f>'2017 Determination - charges'!I41</f>
        <v>0.75379063074672403</v>
      </c>
      <c r="P85" s="185">
        <f t="shared" si="52"/>
        <v>0.73662651265745072</v>
      </c>
      <c r="Q85" s="223">
        <f t="shared" si="50"/>
        <v>-2.277040518833473E-2</v>
      </c>
      <c r="R85" s="234"/>
      <c r="S85" s="190"/>
      <c r="T85" s="193"/>
    </row>
    <row r="86" spans="2:20" ht="12" thickBot="1">
      <c r="B86" s="209" t="str">
        <f>'2017 Determination - Revenue'!B$40</f>
        <v>Murrumbidgee</v>
      </c>
      <c r="C86" s="190" t="str">
        <f t="shared" si="51"/>
        <v>$/ML</v>
      </c>
      <c r="D86" s="190"/>
      <c r="E86" s="190"/>
      <c r="F86" s="293">
        <f>'2017 Determination - charges'!F42</f>
        <v>1.1144947783604038</v>
      </c>
      <c r="G86" s="294">
        <f>(('MDB calcs'!G167/'MDB calcs'!G138)*1000)</f>
        <v>1.1145188267602932</v>
      </c>
      <c r="H86" s="294">
        <f>(('MDB calcs'!H167/'MDB calcs'!H138)*1000)</f>
        <v>1.1033590381934999</v>
      </c>
      <c r="I86" s="294">
        <f>(('MDB calcs'!I167/'MDB calcs'!I138)*1000)</f>
        <v>1.0785289791529251</v>
      </c>
      <c r="J86" s="172"/>
      <c r="K86" s="201">
        <f>'2017 Determination - charges'!N42</f>
        <v>1.19102</v>
      </c>
      <c r="L86" s="201">
        <f>ROUND((ROUND(I86,2)*(1+'2017 Determination - Revenue'!$F$18)),2)*(1+'2017 Determination - Revenue'!$I$22)</f>
        <v>1.1594000000000002</v>
      </c>
      <c r="M86" s="223">
        <f t="shared" si="49"/>
        <v>-2.6548672566371501E-2</v>
      </c>
      <c r="N86" s="223"/>
      <c r="O86" s="185">
        <f>'2017 Determination - charges'!I42</f>
        <v>1.1144947783604038</v>
      </c>
      <c r="P86" s="185">
        <f t="shared" si="52"/>
        <v>1.0785289791529251</v>
      </c>
      <c r="Q86" s="223">
        <f t="shared" si="50"/>
        <v>-3.227094456233337E-2</v>
      </c>
      <c r="R86" s="234"/>
      <c r="S86" s="190"/>
      <c r="T86" s="193"/>
    </row>
    <row r="87" spans="2:20" ht="12" thickTop="1">
      <c r="B87" s="209" t="str">
        <f>'2017 Determination - Revenue'!B$41</f>
        <v>Lowbidgee</v>
      </c>
      <c r="C87" s="190" t="str">
        <f>$C$27</f>
        <v>$/ML</v>
      </c>
      <c r="D87" s="190"/>
      <c r="E87" s="190"/>
      <c r="F87" s="293">
        <f>'2017 Determination - charges'!F43</f>
        <v>0.7831544756319907</v>
      </c>
      <c r="G87" s="289">
        <f>(('MDB calcs'!G156/'MDB calcs'!G139)*1000)</f>
        <v>0.78328421327595998</v>
      </c>
      <c r="H87" s="289">
        <f>(('MDB calcs'!H156/'MDB calcs'!H139)*1000)</f>
        <v>0.78298426918511288</v>
      </c>
      <c r="I87" s="289">
        <f>(('MDB calcs'!I156/'MDB calcs'!I139)*1000)</f>
        <v>0.78270256054631426</v>
      </c>
      <c r="J87" s="172"/>
      <c r="K87" s="201">
        <f>'2017 Determination - charges'!N43</f>
        <v>0.84320000000000006</v>
      </c>
      <c r="L87" s="201">
        <f>ROUND((ROUND(I87,2)*(1+'2017 Determination - Revenue'!$F$18)),2)*(1+'2017 Determination - Revenue'!$I$22)</f>
        <v>0.84320000000000006</v>
      </c>
      <c r="M87" s="223">
        <f t="shared" si="49"/>
        <v>0</v>
      </c>
      <c r="N87" s="223"/>
      <c r="O87" s="185">
        <f>'2017 Determination - charges'!I43</f>
        <v>0.7831544756319907</v>
      </c>
      <c r="P87" s="185">
        <f t="shared" si="52"/>
        <v>0.78270256054631426</v>
      </c>
      <c r="Q87" s="223">
        <f t="shared" si="50"/>
        <v>-5.7704463134400363E-4</v>
      </c>
      <c r="R87" s="234"/>
      <c r="S87" s="190"/>
      <c r="T87" s="193"/>
    </row>
    <row r="88" spans="2:20">
      <c r="B88" s="240"/>
      <c r="C88" s="190"/>
      <c r="D88" s="190"/>
      <c r="E88" s="190"/>
      <c r="F88" s="199"/>
      <c r="G88" s="80"/>
      <c r="H88" s="80"/>
      <c r="I88" s="80"/>
      <c r="J88" s="130"/>
      <c r="K88" s="223"/>
      <c r="L88" s="223"/>
      <c r="M88" s="223"/>
      <c r="N88" s="223"/>
      <c r="O88" s="223"/>
      <c r="P88" s="223"/>
      <c r="Q88" s="223"/>
      <c r="R88" s="234"/>
      <c r="S88" s="190"/>
      <c r="T88" s="193"/>
    </row>
    <row r="89" spans="2:20">
      <c r="B89" s="239" t="str">
        <f>B$48</f>
        <v>High security entitlement charges</v>
      </c>
      <c r="C89" s="190"/>
      <c r="D89" s="190"/>
      <c r="E89" s="190"/>
      <c r="F89" s="190"/>
      <c r="G89" s="37"/>
      <c r="H89" s="37"/>
      <c r="I89" s="37"/>
      <c r="J89" s="37"/>
      <c r="K89" s="223"/>
      <c r="L89" s="223"/>
      <c r="M89" s="223"/>
      <c r="N89" s="223"/>
      <c r="O89" s="223"/>
      <c r="P89" s="223"/>
      <c r="Q89" s="223"/>
      <c r="R89" s="234"/>
      <c r="S89" s="190"/>
      <c r="T89" s="193"/>
    </row>
    <row r="90" spans="2:20">
      <c r="B90" s="209" t="str">
        <f>'2017 Determination - Revenue'!B$33</f>
        <v>Border</v>
      </c>
      <c r="C90" s="190" t="str">
        <f>$C$27</f>
        <v>$/ML</v>
      </c>
      <c r="D90" s="190"/>
      <c r="E90" s="190"/>
      <c r="F90" s="293">
        <f>'2017 Determination - charges'!F52</f>
        <v>5.3280912819709219</v>
      </c>
      <c r="G90" s="289">
        <f>(G79*'MDB calcs'!G114)</f>
        <v>5.0764515698410557</v>
      </c>
      <c r="H90" s="289">
        <f>(H79*'MDB calcs'!H114)</f>
        <v>5.2243603987376757</v>
      </c>
      <c r="I90" s="289">
        <f>(I79*'MDB calcs'!I114)</f>
        <v>5.4025051872038379</v>
      </c>
      <c r="J90" s="172"/>
      <c r="K90" s="201">
        <f>'2017 Determination - charges'!N52</f>
        <v>5.7337600000000011</v>
      </c>
      <c r="L90" s="201">
        <f>ROUND((ROUND(I90,2)*(1+'2017 Determination - Revenue'!$F$18)),2)*(1+'2017 Determination - Revenue'!$I$22)</f>
        <v>5.8075400000000004</v>
      </c>
      <c r="M90" s="223">
        <f t="shared" ref="M90:M98" si="53">IF(K90=0,"na",L90/K90-1)</f>
        <v>1.2867647058823373E-2</v>
      </c>
      <c r="N90" s="223"/>
      <c r="O90" s="185">
        <f>'2017 Determination - charges'!I52</f>
        <v>5.33</v>
      </c>
      <c r="P90" s="185">
        <f>I90</f>
        <v>5.4025051872038379</v>
      </c>
      <c r="Q90" s="223">
        <f t="shared" ref="Q90:Q98" si="54">IF(O90=0,"na",P90/O90-1)</f>
        <v>1.3603224616104637E-2</v>
      </c>
      <c r="R90" s="234"/>
      <c r="S90" s="190"/>
      <c r="T90" s="193"/>
    </row>
    <row r="91" spans="2:20">
      <c r="B91" s="209" t="str">
        <f>'2017 Determination - Revenue'!B$34</f>
        <v>Gwydir</v>
      </c>
      <c r="C91" s="190" t="str">
        <f t="shared" ref="C91:C97" si="55">$C$27</f>
        <v>$/ML</v>
      </c>
      <c r="D91" s="190"/>
      <c r="E91" s="190"/>
      <c r="F91" s="293">
        <f>'2017 Determination - charges'!F53</f>
        <v>11.081245442126379</v>
      </c>
      <c r="G91" s="289">
        <f>(G80*'MDB calcs'!G115)</f>
        <v>11.042211204680088</v>
      </c>
      <c r="H91" s="289">
        <f>(H80*'MDB calcs'!H115)</f>
        <v>11.77936904257113</v>
      </c>
      <c r="I91" s="289">
        <f>(I80*'MDB calcs'!I115)</f>
        <v>14.267580494197</v>
      </c>
      <c r="J91" s="172"/>
      <c r="K91" s="201">
        <f>'2017 Determination - charges'!N53</f>
        <v>11.92074</v>
      </c>
      <c r="L91" s="201">
        <f>ROUND((ROUND(I91,2)*(1+'2017 Determination - Revenue'!$F$18)),2)*(1+'2017 Determination - Revenue'!$I$22)</f>
        <v>15.356780000000001</v>
      </c>
      <c r="M91" s="223">
        <f t="shared" si="53"/>
        <v>0.28824049513704697</v>
      </c>
      <c r="N91" s="223"/>
      <c r="O91" s="185">
        <f>'2017 Determination - charges'!I53</f>
        <v>11.081245442126379</v>
      </c>
      <c r="P91" s="185">
        <f t="shared" ref="P91:P98" si="56">I91</f>
        <v>14.267580494197</v>
      </c>
      <c r="Q91" s="223">
        <f t="shared" si="54"/>
        <v>0.28754304457127833</v>
      </c>
      <c r="R91" s="234"/>
      <c r="S91" s="190"/>
      <c r="T91" s="193"/>
    </row>
    <row r="92" spans="2:20">
      <c r="B92" s="209" t="str">
        <f>'2017 Determination - Revenue'!B$35</f>
        <v>Namoi</v>
      </c>
      <c r="C92" s="190" t="str">
        <f t="shared" si="55"/>
        <v>$/ML</v>
      </c>
      <c r="D92" s="190"/>
      <c r="E92" s="190"/>
      <c r="F92" s="293">
        <f>'2017 Determination - charges'!F54</f>
        <v>17.078806213771792</v>
      </c>
      <c r="G92" s="289">
        <f>(G81*'MDB calcs'!G116)</f>
        <v>16.761594789902677</v>
      </c>
      <c r="H92" s="289">
        <f>(H81*'MDB calcs'!H116)</f>
        <v>17.998221785890252</v>
      </c>
      <c r="I92" s="289">
        <f>(I81*'MDB calcs'!I116)</f>
        <v>22.25670410237764</v>
      </c>
      <c r="J92" s="172"/>
      <c r="K92" s="201">
        <f>'2017 Determination - charges'!N54</f>
        <v>18.381760000000003</v>
      </c>
      <c r="L92" s="201">
        <f>ROUND((ROUND(I92,2)*(1+'2017 Determination - Revenue'!$F$18)),2)*(1+'2017 Determination - Revenue'!$I$22)</f>
        <v>23.957420000000003</v>
      </c>
      <c r="M92" s="223">
        <f t="shared" si="53"/>
        <v>0.30332568807339433</v>
      </c>
      <c r="N92" s="223"/>
      <c r="O92" s="185">
        <f>'2017 Determination - charges'!I54</f>
        <v>17.078806213771792</v>
      </c>
      <c r="P92" s="185">
        <f t="shared" si="56"/>
        <v>22.25670410237764</v>
      </c>
      <c r="Q92" s="223">
        <f t="shared" si="54"/>
        <v>0.30317680426812044</v>
      </c>
      <c r="R92" s="234"/>
      <c r="S92" s="190"/>
      <c r="T92" s="193"/>
    </row>
    <row r="93" spans="2:20">
      <c r="B93" s="209" t="str">
        <f>'2017 Determination - Revenue'!B$36</f>
        <v>Peel</v>
      </c>
      <c r="C93" s="190" t="str">
        <f t="shared" si="55"/>
        <v>$/ML</v>
      </c>
      <c r="D93" s="190"/>
      <c r="E93" s="190"/>
      <c r="F93" s="293">
        <f>'2017 Determination - charges'!F55</f>
        <v>20.78395133436014</v>
      </c>
      <c r="G93" s="289">
        <f>(G82*'MDB calcs'!G117)</f>
        <v>41.401125251337078</v>
      </c>
      <c r="H93" s="289">
        <f>(H82*'MDB calcs'!H117)</f>
        <v>41.547652623209807</v>
      </c>
      <c r="I93" s="289">
        <f>(I82*'MDB calcs'!I117)</f>
        <v>41.840401580058895</v>
      </c>
      <c r="J93" s="172"/>
      <c r="K93" s="201">
        <f>'2017 Determination - charges'!N55</f>
        <v>44.731760000000001</v>
      </c>
      <c r="L93" s="201">
        <f>ROUND((ROUND(I93,2)*(1+'2017 Determination - Revenue'!$F$18)),2)*(1+'2017 Determination - Revenue'!$I$22)</f>
        <v>45.026879999999998</v>
      </c>
      <c r="M93" s="223">
        <f t="shared" si="53"/>
        <v>6.5975494816210567E-3</v>
      </c>
      <c r="N93" s="223"/>
      <c r="O93" s="185">
        <f>'2017 Determination - charges'!I55</f>
        <v>41.567902668720279</v>
      </c>
      <c r="P93" s="185">
        <f t="shared" si="56"/>
        <v>41.840401580058895</v>
      </c>
      <c r="Q93" s="223">
        <f t="shared" si="54"/>
        <v>6.5555126394112317E-3</v>
      </c>
      <c r="R93" s="234"/>
      <c r="S93" s="190"/>
      <c r="T93" s="193"/>
    </row>
    <row r="94" spans="2:20">
      <c r="B94" s="209" t="str">
        <f>'2017 Determination - Revenue'!B$37</f>
        <v>Lachlan</v>
      </c>
      <c r="C94" s="190" t="str">
        <f t="shared" si="55"/>
        <v>$/ML</v>
      </c>
      <c r="D94" s="190"/>
      <c r="E94" s="190"/>
      <c r="F94" s="293">
        <f>'2017 Determination - charges'!F56</f>
        <v>15.379109814709489</v>
      </c>
      <c r="G94" s="289">
        <f>(G83*'MDB calcs'!G118)</f>
        <v>14.867665553751058</v>
      </c>
      <c r="H94" s="289">
        <f>(H83*'MDB calcs'!H118)</f>
        <v>15.691859559139104</v>
      </c>
      <c r="I94" s="289">
        <f>(I83*'MDB calcs'!I118)</f>
        <v>17.29576851050135</v>
      </c>
      <c r="J94" s="172"/>
      <c r="K94" s="201">
        <f>'2017 Determination - charges'!N56</f>
        <v>16.547799999999999</v>
      </c>
      <c r="L94" s="201">
        <f>ROUND((ROUND(I94,2)*(1+'2017 Determination - Revenue'!$F$18)),2)*(1+'2017 Determination - Revenue'!$I$22)</f>
        <v>18.61364</v>
      </c>
      <c r="M94" s="223">
        <f t="shared" si="53"/>
        <v>0.12484076433121039</v>
      </c>
      <c r="N94" s="223"/>
      <c r="O94" s="185">
        <f>'2017 Determination - charges'!I56</f>
        <v>15.379109814709489</v>
      </c>
      <c r="P94" s="185">
        <f t="shared" si="56"/>
        <v>17.29576851050135</v>
      </c>
      <c r="Q94" s="223">
        <f t="shared" si="54"/>
        <v>0.1246274146478008</v>
      </c>
      <c r="R94" s="234"/>
      <c r="S94" s="190"/>
      <c r="T94" s="193"/>
    </row>
    <row r="95" spans="2:20">
      <c r="B95" s="209" t="str">
        <f>'2017 Determination - Revenue'!B$38</f>
        <v>Macquarie</v>
      </c>
      <c r="C95" s="190" t="str">
        <f t="shared" si="55"/>
        <v>$/ML</v>
      </c>
      <c r="D95" s="190"/>
      <c r="E95" s="190"/>
      <c r="F95" s="293">
        <f>'2017 Determination - charges'!F57</f>
        <v>13.514162012252285</v>
      </c>
      <c r="G95" s="289">
        <f>(G84*'MDB calcs'!G119)</f>
        <v>13.3257587341638</v>
      </c>
      <c r="H95" s="289">
        <f>(H84*'MDB calcs'!H119)</f>
        <v>12.983641167550713</v>
      </c>
      <c r="I95" s="289">
        <f>(I84*'MDB calcs'!I119)</f>
        <v>14.29258122643277</v>
      </c>
      <c r="J95" s="172"/>
      <c r="K95" s="201">
        <f>'2017 Determination - charges'!N57</f>
        <v>14.534660000000001</v>
      </c>
      <c r="L95" s="201">
        <f>ROUND((ROUND(I95,2)*(1+'2017 Determination - Revenue'!$F$18)),2)*(1+'2017 Determination - Revenue'!$I$22)</f>
        <v>15.37786</v>
      </c>
      <c r="M95" s="223">
        <f t="shared" si="53"/>
        <v>5.8013052936910725E-2</v>
      </c>
      <c r="N95" s="223"/>
      <c r="O95" s="185">
        <f>'2017 Determination - charges'!I57</f>
        <v>13.514162012252285</v>
      </c>
      <c r="P95" s="185">
        <f t="shared" si="56"/>
        <v>14.29258122643277</v>
      </c>
      <c r="Q95" s="223">
        <f t="shared" si="54"/>
        <v>5.7600257675966215E-2</v>
      </c>
      <c r="R95" s="234"/>
      <c r="S95" s="190"/>
      <c r="T95" s="193"/>
    </row>
    <row r="96" spans="2:20">
      <c r="B96" s="209" t="str">
        <f>'2017 Determination - Revenue'!B$39</f>
        <v>Murray</v>
      </c>
      <c r="C96" s="190" t="str">
        <f t="shared" si="55"/>
        <v>$/ML</v>
      </c>
      <c r="D96" s="190"/>
      <c r="E96" s="190"/>
      <c r="F96" s="293">
        <f>'2017 Determination - charges'!F58</f>
        <v>1.5377364390374406</v>
      </c>
      <c r="G96" s="289">
        <f>(G85*'MDB calcs'!G120)</f>
        <v>1.5377555998804464</v>
      </c>
      <c r="H96" s="289">
        <f>(H85*'MDB calcs'!H120)</f>
        <v>1.5709937629737774</v>
      </c>
      <c r="I96" s="289">
        <f>(I85*'MDB calcs'!I120)</f>
        <v>1.6726115953155629</v>
      </c>
      <c r="J96" s="172"/>
      <c r="K96" s="201">
        <f>'2017 Determination - charges'!N58</f>
        <v>1.6547800000000001</v>
      </c>
      <c r="L96" s="201">
        <f>ROUND((ROUND(I96,2)*(1+'2017 Determination - Revenue'!$F$18)),2)*(1+'2017 Determination - Revenue'!$I$22)</f>
        <v>1.8023400000000001</v>
      </c>
      <c r="M96" s="223">
        <f t="shared" si="53"/>
        <v>8.9171974522292974E-2</v>
      </c>
      <c r="N96" s="223"/>
      <c r="O96" s="185">
        <f>'2017 Determination - charges'!I58</f>
        <v>1.5377364390374406</v>
      </c>
      <c r="P96" s="185">
        <f t="shared" si="56"/>
        <v>1.6726115953155629</v>
      </c>
      <c r="Q96" s="223">
        <f t="shared" si="54"/>
        <v>8.7710190676465016E-2</v>
      </c>
      <c r="R96" s="234"/>
      <c r="S96" s="190"/>
      <c r="T96" s="193"/>
    </row>
    <row r="97" spans="2:20">
      <c r="B97" s="209" t="str">
        <f>'2017 Determination - Revenue'!B$40</f>
        <v>Murrumbidgee</v>
      </c>
      <c r="C97" s="190" t="str">
        <f t="shared" si="55"/>
        <v>$/ML</v>
      </c>
      <c r="D97" s="190"/>
      <c r="E97" s="190"/>
      <c r="F97" s="293">
        <f>'2017 Determination - charges'!F59</f>
        <v>2.9532745157454201</v>
      </c>
      <c r="G97" s="289">
        <f>(G86*'MDB calcs'!G121)</f>
        <v>2.9533482054206868</v>
      </c>
      <c r="H97" s="289">
        <f>(H86*'MDB calcs'!H121)</f>
        <v>3.010582703071663</v>
      </c>
      <c r="I97" s="289">
        <f>(I86*'MDB calcs'!I121)</f>
        <v>3.1385924171803721</v>
      </c>
      <c r="J97" s="172"/>
      <c r="K97" s="201">
        <f>'2017 Determination - charges'!N59</f>
        <v>3.1725400000000001</v>
      </c>
      <c r="L97" s="201">
        <f>ROUND((ROUND(I97,2)*(1+'2017 Determination - Revenue'!$F$18)),2)*(1+'2017 Determination - Revenue'!$I$22)</f>
        <v>3.38334</v>
      </c>
      <c r="M97" s="223">
        <f t="shared" si="53"/>
        <v>6.6445182724252483E-2</v>
      </c>
      <c r="N97" s="223"/>
      <c r="O97" s="185">
        <f>'2017 Determination - charges'!I59</f>
        <v>2.9532745157454201</v>
      </c>
      <c r="P97" s="185">
        <f t="shared" si="56"/>
        <v>3.1385924171803721</v>
      </c>
      <c r="Q97" s="223">
        <f t="shared" si="54"/>
        <v>6.2749974798118835E-2</v>
      </c>
      <c r="R97" s="234"/>
      <c r="S97" s="190"/>
      <c r="T97" s="193"/>
    </row>
    <row r="98" spans="2:20">
      <c r="B98" s="209" t="str">
        <f>'2017 Determination - Revenue'!B$41</f>
        <v>Lowbidgee</v>
      </c>
      <c r="C98" s="190" t="str">
        <f>$C$27</f>
        <v>$/ML</v>
      </c>
      <c r="D98" s="190"/>
      <c r="E98" s="190"/>
      <c r="F98" s="219">
        <v>0</v>
      </c>
      <c r="G98" s="245">
        <v>0</v>
      </c>
      <c r="H98" s="245">
        <v>0</v>
      </c>
      <c r="I98" s="245">
        <v>0</v>
      </c>
      <c r="J98" s="172"/>
      <c r="K98" s="201">
        <f>'2017 Determination - charges'!N60</f>
        <v>0</v>
      </c>
      <c r="L98" s="201">
        <f>ROUND((ROUND(I98,2)*(1+'2017 Determination - Revenue'!$F$18)),2)*(1+'2017 Determination - Revenue'!$I$22)</f>
        <v>0</v>
      </c>
      <c r="M98" s="223" t="str">
        <f t="shared" si="53"/>
        <v>na</v>
      </c>
      <c r="N98" s="223"/>
      <c r="O98" s="185">
        <f>'2017 Determination - charges'!I60</f>
        <v>0</v>
      </c>
      <c r="P98" s="185">
        <f t="shared" si="56"/>
        <v>0</v>
      </c>
      <c r="Q98" s="223" t="str">
        <f t="shared" si="54"/>
        <v>na</v>
      </c>
      <c r="R98" s="234"/>
      <c r="S98" s="190"/>
      <c r="T98" s="193"/>
    </row>
    <row r="99" spans="2:20">
      <c r="B99" s="240" t="s">
        <v>34</v>
      </c>
      <c r="C99" s="190"/>
      <c r="D99" s="190"/>
      <c r="E99" s="190"/>
      <c r="F99" s="199"/>
      <c r="G99" s="199">
        <f>SUMPRODUCT(G79:G87,'MDB calcs'!G114:G122)-SUM(G90:G98)</f>
        <v>0</v>
      </c>
      <c r="H99" s="199">
        <f>SUMPRODUCT(H79:H87,'MDB calcs'!H114:H122)-SUM(H90:H98)</f>
        <v>0</v>
      </c>
      <c r="I99" s="199">
        <f>SUMPRODUCT(I79:I87,'MDB calcs'!I114:I122)-SUM(I90:I98)</f>
        <v>0.78270256054631204</v>
      </c>
      <c r="J99" s="199"/>
      <c r="K99" s="211"/>
      <c r="L99" s="211"/>
      <c r="M99" s="211"/>
      <c r="N99" s="211"/>
      <c r="O99" s="211"/>
      <c r="P99" s="211"/>
      <c r="Q99" s="211"/>
      <c r="R99" s="234"/>
      <c r="S99" s="190"/>
      <c r="T99" s="193"/>
    </row>
    <row r="100" spans="2:20">
      <c r="B100" s="243"/>
      <c r="C100" s="54"/>
      <c r="D100" s="54"/>
      <c r="E100" s="54"/>
      <c r="F100" s="54"/>
      <c r="G100" s="54"/>
      <c r="H100" s="54"/>
      <c r="I100" s="176"/>
      <c r="J100" s="54"/>
      <c r="K100" s="167"/>
      <c r="L100" s="167"/>
      <c r="M100" s="167"/>
      <c r="N100" s="226"/>
      <c r="O100" s="226"/>
      <c r="P100" s="226"/>
      <c r="Q100" s="226"/>
      <c r="R100" s="235"/>
      <c r="S100" s="190"/>
      <c r="T100" s="193"/>
    </row>
    <row r="101" spans="2:20">
      <c r="B101" s="193"/>
      <c r="C101" s="193"/>
      <c r="D101" s="193"/>
      <c r="E101" s="193"/>
      <c r="F101" s="193"/>
      <c r="G101" s="193"/>
      <c r="H101" s="193"/>
      <c r="I101" s="193"/>
      <c r="J101" s="193"/>
      <c r="K101" s="193"/>
      <c r="L101" s="193"/>
      <c r="M101" s="227"/>
      <c r="N101" s="227"/>
      <c r="O101" s="227"/>
      <c r="P101" s="227"/>
      <c r="Q101" s="227"/>
      <c r="R101" s="227"/>
      <c r="S101" s="227"/>
      <c r="T101" s="193"/>
    </row>
    <row r="102" spans="2:20">
      <c r="B102" s="193"/>
      <c r="C102" s="193"/>
      <c r="D102" s="193"/>
      <c r="E102" s="193"/>
      <c r="F102" s="193"/>
      <c r="G102" s="193"/>
      <c r="H102" s="193"/>
      <c r="I102" s="193"/>
      <c r="J102" s="193"/>
      <c r="K102" s="193"/>
      <c r="L102" s="193"/>
      <c r="M102" s="227"/>
      <c r="N102" s="227"/>
      <c r="O102" s="227"/>
      <c r="P102" s="227"/>
      <c r="Q102" s="227"/>
      <c r="R102" s="227"/>
      <c r="S102" s="227"/>
      <c r="T102" s="193"/>
    </row>
    <row r="103" spans="2:20">
      <c r="B103" s="244" t="s">
        <v>217</v>
      </c>
      <c r="C103" s="193"/>
      <c r="D103" s="193"/>
      <c r="E103" s="193"/>
      <c r="F103" s="193"/>
      <c r="G103" s="193"/>
      <c r="H103" s="193"/>
      <c r="I103" s="193"/>
      <c r="J103" s="193"/>
      <c r="K103" s="193"/>
      <c r="L103" s="193"/>
      <c r="M103" s="227"/>
      <c r="N103" s="227"/>
      <c r="O103" s="227"/>
      <c r="P103" s="227"/>
      <c r="Q103" s="227"/>
      <c r="R103" s="227"/>
      <c r="S103" s="227"/>
      <c r="T103" s="193"/>
    </row>
    <row r="104" spans="2:20" ht="24.65" customHeight="1">
      <c r="B104" s="237" t="str">
        <f>'2017 Determination - Revenue'!B$16</f>
        <v>Financial year</v>
      </c>
      <c r="C104" s="238" t="str">
        <f>'2017 Determination - Revenue'!C$28</f>
        <v>Units</v>
      </c>
      <c r="D104" s="238"/>
      <c r="E104" s="238"/>
      <c r="F104" s="210" t="str">
        <f>'2017 Determination - Revenue'!F$16</f>
        <v>2017-18</v>
      </c>
      <c r="G104" s="210" t="str">
        <f>'2017 Determination - Revenue'!G$16</f>
        <v>2018-19</v>
      </c>
      <c r="H104" s="210" t="str">
        <f>'2017 Determination - Revenue'!H$16</f>
        <v>2019-20</v>
      </c>
      <c r="I104" s="210" t="str">
        <f>'2017 Determination - Revenue'!I$16</f>
        <v>2020-21</v>
      </c>
      <c r="J104" s="194"/>
      <c r="K104" s="393" t="str">
        <f>K$23</f>
        <v>Analysis of 2020-21 Charges based on ∆ in demand and CPI 
(expressed in $2020-21)</v>
      </c>
      <c r="L104" s="393"/>
      <c r="M104" s="393"/>
      <c r="N104" s="181"/>
      <c r="O104" s="393" t="str">
        <f>O64</f>
        <v>Analysis of 2020-21 Charges based on ∆ in demand 
(expressed in $2016-17)</v>
      </c>
      <c r="P104" s="393"/>
      <c r="Q104" s="393"/>
      <c r="R104" s="236"/>
      <c r="S104" s="190"/>
      <c r="T104" s="193"/>
    </row>
    <row r="105" spans="2:20" s="106" customFormat="1" ht="44.5" customHeight="1">
      <c r="B105" s="209"/>
      <c r="C105" s="190"/>
      <c r="D105" s="190"/>
      <c r="E105" s="190"/>
      <c r="F105" s="213" t="str">
        <f>F$24</f>
        <v>As per 2017 Price Review</v>
      </c>
      <c r="G105" s="213" t="str">
        <f>G$24</f>
        <v>Re-calculated using updated demand</v>
      </c>
      <c r="H105" s="213" t="str">
        <f>H$24</f>
        <v>Re-calculated using updated demand</v>
      </c>
      <c r="I105" s="213" t="str">
        <f>I$24</f>
        <v>Re-calculated using updated demand</v>
      </c>
      <c r="J105" s="246"/>
      <c r="K105" s="213" t="str">
        <f>F105</f>
        <v>As per 2017 Price Review</v>
      </c>
      <c r="L105" s="182" t="str">
        <f>G105</f>
        <v>Re-calculated using updated demand</v>
      </c>
      <c r="M105" s="182" t="str">
        <f>$M$24</f>
        <v xml:space="preserve"> Difference </v>
      </c>
      <c r="N105" s="182"/>
      <c r="O105" s="182" t="str">
        <f>O65</f>
        <v>As per 2017 Price Review</v>
      </c>
      <c r="P105" s="182" t="str">
        <f>P65</f>
        <v>Re-calculated using updated demand</v>
      </c>
      <c r="Q105" s="182" t="str">
        <f>Q65</f>
        <v>Difference</v>
      </c>
      <c r="R105" s="234"/>
      <c r="S105" s="190"/>
      <c r="T105" s="193"/>
    </row>
    <row r="106" spans="2:20">
      <c r="B106" s="209"/>
      <c r="C106" s="190"/>
      <c r="D106" s="190"/>
      <c r="E106" s="190"/>
      <c r="F106" s="214" t="str">
        <f>'2017 Determination - Revenue'!$F$29</f>
        <v>$2016-17</v>
      </c>
      <c r="G106" s="214" t="str">
        <f>'2017 Determination - Revenue'!$F$29</f>
        <v>$2016-17</v>
      </c>
      <c r="H106" s="214" t="str">
        <f>'2017 Determination - Revenue'!$F$29</f>
        <v>$2016-17</v>
      </c>
      <c r="I106" s="214" t="str">
        <f>'2017 Determination - Revenue'!$F$29</f>
        <v>$2016-17</v>
      </c>
      <c r="J106" s="195"/>
      <c r="K106" s="292" t="str">
        <f>K$25</f>
        <v>$2020-21</v>
      </c>
      <c r="L106" s="214" t="str">
        <f>L$25</f>
        <v>$2020-21</v>
      </c>
      <c r="M106" s="128" t="str">
        <f>$M$25</f>
        <v>%</v>
      </c>
      <c r="N106" s="177"/>
      <c r="O106" s="128" t="str">
        <f>O$25</f>
        <v>$2016-17</v>
      </c>
      <c r="P106" s="128" t="str">
        <f>P$25</f>
        <v>$2016-17</v>
      </c>
      <c r="Q106" s="128" t="str">
        <f>Q$25</f>
        <v>%</v>
      </c>
      <c r="R106" s="234"/>
      <c r="S106" s="190"/>
      <c r="T106" s="193"/>
    </row>
    <row r="107" spans="2:20">
      <c r="B107" s="239" t="str">
        <f>B$26</f>
        <v>Usage charges</v>
      </c>
      <c r="C107" s="190"/>
      <c r="D107" s="190"/>
      <c r="E107" s="190"/>
      <c r="F107" s="52"/>
      <c r="G107" s="52"/>
      <c r="H107" s="52"/>
      <c r="I107" s="192"/>
      <c r="J107" s="37"/>
      <c r="K107" s="211"/>
      <c r="L107" s="211"/>
      <c r="M107" s="211"/>
      <c r="N107" s="211"/>
      <c r="O107" s="211"/>
      <c r="P107" s="211"/>
      <c r="Q107" s="211"/>
      <c r="R107" s="234"/>
      <c r="S107" s="190"/>
      <c r="T107" s="193"/>
    </row>
    <row r="108" spans="2:20">
      <c r="B108" s="209" t="str">
        <f>'2017 Determination - Revenue'!B$33</f>
        <v>Border</v>
      </c>
      <c r="C108" s="190" t="str">
        <f>$C$27</f>
        <v>$/ML</v>
      </c>
      <c r="D108" s="190"/>
      <c r="E108" s="190"/>
      <c r="F108" s="293">
        <f>'2017 Determination - charges'!F69</f>
        <v>0.78386903671713781</v>
      </c>
      <c r="G108" s="289">
        <f>(('MDB calcs'!G202/'MDB calcs'!G21)*1000)</f>
        <v>0.76768089838469111</v>
      </c>
      <c r="H108" s="289">
        <f>(('MDB calcs'!H202/'MDB calcs'!H21)*1000)</f>
        <v>0.78012746522233056</v>
      </c>
      <c r="I108" s="289">
        <f>(('MDB calcs'!I202/'MDB calcs'!I21)*1000)</f>
        <v>0.7850681673729335</v>
      </c>
      <c r="J108" s="172"/>
      <c r="K108" s="201">
        <f>'2017 Determination - charges'!N69</f>
        <v>0.84320000000000006</v>
      </c>
      <c r="L108" s="201">
        <f>ROUND((ROUND(I108,2)*(1+'2017 Determination - Revenue'!$F$18)),2)*(1+'2017 Determination - Revenue'!$I$22)</f>
        <v>0.85374000000000005</v>
      </c>
      <c r="M108" s="223">
        <f t="shared" ref="M108:M116" si="57">IF(K108=0,"na",L108/K108-1)</f>
        <v>1.2499999999999956E-2</v>
      </c>
      <c r="N108" s="223"/>
      <c r="O108" s="185">
        <f>'2017 Determination - charges'!H69</f>
        <v>0.78386903671713781</v>
      </c>
      <c r="P108" s="185">
        <f>I108</f>
        <v>0.7850681673729335</v>
      </c>
      <c r="Q108" s="223">
        <f t="shared" ref="Q108:Q116" si="58">IF(O108=0,"na",P108/O108-1)</f>
        <v>1.5297589260798716E-3</v>
      </c>
      <c r="R108" s="234"/>
      <c r="S108" s="201"/>
      <c r="T108" s="193"/>
    </row>
    <row r="109" spans="2:20">
      <c r="B109" s="209" t="str">
        <f>'2017 Determination - Revenue'!B$34</f>
        <v>Gwydir</v>
      </c>
      <c r="C109" s="190" t="str">
        <f t="shared" ref="C109:C115" si="59">$C$27</f>
        <v>$/ML</v>
      </c>
      <c r="D109" s="190"/>
      <c r="E109" s="190"/>
      <c r="F109" s="247">
        <v>0</v>
      </c>
      <c r="G109" s="289">
        <f>(('MDB calcs'!G203/'MDB calcs'!G22)*1000)</f>
        <v>0</v>
      </c>
      <c r="H109" s="289">
        <f>(('MDB calcs'!H203/'MDB calcs'!H22)*1000)</f>
        <v>0</v>
      </c>
      <c r="I109" s="289">
        <f>(('MDB calcs'!I203/'MDB calcs'!I22)*1000)</f>
        <v>0</v>
      </c>
      <c r="J109" s="172"/>
      <c r="K109" s="201">
        <v>0</v>
      </c>
      <c r="L109" s="201">
        <f>ROUND((ROUND(H109,2)*(1+'2017 Determination - Revenue'!$F$18)),2)*(1+'2017 Determination - Revenue'!$H$22)</f>
        <v>0</v>
      </c>
      <c r="M109" s="223" t="str">
        <f t="shared" si="57"/>
        <v>na</v>
      </c>
      <c r="N109" s="223"/>
      <c r="O109" s="295">
        <f>F109</f>
        <v>0</v>
      </c>
      <c r="P109" s="185">
        <f t="shared" ref="P109:P116" si="60">I109</f>
        <v>0</v>
      </c>
      <c r="Q109" s="223" t="str">
        <f t="shared" si="58"/>
        <v>na</v>
      </c>
      <c r="R109" s="234"/>
      <c r="S109" s="190"/>
      <c r="T109" s="193"/>
    </row>
    <row r="110" spans="2:20">
      <c r="B110" s="209" t="str">
        <f>'2017 Determination - Revenue'!B$35</f>
        <v>Namoi</v>
      </c>
      <c r="C110" s="190" t="str">
        <f t="shared" si="59"/>
        <v>$/ML</v>
      </c>
      <c r="D110" s="190"/>
      <c r="E110" s="190"/>
      <c r="F110" s="247">
        <v>0</v>
      </c>
      <c r="G110" s="289">
        <f>(('MDB calcs'!G204/'MDB calcs'!G23)*1000)</f>
        <v>0</v>
      </c>
      <c r="H110" s="289">
        <f>(('MDB calcs'!H204/'MDB calcs'!H23)*1000)</f>
        <v>0</v>
      </c>
      <c r="I110" s="289">
        <f>(('MDB calcs'!I204/'MDB calcs'!I23)*1000)</f>
        <v>0</v>
      </c>
      <c r="J110" s="172"/>
      <c r="K110" s="201">
        <v>0</v>
      </c>
      <c r="L110" s="201">
        <f>ROUND((ROUND(H110,2)*(1+'2017 Determination - Revenue'!$F$18)),2)*(1+'2017 Determination - Revenue'!$H$22)</f>
        <v>0</v>
      </c>
      <c r="M110" s="223" t="str">
        <f t="shared" si="57"/>
        <v>na</v>
      </c>
      <c r="N110" s="223"/>
      <c r="O110" s="295">
        <f>F110</f>
        <v>0</v>
      </c>
      <c r="P110" s="185">
        <f t="shared" si="60"/>
        <v>0</v>
      </c>
      <c r="Q110" s="223" t="str">
        <f t="shared" si="58"/>
        <v>na</v>
      </c>
      <c r="R110" s="234"/>
      <c r="S110" s="190"/>
      <c r="T110" s="193"/>
    </row>
    <row r="111" spans="2:20">
      <c r="B111" s="209" t="str">
        <f>'2017 Determination - Revenue'!B$36</f>
        <v>Peel</v>
      </c>
      <c r="C111" s="190" t="str">
        <f t="shared" si="59"/>
        <v>$/ML</v>
      </c>
      <c r="D111" s="190"/>
      <c r="E111" s="190"/>
      <c r="F111" s="247">
        <v>0</v>
      </c>
      <c r="G111" s="289">
        <f>(('MDB calcs'!G205/'MDB calcs'!G24)*1000)</f>
        <v>0</v>
      </c>
      <c r="H111" s="289">
        <f>(('MDB calcs'!H205/'MDB calcs'!H24)*1000)</f>
        <v>0</v>
      </c>
      <c r="I111" s="289">
        <f>(('MDB calcs'!I205/'MDB calcs'!I24)*1000)</f>
        <v>0</v>
      </c>
      <c r="J111" s="172"/>
      <c r="K111" s="201">
        <v>0</v>
      </c>
      <c r="L111" s="201">
        <f>ROUND((ROUND(H111,2)*(1+'2017 Determination - Revenue'!$F$18)),2)*(1+'2017 Determination - Revenue'!$H$22)</f>
        <v>0</v>
      </c>
      <c r="M111" s="223" t="str">
        <f t="shared" si="57"/>
        <v>na</v>
      </c>
      <c r="N111" s="223"/>
      <c r="O111" s="295">
        <f>F111</f>
        <v>0</v>
      </c>
      <c r="P111" s="185">
        <f t="shared" si="60"/>
        <v>0</v>
      </c>
      <c r="Q111" s="223" t="str">
        <f t="shared" si="58"/>
        <v>na</v>
      </c>
      <c r="R111" s="234"/>
      <c r="S111" s="190"/>
      <c r="T111" s="193"/>
    </row>
    <row r="112" spans="2:20">
      <c r="B112" s="209" t="str">
        <f>'2017 Determination - Revenue'!B$37</f>
        <v>Lachlan</v>
      </c>
      <c r="C112" s="190" t="str">
        <f t="shared" si="59"/>
        <v>$/ML</v>
      </c>
      <c r="D112" s="190"/>
      <c r="E112" s="190"/>
      <c r="F112" s="247">
        <v>0</v>
      </c>
      <c r="G112" s="289">
        <f>(('MDB calcs'!G206/'MDB calcs'!G25)*1000)</f>
        <v>0</v>
      </c>
      <c r="H112" s="289">
        <f>(('MDB calcs'!H206/'MDB calcs'!H25)*1000)</f>
        <v>0</v>
      </c>
      <c r="I112" s="289">
        <f>(('MDB calcs'!I206/'MDB calcs'!I25)*1000)</f>
        <v>0</v>
      </c>
      <c r="J112" s="172"/>
      <c r="K112" s="201">
        <v>0</v>
      </c>
      <c r="L112" s="201">
        <f>ROUND((ROUND(H112,2)*(1+'2017 Determination - Revenue'!$F$18)),2)*(1+'2017 Determination - Revenue'!$H$22)</f>
        <v>0</v>
      </c>
      <c r="M112" s="223" t="str">
        <f t="shared" si="57"/>
        <v>na</v>
      </c>
      <c r="N112" s="223"/>
      <c r="O112" s="295">
        <f>F112</f>
        <v>0</v>
      </c>
      <c r="P112" s="185">
        <f t="shared" si="60"/>
        <v>0</v>
      </c>
      <c r="Q112" s="223" t="str">
        <f t="shared" si="58"/>
        <v>na</v>
      </c>
      <c r="R112" s="234"/>
      <c r="S112" s="190"/>
      <c r="T112" s="193"/>
    </row>
    <row r="113" spans="2:20">
      <c r="B113" s="209" t="str">
        <f>'2017 Determination - Revenue'!B$38</f>
        <v>Macquarie</v>
      </c>
      <c r="C113" s="190" t="str">
        <f t="shared" si="59"/>
        <v>$/ML</v>
      </c>
      <c r="D113" s="190"/>
      <c r="E113" s="190"/>
      <c r="F113" s="247">
        <v>0</v>
      </c>
      <c r="G113" s="289">
        <f>(('MDB calcs'!G207/'MDB calcs'!G26)*1000)</f>
        <v>0</v>
      </c>
      <c r="H113" s="289">
        <f>(('MDB calcs'!H207/'MDB calcs'!H26)*1000)</f>
        <v>0</v>
      </c>
      <c r="I113" s="289">
        <f>(('MDB calcs'!I207/'MDB calcs'!I26)*1000)</f>
        <v>0</v>
      </c>
      <c r="J113" s="172"/>
      <c r="K113" s="201">
        <v>0</v>
      </c>
      <c r="L113" s="201">
        <f>ROUND((ROUND(H113,2)*(1+'2017 Determination - Revenue'!$F$18)),2)*(1+'2017 Determination - Revenue'!$H$22)</f>
        <v>0</v>
      </c>
      <c r="M113" s="223" t="str">
        <f t="shared" si="57"/>
        <v>na</v>
      </c>
      <c r="N113" s="223"/>
      <c r="O113" s="295">
        <f>F113</f>
        <v>0</v>
      </c>
      <c r="P113" s="185">
        <f t="shared" si="60"/>
        <v>0</v>
      </c>
      <c r="Q113" s="223" t="str">
        <f t="shared" si="58"/>
        <v>na</v>
      </c>
      <c r="R113" s="234"/>
      <c r="S113" s="190"/>
      <c r="T113" s="193"/>
    </row>
    <row r="114" spans="2:20">
      <c r="B114" s="209" t="str">
        <f>'2017 Determination - Revenue'!B$39</f>
        <v>Murray</v>
      </c>
      <c r="C114" s="190" t="str">
        <f t="shared" si="59"/>
        <v>$/ML</v>
      </c>
      <c r="D114" s="190"/>
      <c r="E114" s="190"/>
      <c r="F114" s="293">
        <f>'2017 Determination - charges'!F70</f>
        <v>1.4985294573379557</v>
      </c>
      <c r="G114" s="289">
        <f>(('MDB calcs'!G208/'MDB calcs'!G27)*1000)</f>
        <v>1.5335036447488337</v>
      </c>
      <c r="H114" s="289">
        <f>(('MDB calcs'!H208/'MDB calcs'!H27)*1000)</f>
        <v>1.5575646818751891</v>
      </c>
      <c r="I114" s="289">
        <f>(('MDB calcs'!I208/'MDB calcs'!I27)*1000)</f>
        <v>1.6393522910908562</v>
      </c>
      <c r="J114" s="172"/>
      <c r="K114" s="201">
        <f>'2017 Determination - charges'!N70</f>
        <v>1.6126200000000002</v>
      </c>
      <c r="L114" s="201">
        <f>ROUND((ROUND(I114,2)*(1+'2017 Determination - Revenue'!$F$18)),2)*(1+'2017 Determination - Revenue'!$I$22)</f>
        <v>1.7601800000000001</v>
      </c>
      <c r="M114" s="223">
        <f t="shared" si="57"/>
        <v>9.1503267973856106E-2</v>
      </c>
      <c r="N114" s="223"/>
      <c r="O114" s="185">
        <f>'2017 Determination - charges'!I70</f>
        <v>1.4985294573379557</v>
      </c>
      <c r="P114" s="185">
        <f t="shared" si="60"/>
        <v>1.6393522910908562</v>
      </c>
      <c r="Q114" s="223">
        <f t="shared" si="58"/>
        <v>9.3974017703371437E-2</v>
      </c>
      <c r="R114" s="234"/>
      <c r="S114" s="190"/>
      <c r="T114" s="193"/>
    </row>
    <row r="115" spans="2:20">
      <c r="B115" s="209" t="str">
        <f>'2017 Determination - Revenue'!B$40</f>
        <v>Murrumbidgee</v>
      </c>
      <c r="C115" s="190" t="str">
        <f t="shared" si="59"/>
        <v>$/ML</v>
      </c>
      <c r="D115" s="190"/>
      <c r="E115" s="190"/>
      <c r="F115" s="293">
        <f>'2017 Determination - charges'!F71</f>
        <v>0.3005578181756689</v>
      </c>
      <c r="G115" s="289">
        <f>(('MDB calcs'!G209/'MDB calcs'!G28)*1000)</f>
        <v>0.30794560519035824</v>
      </c>
      <c r="H115" s="289">
        <f>(('MDB calcs'!H209/'MDB calcs'!H28)*1000)</f>
        <v>0.31540485061527967</v>
      </c>
      <c r="I115" s="289">
        <f>(('MDB calcs'!I209/'MDB calcs'!I28)*1000)</f>
        <v>0.32708490842274301</v>
      </c>
      <c r="J115" s="172"/>
      <c r="K115" s="201">
        <f>'2017 Determination - charges'!N71</f>
        <v>0.32674000000000003</v>
      </c>
      <c r="L115" s="201">
        <f>ROUND((ROUND(I115,2)*(1+'2017 Determination - Revenue'!$F$18)),2)*(1+'2017 Determination - Revenue'!$I$22)</f>
        <v>0.35836000000000007</v>
      </c>
      <c r="M115" s="223">
        <f t="shared" si="57"/>
        <v>9.6774193548387233E-2</v>
      </c>
      <c r="N115" s="223"/>
      <c r="O115" s="185">
        <f>'2017 Determination - charges'!I71</f>
        <v>0.3005578181756689</v>
      </c>
      <c r="P115" s="185">
        <f t="shared" si="60"/>
        <v>0.32708490842274301</v>
      </c>
      <c r="Q115" s="223">
        <f t="shared" si="58"/>
        <v>8.8259524932968736E-2</v>
      </c>
      <c r="R115" s="234"/>
      <c r="S115" s="190"/>
      <c r="T115" s="193"/>
    </row>
    <row r="116" spans="2:20">
      <c r="B116" s="209" t="str">
        <f>'2017 Determination - Revenue'!B$41</f>
        <v>Lowbidgee</v>
      </c>
      <c r="C116" s="190" t="str">
        <f>$C$27</f>
        <v>$/ML</v>
      </c>
      <c r="D116" s="190"/>
      <c r="E116" s="190"/>
      <c r="F116" s="247">
        <v>0</v>
      </c>
      <c r="G116" s="289">
        <f>(('MDB calcs'!G210/'MDB calcs'!G29)*1000)</f>
        <v>0</v>
      </c>
      <c r="H116" s="289">
        <f>(('MDB calcs'!H210/'MDB calcs'!H29)*1000)</f>
        <v>0</v>
      </c>
      <c r="I116" s="289">
        <f>(('MDB calcs'!I210/'MDB calcs'!I29)*1000)</f>
        <v>0</v>
      </c>
      <c r="J116" s="172"/>
      <c r="K116" s="201">
        <f>'2017 Determination - charges'!M77</f>
        <v>0</v>
      </c>
      <c r="L116" s="201">
        <f>ROUND((ROUND(H116,2)*(1+'2017 Determination - Revenue'!$F$18)),2)*(1+'2017 Determination - Revenue'!$H$22)</f>
        <v>0</v>
      </c>
      <c r="M116" s="223" t="str">
        <f t="shared" si="57"/>
        <v>na</v>
      </c>
      <c r="N116" s="223"/>
      <c r="O116" s="295">
        <f>F116</f>
        <v>0</v>
      </c>
      <c r="P116" s="185">
        <f t="shared" si="60"/>
        <v>0</v>
      </c>
      <c r="Q116" s="223" t="str">
        <f t="shared" si="58"/>
        <v>na</v>
      </c>
      <c r="R116" s="234"/>
      <c r="S116" s="190"/>
      <c r="T116" s="193"/>
    </row>
    <row r="117" spans="2:20">
      <c r="B117" s="240" t="s">
        <v>34</v>
      </c>
      <c r="C117" s="190"/>
      <c r="D117" s="190"/>
      <c r="E117" s="190"/>
      <c r="F117" s="248"/>
      <c r="G117" s="199">
        <f>SUM(G108:G115)-((SUMPRODUCT('MDB calcs'!G202:G209/'MDB calcs'!G21:G28))*1000)</f>
        <v>0</v>
      </c>
      <c r="H117" s="199">
        <f>SUM(H108:H115)-((SUMPRODUCT('MDB calcs'!H202:H209/'MDB calcs'!H21:H28))*1000)</f>
        <v>0</v>
      </c>
      <c r="I117" s="199">
        <f>SUM(I108:I115)-((SUMPRODUCT('MDB calcs'!I202:I209/'MDB calcs'!I21:I28))*1000)</f>
        <v>0</v>
      </c>
      <c r="J117" s="199"/>
      <c r="K117" s="223"/>
      <c r="L117" s="223"/>
      <c r="M117" s="223"/>
      <c r="N117" s="223"/>
      <c r="O117" s="223"/>
      <c r="P117" s="223"/>
      <c r="Q117" s="223"/>
      <c r="R117" s="234"/>
      <c r="S117" s="190"/>
      <c r="T117" s="193"/>
    </row>
    <row r="118" spans="2:20">
      <c r="B118" s="239" t="str">
        <f>B$37</f>
        <v>General security entitlement charges</v>
      </c>
      <c r="C118" s="190"/>
      <c r="D118" s="190"/>
      <c r="E118" s="190"/>
      <c r="F118" s="190"/>
      <c r="G118" s="190"/>
      <c r="H118" s="190"/>
      <c r="I118" s="190"/>
      <c r="J118" s="190"/>
      <c r="K118" s="223"/>
      <c r="L118" s="223"/>
      <c r="M118" s="223"/>
      <c r="N118" s="223"/>
      <c r="O118" s="223"/>
      <c r="P118" s="223"/>
      <c r="Q118" s="223"/>
      <c r="R118" s="234"/>
      <c r="S118" s="190"/>
      <c r="T118" s="193"/>
    </row>
    <row r="119" spans="2:20">
      <c r="B119" s="209" t="str">
        <f>'2017 Determination - Revenue'!B$33</f>
        <v>Border</v>
      </c>
      <c r="C119" s="190" t="str">
        <f>$C$27</f>
        <v>$/ML</v>
      </c>
      <c r="D119" s="190"/>
      <c r="E119" s="190"/>
      <c r="F119" s="293">
        <f>'2017 Determination - charges'!F74</f>
        <v>1.7103348160629046</v>
      </c>
      <c r="G119" s="289">
        <f>(('MDB calcs'!G190/'MDB calcs'!G131)*1000)</f>
        <v>1.7127102210273051</v>
      </c>
      <c r="H119" s="289">
        <f>(('MDB calcs'!H190/'MDB calcs'!H131)*1000)</f>
        <v>1.7107752868544186</v>
      </c>
      <c r="I119" s="289">
        <f>(('MDB calcs'!I190/'MDB calcs'!I131)*1000)</f>
        <v>1.7093472964917196</v>
      </c>
      <c r="J119" s="172"/>
      <c r="K119" s="201">
        <f>'2017 Determination - charges'!N74</f>
        <v>1.8445</v>
      </c>
      <c r="L119" s="201">
        <f>ROUND((ROUND(I119,2)*(1+'2017 Determination - Revenue'!$F$18)),2)*(1+'2017 Determination - Revenue'!$I$22)</f>
        <v>1.8445</v>
      </c>
      <c r="M119" s="223">
        <f t="shared" ref="M119:M127" si="61">IF(K119=0,"na",L119/K119-1)</f>
        <v>0</v>
      </c>
      <c r="N119" s="223"/>
      <c r="O119" s="185">
        <f>'2017 Determination - charges'!I74</f>
        <v>1.7103348160629046</v>
      </c>
      <c r="P119" s="185">
        <f>I119</f>
        <v>1.7093472964917196</v>
      </c>
      <c r="Q119" s="223">
        <f t="shared" ref="Q119:Q127" si="62">IF(O119=0,"na",P119/O119-1)</f>
        <v>-5.7738377416549636E-4</v>
      </c>
      <c r="R119" s="234"/>
      <c r="S119" s="190"/>
      <c r="T119" s="193"/>
    </row>
    <row r="120" spans="2:20">
      <c r="B120" s="209" t="str">
        <f>'2017 Determination - Revenue'!B$34</f>
        <v>Gwydir</v>
      </c>
      <c r="C120" s="190" t="str">
        <f t="shared" ref="C120:C126" si="63">$C$27</f>
        <v>$/ML</v>
      </c>
      <c r="D120" s="190"/>
      <c r="E120" s="190"/>
      <c r="F120" s="247">
        <v>0</v>
      </c>
      <c r="G120" s="289">
        <f>(('MDB calcs'!G191/'MDB calcs'!G132)*1000)</f>
        <v>0</v>
      </c>
      <c r="H120" s="289">
        <f>(('MDB calcs'!H191/'MDB calcs'!H132)*1000)</f>
        <v>0</v>
      </c>
      <c r="I120" s="289">
        <f>(('MDB calcs'!I191/'MDB calcs'!I132)*1000)</f>
        <v>0</v>
      </c>
      <c r="J120" s="172"/>
      <c r="K120" s="201">
        <v>0</v>
      </c>
      <c r="L120" s="201">
        <f>ROUND((ROUND(I120,2)*(1+'2017 Determination - Revenue'!$F$18)),2)*(1+'2017 Determination - Revenue'!$I$22)</f>
        <v>0</v>
      </c>
      <c r="M120" s="223" t="str">
        <f t="shared" si="61"/>
        <v>na</v>
      </c>
      <c r="N120" s="223"/>
      <c r="O120" s="295">
        <f>F120</f>
        <v>0</v>
      </c>
      <c r="P120" s="185">
        <f t="shared" ref="P120:P127" si="64">I120</f>
        <v>0</v>
      </c>
      <c r="Q120" s="223" t="str">
        <f t="shared" si="62"/>
        <v>na</v>
      </c>
      <c r="R120" s="234"/>
      <c r="S120" s="190"/>
      <c r="T120" s="193"/>
    </row>
    <row r="121" spans="2:20">
      <c r="B121" s="209" t="str">
        <f>'2017 Determination - Revenue'!B$35</f>
        <v>Namoi</v>
      </c>
      <c r="C121" s="190" t="str">
        <f t="shared" si="63"/>
        <v>$/ML</v>
      </c>
      <c r="D121" s="190"/>
      <c r="E121" s="190"/>
      <c r="F121" s="247">
        <v>0</v>
      </c>
      <c r="G121" s="289">
        <f>(('MDB calcs'!G192/'MDB calcs'!G133)*1000)</f>
        <v>0</v>
      </c>
      <c r="H121" s="289">
        <f>(('MDB calcs'!H192/'MDB calcs'!H133)*1000)</f>
        <v>0</v>
      </c>
      <c r="I121" s="289">
        <f>(('MDB calcs'!I192/'MDB calcs'!I133)*1000)</f>
        <v>0</v>
      </c>
      <c r="J121" s="172"/>
      <c r="K121" s="201">
        <v>0</v>
      </c>
      <c r="L121" s="201">
        <f>ROUND((ROUND(I121,2)*(1+'2017 Determination - Revenue'!$F$18)),2)*(1+'2017 Determination - Revenue'!$I$22)</f>
        <v>0</v>
      </c>
      <c r="M121" s="223" t="str">
        <f t="shared" si="61"/>
        <v>na</v>
      </c>
      <c r="N121" s="223"/>
      <c r="O121" s="295">
        <f>F121</f>
        <v>0</v>
      </c>
      <c r="P121" s="185">
        <f t="shared" si="64"/>
        <v>0</v>
      </c>
      <c r="Q121" s="223" t="str">
        <f t="shared" si="62"/>
        <v>na</v>
      </c>
      <c r="R121" s="234"/>
      <c r="S121" s="190"/>
      <c r="T121" s="193"/>
    </row>
    <row r="122" spans="2:20">
      <c r="B122" s="209" t="str">
        <f>'2017 Determination - Revenue'!B$36</f>
        <v>Peel</v>
      </c>
      <c r="C122" s="190" t="str">
        <f t="shared" si="63"/>
        <v>$/ML</v>
      </c>
      <c r="D122" s="190"/>
      <c r="E122" s="190"/>
      <c r="F122" s="247">
        <v>0</v>
      </c>
      <c r="G122" s="289">
        <f>(('MDB calcs'!G193/'MDB calcs'!G134)*1000)</f>
        <v>0</v>
      </c>
      <c r="H122" s="289">
        <f>(('MDB calcs'!H193/'MDB calcs'!H134)*1000)</f>
        <v>0</v>
      </c>
      <c r="I122" s="289">
        <f>(('MDB calcs'!I193/'MDB calcs'!I134)*1000)</f>
        <v>0</v>
      </c>
      <c r="J122" s="172"/>
      <c r="K122" s="201">
        <v>0</v>
      </c>
      <c r="L122" s="201">
        <f>ROUND((ROUND(I122,2)*(1+'2017 Determination - Revenue'!$F$18)),2)*(1+'2017 Determination - Revenue'!$I$22)</f>
        <v>0</v>
      </c>
      <c r="M122" s="223" t="str">
        <f t="shared" si="61"/>
        <v>na</v>
      </c>
      <c r="N122" s="223"/>
      <c r="O122" s="295">
        <f>F122</f>
        <v>0</v>
      </c>
      <c r="P122" s="185">
        <f t="shared" si="64"/>
        <v>0</v>
      </c>
      <c r="Q122" s="223" t="str">
        <f t="shared" si="62"/>
        <v>na</v>
      </c>
      <c r="R122" s="234"/>
      <c r="S122" s="190"/>
      <c r="T122" s="193"/>
    </row>
    <row r="123" spans="2:20">
      <c r="B123" s="209" t="str">
        <f>'2017 Determination - Revenue'!B$37</f>
        <v>Lachlan</v>
      </c>
      <c r="C123" s="190" t="str">
        <f t="shared" si="63"/>
        <v>$/ML</v>
      </c>
      <c r="D123" s="190"/>
      <c r="E123" s="190"/>
      <c r="F123" s="247">
        <v>0</v>
      </c>
      <c r="G123" s="289">
        <f>(('MDB calcs'!G194/'MDB calcs'!G135)*1000)</f>
        <v>0</v>
      </c>
      <c r="H123" s="289">
        <f>(('MDB calcs'!H194/'MDB calcs'!H135)*1000)</f>
        <v>0</v>
      </c>
      <c r="I123" s="289">
        <f>(('MDB calcs'!I194/'MDB calcs'!I135)*1000)</f>
        <v>0</v>
      </c>
      <c r="J123" s="172"/>
      <c r="K123" s="201">
        <v>0</v>
      </c>
      <c r="L123" s="201">
        <f>ROUND((ROUND(I123,2)*(1+'2017 Determination - Revenue'!$F$18)),2)*(1+'2017 Determination - Revenue'!$I$22)</f>
        <v>0</v>
      </c>
      <c r="M123" s="223" t="str">
        <f t="shared" si="61"/>
        <v>na</v>
      </c>
      <c r="N123" s="223"/>
      <c r="O123" s="295">
        <f>F123</f>
        <v>0</v>
      </c>
      <c r="P123" s="185">
        <f t="shared" si="64"/>
        <v>0</v>
      </c>
      <c r="Q123" s="223" t="str">
        <f t="shared" si="62"/>
        <v>na</v>
      </c>
      <c r="R123" s="234"/>
      <c r="S123" s="190"/>
      <c r="T123" s="193"/>
    </row>
    <row r="124" spans="2:20">
      <c r="B124" s="209" t="str">
        <f>'2017 Determination - Revenue'!B$38</f>
        <v>Macquarie</v>
      </c>
      <c r="C124" s="190" t="str">
        <f t="shared" si="63"/>
        <v>$/ML</v>
      </c>
      <c r="D124" s="190"/>
      <c r="E124" s="190"/>
      <c r="F124" s="247">
        <v>0</v>
      </c>
      <c r="G124" s="289">
        <f>(('MDB calcs'!G195/'MDB calcs'!G136)*1000)</f>
        <v>0</v>
      </c>
      <c r="H124" s="289">
        <f>(('MDB calcs'!H195/'MDB calcs'!H136)*1000)</f>
        <v>0</v>
      </c>
      <c r="I124" s="289">
        <f>(('MDB calcs'!I195/'MDB calcs'!I136)*1000)</f>
        <v>0</v>
      </c>
      <c r="J124" s="172"/>
      <c r="K124" s="201">
        <v>0</v>
      </c>
      <c r="L124" s="201">
        <f>ROUND((ROUND(I124,2)*(1+'2017 Determination - Revenue'!$F$18)),2)*(1+'2017 Determination - Revenue'!$I$22)</f>
        <v>0</v>
      </c>
      <c r="M124" s="223" t="str">
        <f t="shared" si="61"/>
        <v>na</v>
      </c>
      <c r="N124" s="223"/>
      <c r="O124" s="295">
        <f>F124</f>
        <v>0</v>
      </c>
      <c r="P124" s="185">
        <f t="shared" si="64"/>
        <v>0</v>
      </c>
      <c r="Q124" s="223" t="str">
        <f t="shared" si="62"/>
        <v>na</v>
      </c>
      <c r="R124" s="234"/>
      <c r="S124" s="190"/>
      <c r="T124" s="193"/>
    </row>
    <row r="125" spans="2:20">
      <c r="B125" s="209" t="str">
        <f>'2017 Determination - Revenue'!B$39</f>
        <v>Murray</v>
      </c>
      <c r="C125" s="190" t="str">
        <f t="shared" si="63"/>
        <v>$/ML</v>
      </c>
      <c r="D125" s="190"/>
      <c r="E125" s="190"/>
      <c r="F125" s="293">
        <f>'2017 Determination - charges'!F75</f>
        <v>3.5616689641805239</v>
      </c>
      <c r="G125" s="289">
        <f>(('MDB calcs'!G196/'MDB calcs'!G137)*1000)</f>
        <v>3.5617050022686474</v>
      </c>
      <c r="H125" s="289">
        <f>(('MDB calcs'!H196/'MDB calcs'!H137)*1000)</f>
        <v>3.5419578787653303</v>
      </c>
      <c r="I125" s="289">
        <f>(('MDB calcs'!I196/'MDB calcs'!I137)*1000)</f>
        <v>3.4805793940533478</v>
      </c>
      <c r="J125" s="172"/>
      <c r="K125" s="201">
        <f>'2017 Determination - charges'!N75</f>
        <v>3.8260200000000002</v>
      </c>
      <c r="L125" s="201">
        <f>ROUND((ROUND(I125,2)*(1+'2017 Determination - Revenue'!$F$18)),2)*(1+'2017 Determination - Revenue'!$I$22)</f>
        <v>3.7416999999999998</v>
      </c>
      <c r="M125" s="223">
        <f t="shared" si="61"/>
        <v>-2.2038567493113059E-2</v>
      </c>
      <c r="N125" s="223"/>
      <c r="O125" s="185">
        <f>'2017 Determination - charges'!I75</f>
        <v>3.5616689641805239</v>
      </c>
      <c r="P125" s="185">
        <f t="shared" si="64"/>
        <v>3.4805793940533478</v>
      </c>
      <c r="Q125" s="223">
        <f t="shared" si="62"/>
        <v>-2.2767295597285631E-2</v>
      </c>
      <c r="R125" s="234"/>
      <c r="S125" s="190"/>
      <c r="T125" s="193"/>
    </row>
    <row r="126" spans="2:20">
      <c r="B126" s="209" t="str">
        <f>'2017 Determination - Revenue'!B$40</f>
        <v>Murrumbidgee</v>
      </c>
      <c r="C126" s="190" t="str">
        <f t="shared" si="63"/>
        <v>$/ML</v>
      </c>
      <c r="D126" s="190"/>
      <c r="E126" s="190"/>
      <c r="F126" s="293">
        <f>'2017 Determination - charges'!F76</f>
        <v>0.60861535478820739</v>
      </c>
      <c r="G126" s="289">
        <f>(('MDB calcs'!G197/'MDB calcs'!G138)*1000)</f>
        <v>0.60861465932249548</v>
      </c>
      <c r="H126" s="289">
        <f>(('MDB calcs'!H197/'MDB calcs'!H138)*1000)</f>
        <v>0.60255561664710766</v>
      </c>
      <c r="I126" s="289">
        <f>(('MDB calcs'!I197/'MDB calcs'!I138)*1000)</f>
        <v>0.58902701732751372</v>
      </c>
      <c r="J126" s="172"/>
      <c r="K126" s="201">
        <f>'2017 Determination - charges'!N76</f>
        <v>0.65348000000000006</v>
      </c>
      <c r="L126" s="201">
        <f>ROUND((ROUND(I126,2)*(1+'2017 Determination - Revenue'!$F$18)),2)*(1+'2017 Determination - Revenue'!$I$22)</f>
        <v>0.63239999999999996</v>
      </c>
      <c r="M126" s="223">
        <f t="shared" si="61"/>
        <v>-3.2258064516129226E-2</v>
      </c>
      <c r="N126" s="223"/>
      <c r="O126" s="185">
        <f>'2017 Determination - charges'!I76</f>
        <v>0.60861535478820739</v>
      </c>
      <c r="P126" s="185">
        <f t="shared" si="64"/>
        <v>0.58902701732751372</v>
      </c>
      <c r="Q126" s="223">
        <f t="shared" si="62"/>
        <v>-3.2185085878272401E-2</v>
      </c>
      <c r="R126" s="234"/>
      <c r="S126" s="190"/>
      <c r="T126" s="193"/>
    </row>
    <row r="127" spans="2:20">
      <c r="B127" s="209" t="str">
        <f>'2017 Determination - Revenue'!B$41</f>
        <v>Lowbidgee</v>
      </c>
      <c r="C127" s="190" t="str">
        <f>$C$27</f>
        <v>$/ML</v>
      </c>
      <c r="D127" s="190"/>
      <c r="E127" s="190"/>
      <c r="F127" s="247">
        <v>0</v>
      </c>
      <c r="G127" s="289">
        <f>(('MDB calcs'!G198/'MDB calcs'!G139)*1000)</f>
        <v>0</v>
      </c>
      <c r="H127" s="289">
        <f>(('MDB calcs'!H198/'MDB calcs'!H139)*1000)</f>
        <v>0</v>
      </c>
      <c r="I127" s="289">
        <f>(('MDB calcs'!I198/'MDB calcs'!I139)*1000)</f>
        <v>0</v>
      </c>
      <c r="J127" s="172"/>
      <c r="K127" s="201">
        <v>0</v>
      </c>
      <c r="L127" s="201">
        <f>ROUND((ROUND(I127,2)*(1+'2017 Determination - Revenue'!$F$18)),2)*(1+'2017 Determination - Revenue'!$I$22)</f>
        <v>0</v>
      </c>
      <c r="M127" s="223" t="str">
        <f t="shared" si="61"/>
        <v>na</v>
      </c>
      <c r="N127" s="223"/>
      <c r="O127" s="295">
        <f>F127</f>
        <v>0</v>
      </c>
      <c r="P127" s="185">
        <f t="shared" si="64"/>
        <v>0</v>
      </c>
      <c r="Q127" s="223" t="str">
        <f t="shared" si="62"/>
        <v>na</v>
      </c>
      <c r="R127" s="234"/>
      <c r="S127" s="190"/>
      <c r="T127" s="193"/>
    </row>
    <row r="128" spans="2:20">
      <c r="B128" s="240"/>
      <c r="C128" s="190"/>
      <c r="D128" s="190"/>
      <c r="E128" s="190"/>
      <c r="F128" s="199"/>
      <c r="G128" s="80"/>
      <c r="H128" s="80"/>
      <c r="I128" s="80"/>
      <c r="J128" s="80"/>
      <c r="K128" s="223"/>
      <c r="L128" s="223"/>
      <c r="M128" s="223"/>
      <c r="N128" s="223"/>
      <c r="O128" s="223"/>
      <c r="P128" s="223"/>
      <c r="Q128" s="223"/>
      <c r="R128" s="234"/>
      <c r="S128" s="190"/>
      <c r="T128" s="193"/>
    </row>
    <row r="129" spans="2:20">
      <c r="B129" s="239" t="str">
        <f>B$48</f>
        <v>High security entitlement charges</v>
      </c>
      <c r="C129" s="190"/>
      <c r="D129" s="190"/>
      <c r="E129" s="190"/>
      <c r="F129" s="190"/>
      <c r="G129" s="37"/>
      <c r="H129" s="37"/>
      <c r="I129" s="37"/>
      <c r="J129" s="172"/>
      <c r="K129" s="223"/>
      <c r="L129" s="223"/>
      <c r="M129" s="223"/>
      <c r="N129" s="223"/>
      <c r="O129" s="223"/>
      <c r="P129" s="223"/>
      <c r="Q129" s="223"/>
      <c r="R129" s="234"/>
      <c r="T129" s="193"/>
    </row>
    <row r="130" spans="2:20">
      <c r="B130" s="209" t="str">
        <f>'2017 Determination - Revenue'!B$33</f>
        <v>Border</v>
      </c>
      <c r="C130" s="190" t="str">
        <f>$C$27</f>
        <v>$/ML</v>
      </c>
      <c r="D130" s="190"/>
      <c r="E130" s="190"/>
      <c r="F130" s="293">
        <f>'2017 Determination - charges'!F79</f>
        <v>4.6050654775877584</v>
      </c>
      <c r="G130" s="289">
        <f>(G119*'MDB calcs'!G114)</f>
        <v>4.3875729729236124</v>
      </c>
      <c r="H130" s="289">
        <f>(H119*'MDB calcs'!H114)</f>
        <v>4.5154082674307556</v>
      </c>
      <c r="I130" s="289">
        <f>(I119*'MDB calcs'!I114)</f>
        <v>4.6693884044447076</v>
      </c>
      <c r="J130" s="172"/>
      <c r="K130" s="201">
        <f>'2017 Determination - charges'!N79</f>
        <v>4.96434</v>
      </c>
      <c r="L130" s="201">
        <f>ROUND((ROUND(I130,2)*(1+'2017 Determination - Revenue'!$F$18)),2)*(1+'2017 Determination - Revenue'!$I$22)</f>
        <v>5.0275799999999995</v>
      </c>
      <c r="M130" s="223">
        <f t="shared" ref="M130:M138" si="65">IF(K130=0,"na",L130/K130-1)</f>
        <v>1.2738853503184711E-2</v>
      </c>
      <c r="N130" s="223"/>
      <c r="O130" s="185">
        <f>'2017 Determination - charges'!I79</f>
        <v>4.6050654775877584</v>
      </c>
      <c r="P130" s="185">
        <f>I130</f>
        <v>4.6693884044447076</v>
      </c>
      <c r="Q130" s="223">
        <f t="shared" ref="Q130:Q138" si="66">IF(O130=0,"na",P130/O130-1)</f>
        <v>1.3967863686195292E-2</v>
      </c>
      <c r="R130" s="234"/>
      <c r="S130" s="190"/>
      <c r="T130" s="193"/>
    </row>
    <row r="131" spans="2:20">
      <c r="B131" s="209" t="str">
        <f>'2017 Determination - Revenue'!B$34</f>
        <v>Gwydir</v>
      </c>
      <c r="C131" s="190" t="str">
        <f t="shared" ref="C131:C137" si="67">$C$27</f>
        <v>$/ML</v>
      </c>
      <c r="D131" s="190"/>
      <c r="E131" s="190"/>
      <c r="F131" s="247">
        <v>0</v>
      </c>
      <c r="G131" s="289">
        <f>(G120*'MDB calcs'!G115)</f>
        <v>0</v>
      </c>
      <c r="H131" s="289">
        <f>(H120*'MDB calcs'!H115)</f>
        <v>0</v>
      </c>
      <c r="I131" s="289">
        <f>(I120*'MDB calcs'!I115)</f>
        <v>0</v>
      </c>
      <c r="J131" s="172"/>
      <c r="K131" s="201">
        <v>0</v>
      </c>
      <c r="L131" s="201">
        <f>ROUND((ROUND(I131,2)*(1+'2017 Determination - Revenue'!$F$18)),2)*(1+'2017 Determination - Revenue'!$I$22)</f>
        <v>0</v>
      </c>
      <c r="M131" s="223" t="str">
        <f t="shared" si="65"/>
        <v>na</v>
      </c>
      <c r="N131" s="223"/>
      <c r="O131" s="295">
        <f>F131</f>
        <v>0</v>
      </c>
      <c r="P131" s="185">
        <f t="shared" ref="P131:P138" si="68">I131</f>
        <v>0</v>
      </c>
      <c r="Q131" s="223" t="str">
        <f t="shared" si="66"/>
        <v>na</v>
      </c>
      <c r="R131" s="234"/>
      <c r="S131" s="190"/>
      <c r="T131" s="193"/>
    </row>
    <row r="132" spans="2:20">
      <c r="B132" s="209" t="str">
        <f>'2017 Determination - Revenue'!B$35</f>
        <v>Namoi</v>
      </c>
      <c r="C132" s="190" t="str">
        <f t="shared" si="67"/>
        <v>$/ML</v>
      </c>
      <c r="D132" s="190"/>
      <c r="E132" s="190"/>
      <c r="F132" s="247">
        <v>0</v>
      </c>
      <c r="G132" s="289">
        <f>(G121*'MDB calcs'!G116)</f>
        <v>0</v>
      </c>
      <c r="H132" s="289">
        <f>(H121*'MDB calcs'!H116)</f>
        <v>0</v>
      </c>
      <c r="I132" s="289">
        <f>(I121*'MDB calcs'!I116)</f>
        <v>0</v>
      </c>
      <c r="J132" s="172"/>
      <c r="K132" s="201">
        <v>0</v>
      </c>
      <c r="L132" s="201">
        <f>ROUND((ROUND(I132,2)*(1+'2017 Determination - Revenue'!$F$18)),2)*(1+'2017 Determination - Revenue'!$I$22)</f>
        <v>0</v>
      </c>
      <c r="M132" s="223" t="str">
        <f t="shared" si="65"/>
        <v>na</v>
      </c>
      <c r="N132" s="223"/>
      <c r="O132" s="295">
        <f>F132</f>
        <v>0</v>
      </c>
      <c r="P132" s="185">
        <f t="shared" si="68"/>
        <v>0</v>
      </c>
      <c r="Q132" s="223" t="str">
        <f t="shared" si="66"/>
        <v>na</v>
      </c>
      <c r="R132" s="234"/>
      <c r="S132" s="190"/>
      <c r="T132" s="193"/>
    </row>
    <row r="133" spans="2:20">
      <c r="B133" s="209" t="str">
        <f>'2017 Determination - Revenue'!B$36</f>
        <v>Peel</v>
      </c>
      <c r="C133" s="190" t="str">
        <f t="shared" si="67"/>
        <v>$/ML</v>
      </c>
      <c r="D133" s="190"/>
      <c r="E133" s="190"/>
      <c r="F133" s="247">
        <v>0</v>
      </c>
      <c r="G133" s="289">
        <f>(G122*'MDB calcs'!G117)</f>
        <v>0</v>
      </c>
      <c r="H133" s="289">
        <f>(H122*'MDB calcs'!H117)</f>
        <v>0</v>
      </c>
      <c r="I133" s="289">
        <f>(I122*'MDB calcs'!I117)</f>
        <v>0</v>
      </c>
      <c r="J133" s="172"/>
      <c r="K133" s="201">
        <v>0</v>
      </c>
      <c r="L133" s="201">
        <f>ROUND((ROUND(I133,2)*(1+'2017 Determination - Revenue'!$F$18)),2)*(1+'2017 Determination - Revenue'!$I$22)</f>
        <v>0</v>
      </c>
      <c r="M133" s="223" t="str">
        <f t="shared" si="65"/>
        <v>na</v>
      </c>
      <c r="N133" s="223"/>
      <c r="O133" s="295">
        <f>F133</f>
        <v>0</v>
      </c>
      <c r="P133" s="185">
        <f t="shared" si="68"/>
        <v>0</v>
      </c>
      <c r="Q133" s="223" t="str">
        <f t="shared" si="66"/>
        <v>na</v>
      </c>
      <c r="R133" s="234"/>
      <c r="S133" s="190"/>
      <c r="T133" s="193"/>
    </row>
    <row r="134" spans="2:20">
      <c r="B134" s="209" t="str">
        <f>'2017 Determination - Revenue'!B$37</f>
        <v>Lachlan</v>
      </c>
      <c r="C134" s="190" t="str">
        <f t="shared" si="67"/>
        <v>$/ML</v>
      </c>
      <c r="D134" s="190"/>
      <c r="E134" s="190"/>
      <c r="F134" s="247">
        <v>0</v>
      </c>
      <c r="G134" s="289">
        <f>(G123*'MDB calcs'!G118)</f>
        <v>0</v>
      </c>
      <c r="H134" s="289">
        <f>(H123*'MDB calcs'!H118)</f>
        <v>0</v>
      </c>
      <c r="I134" s="289">
        <f>(I123*'MDB calcs'!I118)</f>
        <v>0</v>
      </c>
      <c r="J134" s="172"/>
      <c r="K134" s="201">
        <v>0</v>
      </c>
      <c r="L134" s="201">
        <f>ROUND((ROUND(I134,2)*(1+'2017 Determination - Revenue'!$F$18)),2)*(1+'2017 Determination - Revenue'!$I$22)</f>
        <v>0</v>
      </c>
      <c r="M134" s="223" t="str">
        <f t="shared" si="65"/>
        <v>na</v>
      </c>
      <c r="N134" s="223"/>
      <c r="O134" s="295">
        <f>F134</f>
        <v>0</v>
      </c>
      <c r="P134" s="185">
        <f t="shared" si="68"/>
        <v>0</v>
      </c>
      <c r="Q134" s="223" t="str">
        <f t="shared" si="66"/>
        <v>na</v>
      </c>
      <c r="R134" s="234"/>
      <c r="S134" s="190"/>
      <c r="T134" s="193"/>
    </row>
    <row r="135" spans="2:20">
      <c r="B135" s="209" t="str">
        <f>'2017 Determination - Revenue'!B$38</f>
        <v>Macquarie</v>
      </c>
      <c r="C135" s="190" t="str">
        <f t="shared" si="67"/>
        <v>$/ML</v>
      </c>
      <c r="D135" s="190"/>
      <c r="E135" s="190"/>
      <c r="F135" s="247">
        <v>0</v>
      </c>
      <c r="G135" s="289">
        <f>(G124*'MDB calcs'!G119)</f>
        <v>0</v>
      </c>
      <c r="H135" s="289">
        <f>(H124*'MDB calcs'!H119)</f>
        <v>0</v>
      </c>
      <c r="I135" s="289">
        <f>(I124*'MDB calcs'!I119)</f>
        <v>0</v>
      </c>
      <c r="J135" s="172"/>
      <c r="K135" s="201">
        <v>0</v>
      </c>
      <c r="L135" s="201">
        <f>ROUND((ROUND(I135,2)*(1+'2017 Determination - Revenue'!$F$18)),2)*(1+'2017 Determination - Revenue'!$I$22)</f>
        <v>0</v>
      </c>
      <c r="M135" s="223" t="str">
        <f t="shared" si="65"/>
        <v>na</v>
      </c>
      <c r="N135" s="223"/>
      <c r="O135" s="295">
        <f>F135</f>
        <v>0</v>
      </c>
      <c r="P135" s="185">
        <f t="shared" si="68"/>
        <v>0</v>
      </c>
      <c r="Q135" s="223" t="str">
        <f t="shared" si="66"/>
        <v>na</v>
      </c>
      <c r="R135" s="234"/>
      <c r="S135" s="190"/>
      <c r="T135" s="193"/>
    </row>
    <row r="136" spans="2:20">
      <c r="B136" s="209" t="str">
        <f>'2017 Determination - Revenue'!B$39</f>
        <v>Murray</v>
      </c>
      <c r="C136" s="190" t="str">
        <f t="shared" si="67"/>
        <v>$/ML</v>
      </c>
      <c r="D136" s="190"/>
      <c r="E136" s="190"/>
      <c r="F136" s="293">
        <f>'2017 Determination - charges'!F80</f>
        <v>7.2658214716513054</v>
      </c>
      <c r="G136" s="289">
        <f>(G125*'MDB calcs'!G120)</f>
        <v>7.2658949895209091</v>
      </c>
      <c r="H136" s="289">
        <f>(H125*'MDB calcs'!H120)</f>
        <v>7.4229510728906511</v>
      </c>
      <c r="I136" s="289">
        <f>(I125*'MDB calcs'!I120)</f>
        <v>7.9031332064167197</v>
      </c>
      <c r="J136" s="172"/>
      <c r="K136" s="201">
        <f>'2017 Determination - charges'!N80</f>
        <v>7.8206800000000003</v>
      </c>
      <c r="L136" s="201">
        <f>ROUND((ROUND(I136,2)*(1+'2017 Determination - Revenue'!$F$18)),2)*(1+'2017 Determination - Revenue'!$I$22)</f>
        <v>8.5057800000000015</v>
      </c>
      <c r="M136" s="223">
        <f t="shared" si="65"/>
        <v>8.7601078167116153E-2</v>
      </c>
      <c r="N136" s="223"/>
      <c r="O136" s="185">
        <f>'2017 Determination - charges'!I80</f>
        <v>7.2658214716513054</v>
      </c>
      <c r="P136" s="185">
        <f t="shared" si="68"/>
        <v>7.9031332064167197</v>
      </c>
      <c r="Q136" s="223">
        <f t="shared" si="66"/>
        <v>8.771365182202473E-2</v>
      </c>
      <c r="R136" s="234"/>
      <c r="S136" s="190"/>
      <c r="T136" s="193"/>
    </row>
    <row r="137" spans="2:20">
      <c r="B137" s="209" t="str">
        <f>'2017 Determination - Revenue'!B$40</f>
        <v>Murrumbidgee</v>
      </c>
      <c r="C137" s="190" t="str">
        <f t="shared" si="67"/>
        <v>$/ML</v>
      </c>
      <c r="D137" s="190"/>
      <c r="E137" s="190"/>
      <c r="F137" s="293">
        <f>'2017 Determination - charges'!F81</f>
        <v>1.6127560685673548</v>
      </c>
      <c r="G137" s="289">
        <f>(G126*'MDB calcs'!G121)</f>
        <v>1.6127596669925111</v>
      </c>
      <c r="H137" s="289">
        <f>(H126*'MDB calcs'!H121)</f>
        <v>1.6441098992459851</v>
      </c>
      <c r="I137" s="289">
        <f>(I126*'MDB calcs'!I121)</f>
        <v>1.714108536564761</v>
      </c>
      <c r="J137" s="172"/>
      <c r="K137" s="201">
        <f>'2017 Determination - charges'!N81</f>
        <v>1.7285599999999999</v>
      </c>
      <c r="L137" s="201">
        <f>ROUND((ROUND(I137,2)*(1+'2017 Determination - Revenue'!$F$18)),2)*(1+'2017 Determination - Revenue'!$I$22)</f>
        <v>1.8445</v>
      </c>
      <c r="M137" s="223">
        <f t="shared" si="65"/>
        <v>6.7073170731707377E-2</v>
      </c>
      <c r="N137" s="223"/>
      <c r="O137" s="185">
        <f>'2017 Determination - charges'!I81</f>
        <v>1.6127560685673548</v>
      </c>
      <c r="P137" s="185">
        <f t="shared" si="68"/>
        <v>1.714108536564761</v>
      </c>
      <c r="Q137" s="223">
        <f t="shared" si="66"/>
        <v>6.2844263911181475E-2</v>
      </c>
      <c r="R137" s="234"/>
      <c r="S137" s="190"/>
      <c r="T137" s="193"/>
    </row>
    <row r="138" spans="2:20">
      <c r="B138" s="209" t="str">
        <f>'2017 Determination - Revenue'!B$41</f>
        <v>Lowbidgee</v>
      </c>
      <c r="C138" s="190" t="str">
        <f>$C$27</f>
        <v>$/ML</v>
      </c>
      <c r="D138" s="190"/>
      <c r="E138" s="190"/>
      <c r="F138" s="247">
        <v>0</v>
      </c>
      <c r="G138" s="289">
        <f>(G127*'MDB calcs'!G122)</f>
        <v>0</v>
      </c>
      <c r="H138" s="289">
        <f>(H127*'MDB calcs'!H122)</f>
        <v>0</v>
      </c>
      <c r="I138" s="289">
        <f>(I127*'MDB calcs'!I122)</f>
        <v>0</v>
      </c>
      <c r="J138" s="172"/>
      <c r="K138" s="201">
        <v>0</v>
      </c>
      <c r="L138" s="201">
        <f>ROUND((ROUND(I138,2)*(1+'2017 Determination - Revenue'!$F$18)),2)*(1+'2017 Determination - Revenue'!$I$22)</f>
        <v>0</v>
      </c>
      <c r="M138" s="223" t="str">
        <f t="shared" si="65"/>
        <v>na</v>
      </c>
      <c r="N138" s="223"/>
      <c r="O138" s="295">
        <f>F138</f>
        <v>0</v>
      </c>
      <c r="P138" s="185">
        <f t="shared" si="68"/>
        <v>0</v>
      </c>
      <c r="Q138" s="223" t="str">
        <f t="shared" si="66"/>
        <v>na</v>
      </c>
      <c r="R138" s="234"/>
      <c r="S138" s="190"/>
      <c r="T138" s="193"/>
    </row>
    <row r="139" spans="2:20">
      <c r="B139" s="240" t="s">
        <v>34</v>
      </c>
      <c r="C139" s="190"/>
      <c r="D139" s="190"/>
      <c r="E139" s="190"/>
      <c r="F139" s="199"/>
      <c r="G139" s="199">
        <f>SUMPRODUCT(G119:G127,'MDB calcs'!G114:G122)-SUM(G130:G138)</f>
        <v>0</v>
      </c>
      <c r="H139" s="199">
        <f>SUMPRODUCT(H119:H127,'MDB calcs'!H114:H122)-SUM(H130:H138)</f>
        <v>0</v>
      </c>
      <c r="I139" s="199">
        <f>SUMPRODUCT(I119:I127,'MDB calcs'!I114:I122)-SUM(I130:I138)</f>
        <v>0</v>
      </c>
      <c r="J139" s="199"/>
      <c r="K139" s="199"/>
      <c r="L139" s="199"/>
      <c r="M139" s="211"/>
      <c r="N139" s="211"/>
      <c r="O139" s="211"/>
      <c r="P139" s="211"/>
      <c r="Q139" s="211"/>
      <c r="R139" s="234"/>
      <c r="S139" s="190"/>
      <c r="T139" s="193"/>
    </row>
    <row r="140" spans="2:20">
      <c r="B140" s="243"/>
      <c r="C140" s="54"/>
      <c r="D140" s="54"/>
      <c r="E140" s="54"/>
      <c r="F140" s="54"/>
      <c r="G140" s="54"/>
      <c r="H140" s="54"/>
      <c r="I140" s="54"/>
      <c r="J140" s="54"/>
      <c r="K140" s="167"/>
      <c r="L140" s="167"/>
      <c r="M140" s="167"/>
      <c r="N140" s="226"/>
      <c r="O140" s="226"/>
      <c r="P140" s="226"/>
      <c r="Q140" s="226"/>
      <c r="R140" s="235"/>
      <c r="S140" s="190"/>
      <c r="T140" s="193"/>
    </row>
    <row r="141" spans="2:20">
      <c r="B141" s="193"/>
      <c r="C141" s="193"/>
      <c r="D141" s="193"/>
      <c r="E141" s="193"/>
      <c r="F141" s="193"/>
      <c r="G141" s="193"/>
      <c r="H141" s="193"/>
      <c r="I141" s="193"/>
      <c r="J141" s="193"/>
      <c r="K141" s="193"/>
      <c r="L141" s="193"/>
      <c r="M141" s="227"/>
      <c r="N141" s="227"/>
      <c r="O141" s="227"/>
      <c r="P141" s="227"/>
      <c r="Q141" s="227"/>
      <c r="R141" s="227"/>
      <c r="S141" s="227"/>
      <c r="T141" s="193"/>
    </row>
    <row r="142" spans="2:20" s="106" customFormat="1">
      <c r="B142" s="193"/>
      <c r="C142" s="193"/>
      <c r="D142" s="193"/>
      <c r="E142" s="193"/>
      <c r="F142" s="193"/>
      <c r="G142" s="193"/>
      <c r="H142" s="193"/>
      <c r="I142" s="193"/>
      <c r="J142" s="193"/>
      <c r="K142" s="193"/>
      <c r="L142" s="193"/>
      <c r="M142" s="227"/>
      <c r="N142" s="227"/>
      <c r="O142" s="227"/>
      <c r="P142" s="227"/>
      <c r="Q142" s="227"/>
      <c r="R142" s="227"/>
      <c r="S142" s="227"/>
      <c r="T142" s="193"/>
    </row>
    <row r="143" spans="2:20" s="106" customFormat="1">
      <c r="B143" s="244" t="s">
        <v>128</v>
      </c>
      <c r="C143" s="193"/>
      <c r="D143" s="193"/>
      <c r="E143" s="193"/>
      <c r="F143" s="193"/>
      <c r="G143" s="193"/>
      <c r="H143" s="193"/>
      <c r="I143" s="193"/>
      <c r="J143" s="193"/>
      <c r="K143" s="193"/>
      <c r="L143" s="193"/>
      <c r="M143" s="193"/>
      <c r="N143" s="193"/>
      <c r="O143" s="193"/>
      <c r="P143" s="193"/>
      <c r="Q143" s="193"/>
      <c r="R143" s="227"/>
      <c r="S143" s="227"/>
      <c r="T143" s="193"/>
    </row>
    <row r="144" spans="2:20" s="106" customFormat="1" ht="24" customHeight="1">
      <c r="B144" s="391" t="str">
        <f>'2017 Determination - Revenue'!B$16</f>
        <v>Financial year</v>
      </c>
      <c r="C144" s="392" t="str">
        <f>'2017 Determination - Revenue'!C$28</f>
        <v>Units</v>
      </c>
      <c r="D144" s="50"/>
      <c r="E144" s="50"/>
      <c r="F144" s="210" t="str">
        <f>'2017 Determination - Revenue'!F$16</f>
        <v>2017-18</v>
      </c>
      <c r="G144" s="210" t="str">
        <f>'2017 Determination - Revenue'!G$16</f>
        <v>2018-19</v>
      </c>
      <c r="H144" s="210" t="str">
        <f>'2017 Determination - Revenue'!H$16</f>
        <v>2019-20</v>
      </c>
      <c r="I144" s="210" t="str">
        <f>'2017 Determination - Revenue'!I$16</f>
        <v>2020-21</v>
      </c>
      <c r="J144" s="238"/>
      <c r="K144" s="394" t="str">
        <f>K$23</f>
        <v>Analysis of 2020-21 Charges based on ∆ in demand and CPI 
(expressed in $2020-21)</v>
      </c>
      <c r="L144" s="394"/>
      <c r="M144" s="394"/>
      <c r="N144" s="181"/>
      <c r="O144" s="393" t="str">
        <f>O104</f>
        <v>Analysis of 2020-21 Charges based on ∆ in demand 
(expressed in $2016-17)</v>
      </c>
      <c r="P144" s="393"/>
      <c r="Q144" s="393"/>
      <c r="R144" s="236"/>
      <c r="S144" s="190"/>
      <c r="T144" s="193"/>
    </row>
    <row r="145" spans="2:20" s="106" customFormat="1" ht="38.5" customHeight="1">
      <c r="B145" s="249"/>
      <c r="C145" s="308"/>
      <c r="D145" s="52"/>
      <c r="E145" s="52"/>
      <c r="F145" s="213" t="str">
        <f>F$24</f>
        <v>As per 2017 Price Review</v>
      </c>
      <c r="G145" s="213" t="str">
        <f>G$24</f>
        <v>Re-calculated using updated demand</v>
      </c>
      <c r="H145" s="213" t="str">
        <f>H$24</f>
        <v>Re-calculated using updated demand</v>
      </c>
      <c r="I145" s="213" t="str">
        <f>I$24</f>
        <v>Re-calculated using updated demand</v>
      </c>
      <c r="J145" s="190"/>
      <c r="K145" s="213" t="str">
        <f>F145</f>
        <v>As per 2017 Price Review</v>
      </c>
      <c r="L145" s="182" t="str">
        <f>G145</f>
        <v>Re-calculated using updated demand</v>
      </c>
      <c r="M145" s="182" t="str">
        <f>$M$24</f>
        <v xml:space="preserve"> Difference </v>
      </c>
      <c r="N145" s="182"/>
      <c r="O145" s="182" t="str">
        <f>O105</f>
        <v>As per 2017 Price Review</v>
      </c>
      <c r="P145" s="182" t="str">
        <f>P105</f>
        <v>Re-calculated using updated demand</v>
      </c>
      <c r="Q145" s="182" t="str">
        <f>Q105</f>
        <v>Difference</v>
      </c>
      <c r="R145" s="234"/>
      <c r="S145" s="190"/>
      <c r="T145" s="193"/>
    </row>
    <row r="146" spans="2:20" s="106" customFormat="1">
      <c r="B146" s="64"/>
      <c r="C146" s="52"/>
      <c r="D146" s="52"/>
      <c r="E146" s="52"/>
      <c r="F146" s="214" t="str">
        <f>'2017 Determination - Revenue'!$F$29</f>
        <v>$2016-17</v>
      </c>
      <c r="G146" s="214" t="str">
        <f>'2017 Determination - Revenue'!$F$29</f>
        <v>$2016-17</v>
      </c>
      <c r="H146" s="214" t="str">
        <f>'2017 Determination - Revenue'!$F$29</f>
        <v>$2016-17</v>
      </c>
      <c r="I146" s="214" t="str">
        <f>'2017 Determination - Revenue'!$F$29</f>
        <v>$2016-17</v>
      </c>
      <c r="J146" s="296"/>
      <c r="K146" s="292" t="str">
        <f>K$25</f>
        <v>$2020-21</v>
      </c>
      <c r="L146" s="214" t="str">
        <f>L$25</f>
        <v>$2020-21</v>
      </c>
      <c r="M146" s="128" t="str">
        <f>$M$25</f>
        <v>%</v>
      </c>
      <c r="N146" s="177"/>
      <c r="O146" s="128" t="str">
        <f>O$25</f>
        <v>$2016-17</v>
      </c>
      <c r="P146" s="128" t="str">
        <f>P$25</f>
        <v>$2016-17</v>
      </c>
      <c r="Q146" s="128" t="str">
        <f>Q$25</f>
        <v>%</v>
      </c>
      <c r="R146" s="234"/>
      <c r="S146" s="190"/>
      <c r="T146" s="193"/>
    </row>
    <row r="147" spans="2:20" s="106" customFormat="1">
      <c r="B147" s="64" t="s">
        <v>45</v>
      </c>
      <c r="C147" s="52"/>
      <c r="D147" s="52"/>
      <c r="E147" s="52"/>
      <c r="F147" s="52"/>
      <c r="G147" s="52"/>
      <c r="H147" s="52"/>
      <c r="I147" s="192"/>
      <c r="J147" s="37"/>
      <c r="K147" s="211"/>
      <c r="L147" s="211"/>
      <c r="M147" s="211"/>
      <c r="N147" s="211"/>
      <c r="O147" s="211"/>
      <c r="P147" s="211"/>
      <c r="Q147" s="211"/>
      <c r="R147" s="234"/>
      <c r="S147" s="190"/>
      <c r="T147" s="193"/>
    </row>
    <row r="148" spans="2:20" s="106" customFormat="1">
      <c r="B148" s="249" t="str">
        <f>'Updated Volumes'!B$31</f>
        <v xml:space="preserve">Energy Australia </v>
      </c>
      <c r="C148" s="250" t="s">
        <v>39</v>
      </c>
      <c r="D148" s="52"/>
      <c r="E148" s="52"/>
      <c r="F148" s="297">
        <f>'2017 Determination - charges'!F91</f>
        <v>0.3916320430805259</v>
      </c>
      <c r="G148" s="289">
        <f>('FRWS calcs'!G43/'FRWS calcs'!G14)</f>
        <v>0.3916320430805259</v>
      </c>
      <c r="H148" s="289">
        <f>('FRWS calcs'!H43/'FRWS calcs'!H14)</f>
        <v>0.3916320430805259</v>
      </c>
      <c r="I148" s="289">
        <f>('FRWS calcs'!I43/'FRWS calcs'!I14)</f>
        <v>0.3916320430805259</v>
      </c>
      <c r="J148" s="172"/>
      <c r="K148" s="201">
        <f>'2017 Determination - charges'!N91</f>
        <v>0.42160000000000003</v>
      </c>
      <c r="L148" s="201">
        <f>ROUND((ROUND(I148,2)*(1+'2017 Determination - Revenue'!$F$18)),2)*(1+'2017 Determination - Revenue'!$I$22)</f>
        <v>0.42160000000000003</v>
      </c>
      <c r="M148" s="223">
        <f>IF(K148=0,"na",L148/K148-1)</f>
        <v>0</v>
      </c>
      <c r="N148" s="223"/>
      <c r="O148" s="185">
        <f>'2017 Determination - charges'!I91</f>
        <v>0.3916320430805259</v>
      </c>
      <c r="P148" s="185">
        <f>I148</f>
        <v>0.3916320430805259</v>
      </c>
      <c r="Q148" s="223">
        <f t="shared" ref="Q148:Q150" si="69">IF(O148=0,"na",P148/O148-1)</f>
        <v>0</v>
      </c>
      <c r="R148" s="234"/>
      <c r="S148" s="201"/>
      <c r="T148" s="193"/>
    </row>
    <row r="149" spans="2:20" s="106" customFormat="1">
      <c r="B149" s="249" t="str">
        <f>'Updated Volumes'!B$32</f>
        <v xml:space="preserve">Minor customers (raw) </v>
      </c>
      <c r="C149" s="251" t="str">
        <f>Outputs!$C$148</f>
        <v>$/KL</v>
      </c>
      <c r="D149" s="192"/>
      <c r="E149" s="192"/>
      <c r="F149" s="297">
        <f>'2017 Determination - charges'!F92</f>
        <v>0.3916320430805259</v>
      </c>
      <c r="G149" s="289">
        <f>('FRWS calcs'!G44/'FRWS calcs'!G15)</f>
        <v>0.38696975685337681</v>
      </c>
      <c r="H149" s="289">
        <f>('FRWS calcs'!H44/'FRWS calcs'!H15)</f>
        <v>0.38696975685337681</v>
      </c>
      <c r="I149" s="289">
        <f>('FRWS calcs'!I44/'FRWS calcs'!I15)</f>
        <v>0.38696975685337681</v>
      </c>
      <c r="J149" s="172"/>
      <c r="K149" s="201">
        <f>'2017 Determination - charges'!N92</f>
        <v>0.42160000000000003</v>
      </c>
      <c r="L149" s="201">
        <f>ROUND((ROUND(I149,2)*(1+'2017 Determination - Revenue'!$F$18)),2)*(1+'2017 Determination - Revenue'!$I$22)</f>
        <v>0.42160000000000003</v>
      </c>
      <c r="M149" s="223">
        <f>IF(K149=0,"na",L149/K149-1)</f>
        <v>0</v>
      </c>
      <c r="N149" s="223"/>
      <c r="O149" s="185">
        <f>'2017 Determination - charges'!I92</f>
        <v>0.3916320430805259</v>
      </c>
      <c r="P149" s="185">
        <f t="shared" ref="P149:P150" si="70">I149</f>
        <v>0.38696975685337681</v>
      </c>
      <c r="Q149" s="223">
        <f t="shared" si="69"/>
        <v>-1.1904761904761862E-2</v>
      </c>
      <c r="R149" s="234"/>
      <c r="S149" s="190"/>
      <c r="T149" s="193"/>
    </row>
    <row r="150" spans="2:20" s="106" customFormat="1">
      <c r="B150" s="249" t="str">
        <f>'Updated Volumes'!B$33</f>
        <v xml:space="preserve">Minor customers (filtered) </v>
      </c>
      <c r="C150" s="251" t="str">
        <f>Outputs!$C$148</f>
        <v>$/KL</v>
      </c>
      <c r="D150" s="192"/>
      <c r="E150" s="192"/>
      <c r="F150" s="297">
        <f>'2017 Determination - charges'!F93</f>
        <v>0.7580403009206228</v>
      </c>
      <c r="G150" s="289">
        <f>('FRWS calcs'!G45/'FRWS calcs'!G16)</f>
        <v>0.74819562168788734</v>
      </c>
      <c r="H150" s="289">
        <f>('FRWS calcs'!H45/'FRWS calcs'!H16)</f>
        <v>0.74819562168788734</v>
      </c>
      <c r="I150" s="289">
        <f>('FRWS calcs'!I45/'FRWS calcs'!I16)</f>
        <v>0.74819562168788734</v>
      </c>
      <c r="J150" s="172"/>
      <c r="K150" s="201">
        <f>'2017 Determination - charges'!N93</f>
        <v>0.82212000000000007</v>
      </c>
      <c r="L150" s="201">
        <f>ROUND((ROUND(I150,2)*(1+'2017 Determination - Revenue'!$F$18)),2)*(1+'2017 Determination - Revenue'!$I$22)</f>
        <v>0.81158000000000008</v>
      </c>
      <c r="M150" s="223">
        <f>IF(K150=0,"na",L150/K150-1)</f>
        <v>-1.2820512820512775E-2</v>
      </c>
      <c r="N150" s="223"/>
      <c r="O150" s="185">
        <f>'2017 Determination - charges'!I93</f>
        <v>0.7580403009206228</v>
      </c>
      <c r="P150" s="185">
        <f t="shared" si="70"/>
        <v>0.74819562168788734</v>
      </c>
      <c r="Q150" s="223">
        <f t="shared" si="69"/>
        <v>-1.2987012987013102E-2</v>
      </c>
      <c r="R150" s="234"/>
      <c r="S150" s="190"/>
      <c r="T150" s="193"/>
    </row>
    <row r="151" spans="2:20" s="106" customFormat="1">
      <c r="B151" s="74"/>
      <c r="C151" s="192"/>
      <c r="D151" s="192"/>
      <c r="E151" s="192"/>
      <c r="F151" s="52"/>
      <c r="G151" s="192"/>
      <c r="H151" s="222"/>
      <c r="I151" s="222"/>
      <c r="J151" s="172"/>
      <c r="K151" s="201"/>
      <c r="L151" s="201"/>
      <c r="M151" s="211"/>
      <c r="N151" s="211"/>
      <c r="O151" s="211"/>
      <c r="P151" s="211"/>
      <c r="Q151" s="211"/>
      <c r="R151" s="234"/>
      <c r="S151" s="190"/>
      <c r="T151" s="193"/>
    </row>
    <row r="152" spans="2:20" s="106" customFormat="1">
      <c r="B152" s="64" t="s">
        <v>46</v>
      </c>
      <c r="C152" s="192"/>
      <c r="D152" s="192"/>
      <c r="E152" s="192"/>
      <c r="F152" s="52"/>
      <c r="G152" s="192"/>
      <c r="H152" s="222"/>
      <c r="I152" s="222"/>
      <c r="J152" s="172"/>
      <c r="K152" s="201"/>
      <c r="L152" s="201"/>
      <c r="M152" s="211"/>
      <c r="N152" s="211"/>
      <c r="O152" s="211"/>
      <c r="P152" s="211"/>
      <c r="Q152" s="211"/>
      <c r="R152" s="234"/>
      <c r="S152" s="242"/>
      <c r="T152" s="193"/>
    </row>
    <row r="153" spans="2:20" s="106" customFormat="1">
      <c r="B153" s="249" t="str">
        <f>'Updated Volumes'!B$31</f>
        <v xml:space="preserve">Energy Australia </v>
      </c>
      <c r="C153" s="251" t="str">
        <f>Outputs!$C$148</f>
        <v>$/KL</v>
      </c>
      <c r="D153" s="192"/>
      <c r="E153" s="192"/>
      <c r="F153" s="297">
        <f>'2017 Determination - charges'!F96</f>
        <v>0.24476949700441</v>
      </c>
      <c r="G153" s="289">
        <f>(IF('FRWS calcs'!G20&lt;='FRWS calcs'!G14,(('FRWS calcs'!G58-'FRWS calcs'!G43)/'FRWS calcs'!G20),((('FRWS calcs'!G58-'FRWS calcs'!G43)-(('FRWS calcs'!G20-'FRWS calcs'!G14)*G148))/'FRWS calcs'!G20)))</f>
        <v>0.24477869737715272</v>
      </c>
      <c r="H153" s="289">
        <f>(IF('FRWS calcs'!H20&lt;='FRWS calcs'!H14,(('FRWS calcs'!H58-'FRWS calcs'!H43)/'FRWS calcs'!H20),((('FRWS calcs'!H58-'FRWS calcs'!H43)-(('FRWS calcs'!H20-'FRWS calcs'!H14)*H148))/'FRWS calcs'!H20)))</f>
        <v>0.21410830371166456</v>
      </c>
      <c r="I153" s="289">
        <f>(IF('FRWS calcs'!I20&lt;='FRWS calcs'!I14,(('FRWS calcs'!I58-'FRWS calcs'!I43)/'FRWS calcs'!I20),((('FRWS calcs'!I58-'FRWS calcs'!I43)-(('FRWS calcs'!I20-'FRWS calcs'!I14)*I148))/'FRWS calcs'!I20)))</f>
        <v>0.20017680227197368</v>
      </c>
      <c r="J153" s="172"/>
      <c r="K153" s="201">
        <f>'2017 Determination - charges'!N96</f>
        <v>0.26350000000000001</v>
      </c>
      <c r="L153" s="201">
        <f>ROUND((ROUND(I153,2)*(1+'2017 Determination - Revenue'!$F$18)),2)*(1+'2017 Determination - Revenue'!$I$22)</f>
        <v>0.21080000000000002</v>
      </c>
      <c r="M153" s="223">
        <f>IF(K153=0,"na",L153/K153-1)</f>
        <v>-0.19999999999999996</v>
      </c>
      <c r="N153" s="223"/>
      <c r="O153" s="185">
        <f>'2017 Determination - charges'!I96</f>
        <v>0.24476949700441</v>
      </c>
      <c r="P153" s="185">
        <f>I153</f>
        <v>0.20017680227197368</v>
      </c>
      <c r="Q153" s="223">
        <f t="shared" ref="Q153:Q155" si="71">IF(O153=0,"na",P153/O153-1)</f>
        <v>-0.18218240131299079</v>
      </c>
      <c r="R153" s="234"/>
      <c r="S153" s="190"/>
      <c r="T153" s="193"/>
    </row>
    <row r="154" spans="2:20" s="106" customFormat="1">
      <c r="B154" s="249" t="str">
        <f>'Updated Volumes'!B$32</f>
        <v xml:space="preserve">Minor customers (raw) </v>
      </c>
      <c r="C154" s="251" t="str">
        <f>Outputs!$C$148</f>
        <v>$/KL</v>
      </c>
      <c r="D154" s="192"/>
      <c r="E154" s="192"/>
      <c r="F154" s="297">
        <f>'2017 Determination - charges'!F97</f>
        <v>0.24476949700441</v>
      </c>
      <c r="G154" s="289">
        <f>(IF('FRWS calcs'!G21&lt;='FRWS calcs'!G15,(('FRWS calcs'!G59-'FRWS calcs'!G44)/'FRWS calcs'!G21),((('FRWS calcs'!G59-'FRWS calcs'!G44)-(('FRWS calcs'!G21-'FRWS calcs'!G15)*G149))/'FRWS calcs'!G21)))</f>
        <v>0.24590036957214176</v>
      </c>
      <c r="H154" s="289">
        <f>(IF('FRWS calcs'!H21&lt;='FRWS calcs'!H15,(('FRWS calcs'!H59-'FRWS calcs'!H44)/'FRWS calcs'!H21),((('FRWS calcs'!H59-'FRWS calcs'!H44)-(('FRWS calcs'!H21-'FRWS calcs'!H15)*H149))/'FRWS calcs'!H21)))</f>
        <v>0.24432825109795733</v>
      </c>
      <c r="I154" s="289">
        <f>(IF('FRWS calcs'!I21&lt;='FRWS calcs'!I15,(('FRWS calcs'!I59-'FRWS calcs'!I44)/'FRWS calcs'!I21),((('FRWS calcs'!I59-'FRWS calcs'!I44)-(('FRWS calcs'!I21-'FRWS calcs'!I15)*I149))/'FRWS calcs'!I21)))</f>
        <v>0.23593534729140461</v>
      </c>
      <c r="J154" s="172"/>
      <c r="K154" s="201">
        <f>'2017 Determination - charges'!N97</f>
        <v>0.26350000000000001</v>
      </c>
      <c r="L154" s="201">
        <f>ROUND((ROUND(I154,2)*(1+'2017 Determination - Revenue'!$F$18)),2)*(1+'2017 Determination - Revenue'!$I$22)</f>
        <v>0.26350000000000001</v>
      </c>
      <c r="M154" s="223">
        <f>IF(K154=0,"na",L154/K154-1)</f>
        <v>0</v>
      </c>
      <c r="N154" s="223"/>
      <c r="O154" s="185">
        <f>'2017 Determination - charges'!I97</f>
        <v>0.24476949700441</v>
      </c>
      <c r="P154" s="185">
        <f t="shared" ref="P154:P155" si="72">I154</f>
        <v>0.23593534729140461</v>
      </c>
      <c r="Q154" s="223">
        <f t="shared" si="71"/>
        <v>-3.609171004198386E-2</v>
      </c>
      <c r="R154" s="234"/>
      <c r="S154" s="190"/>
      <c r="T154" s="193"/>
    </row>
    <row r="155" spans="2:20" s="106" customFormat="1">
      <c r="B155" s="249" t="str">
        <f>'Updated Volumes'!B$33</f>
        <v xml:space="preserve">Minor customers (filtered) </v>
      </c>
      <c r="C155" s="251" t="str">
        <f>Outputs!$C$148</f>
        <v>$/KL</v>
      </c>
      <c r="D155" s="192"/>
      <c r="E155" s="192"/>
      <c r="F155" s="297">
        <f>'2017 Determination - charges'!F98</f>
        <v>0.45655147010905456</v>
      </c>
      <c r="G155" s="289">
        <f>(IF('FRWS calcs'!G22&lt;='FRWS calcs'!G16,(('FRWS calcs'!G60-'FRWS calcs'!G45)/'FRWS calcs'!G22),((('FRWS calcs'!G60-'FRWS calcs'!G45)-(('FRWS calcs'!G22-'FRWS calcs'!G16)*G150))/'FRWS calcs'!G22)))</f>
        <v>0.53610748655226914</v>
      </c>
      <c r="H155" s="289">
        <f>(IF('FRWS calcs'!H22&lt;='FRWS calcs'!H16,(('FRWS calcs'!H60-'FRWS calcs'!H45)/'FRWS calcs'!H22),((('FRWS calcs'!H60-'FRWS calcs'!H45)-(('FRWS calcs'!H22-'FRWS calcs'!H16)*H150))/'FRWS calcs'!H22)))</f>
        <v>0.57964150216753796</v>
      </c>
      <c r="I155" s="289">
        <f>(IF('FRWS calcs'!I22&lt;='FRWS calcs'!I16,(('FRWS calcs'!I60-'FRWS calcs'!I45)/'FRWS calcs'!I22),((('FRWS calcs'!I60-'FRWS calcs'!I45)-(('FRWS calcs'!I22-'FRWS calcs'!I16)*I150))/'FRWS calcs'!I22)))</f>
        <v>0.60551247916980955</v>
      </c>
      <c r="J155" s="172"/>
      <c r="K155" s="201">
        <f>'2017 Determination - charges'!N98</f>
        <v>0.49537999999999999</v>
      </c>
      <c r="L155" s="201">
        <f>ROUND((ROUND(I155,2)*(1+'2017 Determination - Revenue'!$F$18)),2)*(1+'2017 Determination - Revenue'!$I$22)</f>
        <v>0.65348000000000006</v>
      </c>
      <c r="M155" s="223">
        <f>IF(K155=0,"na",L155/K155-1)</f>
        <v>0.31914893617021289</v>
      </c>
      <c r="N155" s="223"/>
      <c r="O155" s="185">
        <f>'2017 Determination - charges'!I98</f>
        <v>0.45655147010905456</v>
      </c>
      <c r="P155" s="185">
        <f t="shared" si="72"/>
        <v>0.60551247916980955</v>
      </c>
      <c r="Q155" s="223">
        <f t="shared" si="71"/>
        <v>0.32627429504317074</v>
      </c>
      <c r="R155" s="234"/>
      <c r="S155" s="190"/>
      <c r="T155" s="193"/>
    </row>
    <row r="156" spans="2:20" s="106" customFormat="1">
      <c r="B156" s="74"/>
      <c r="C156" s="192"/>
      <c r="D156" s="192"/>
      <c r="E156" s="192"/>
      <c r="F156" s="52"/>
      <c r="G156" s="192"/>
      <c r="H156" s="222"/>
      <c r="I156" s="222"/>
      <c r="J156" s="172"/>
      <c r="K156" s="201"/>
      <c r="L156" s="201"/>
      <c r="M156" s="211"/>
      <c r="N156" s="211"/>
      <c r="O156" s="193"/>
      <c r="P156" s="193"/>
      <c r="Q156" s="211"/>
      <c r="R156" s="234"/>
      <c r="S156" s="190"/>
      <c r="T156" s="193"/>
    </row>
    <row r="157" spans="2:20" s="106" customFormat="1">
      <c r="B157" s="64" t="s">
        <v>47</v>
      </c>
      <c r="C157" s="192"/>
      <c r="D157" s="192"/>
      <c r="E157" s="192"/>
      <c r="F157" s="52"/>
      <c r="G157" s="192"/>
      <c r="H157" s="222"/>
      <c r="I157" s="222"/>
      <c r="J157" s="172"/>
      <c r="K157" s="223"/>
      <c r="L157" s="223"/>
      <c r="M157" s="211"/>
      <c r="N157" s="211"/>
      <c r="O157" s="193"/>
      <c r="P157" s="193"/>
      <c r="Q157" s="211"/>
      <c r="R157" s="234"/>
      <c r="S157" s="190"/>
      <c r="T157" s="193"/>
    </row>
    <row r="158" spans="2:20" s="106" customFormat="1">
      <c r="B158" s="249" t="str">
        <f>'Updated Volumes'!B$31</f>
        <v xml:space="preserve">Energy Australia </v>
      </c>
      <c r="C158" s="251" t="str">
        <f>Outputs!$C$148</f>
        <v>$/KL</v>
      </c>
      <c r="D158" s="192"/>
      <c r="E158" s="192"/>
      <c r="F158" s="297">
        <f>ROUND(F148,2)+ROUND(F153,2)</f>
        <v>0.63</v>
      </c>
      <c r="G158" s="289">
        <f t="shared" ref="G158:H160" si="73">(G148+G153)</f>
        <v>0.63641074045767865</v>
      </c>
      <c r="H158" s="289">
        <f t="shared" si="73"/>
        <v>0.60574034679219046</v>
      </c>
      <c r="I158" s="289">
        <f t="shared" ref="I158" si="74">(I148+I153)</f>
        <v>0.59180884535249956</v>
      </c>
      <c r="J158" s="172"/>
      <c r="K158" s="201">
        <f>'2017 Determination - charges'!N101</f>
        <v>0.68510000000000004</v>
      </c>
      <c r="L158" s="201">
        <f>ROUND((ROUND(I158,2)*(1+'2017 Determination - Revenue'!$F$18)),2)*(1+'2017 Determination - Revenue'!$I$22)</f>
        <v>0.63239999999999996</v>
      </c>
      <c r="M158" s="223">
        <f>IF(K158=0,"na",L158/K158-1)</f>
        <v>-7.6923076923076983E-2</v>
      </c>
      <c r="N158" s="223"/>
      <c r="O158" s="185">
        <f>'2017 Determination - charges'!I101</f>
        <v>0.63640154008493588</v>
      </c>
      <c r="P158" s="185">
        <f>I158</f>
        <v>0.59180884535249956</v>
      </c>
      <c r="Q158" s="223">
        <f t="shared" ref="Q158:Q160" si="75">IF(O158=0,"na",P158/O158-1)</f>
        <v>-7.0070060997157291E-2</v>
      </c>
      <c r="R158" s="234"/>
      <c r="S158" s="190"/>
      <c r="T158" s="193"/>
    </row>
    <row r="159" spans="2:20" s="106" customFormat="1">
      <c r="B159" s="249" t="str">
        <f>'Updated Volumes'!B$32</f>
        <v xml:space="preserve">Minor customers (raw) </v>
      </c>
      <c r="C159" s="251" t="str">
        <f>Outputs!$C$148</f>
        <v>$/KL</v>
      </c>
      <c r="D159" s="192"/>
      <c r="E159" s="192"/>
      <c r="F159" s="297">
        <f>ROUND(F149,2)+ROUND(F154,2)</f>
        <v>0.63</v>
      </c>
      <c r="G159" s="289">
        <f t="shared" si="73"/>
        <v>0.63287012642551854</v>
      </c>
      <c r="H159" s="289">
        <f t="shared" si="73"/>
        <v>0.63129800795133417</v>
      </c>
      <c r="I159" s="289">
        <f t="shared" ref="I159" si="76">(I149+I154)</f>
        <v>0.6229051041447814</v>
      </c>
      <c r="J159" s="172"/>
      <c r="K159" s="201">
        <f>'2017 Determination - charges'!N102</f>
        <v>0.68510000000000004</v>
      </c>
      <c r="L159" s="201">
        <f>ROUND((ROUND(I159,2)*(1+'2017 Determination - Revenue'!$F$18)),2)*(1+'2017 Determination - Revenue'!$I$22)</f>
        <v>0.66402000000000005</v>
      </c>
      <c r="M159" s="223">
        <f>IF(K159=0,"na",L159/K159-1)</f>
        <v>-3.0769230769230771E-2</v>
      </c>
      <c r="N159" s="223"/>
      <c r="O159" s="185">
        <f>'2017 Determination - charges'!I102</f>
        <v>0.63640154008493588</v>
      </c>
      <c r="P159" s="185">
        <f t="shared" ref="P159:P160" si="77">I159</f>
        <v>0.6229051041447814</v>
      </c>
      <c r="Q159" s="223">
        <f t="shared" si="75"/>
        <v>-2.1207421871344279E-2</v>
      </c>
      <c r="R159" s="234"/>
      <c r="S159" s="190"/>
      <c r="T159" s="193"/>
    </row>
    <row r="160" spans="2:20" s="106" customFormat="1">
      <c r="B160" s="249" t="str">
        <f>'Updated Volumes'!B$33</f>
        <v xml:space="preserve">Minor customers (filtered) </v>
      </c>
      <c r="C160" s="251" t="str">
        <f>Outputs!$C$148</f>
        <v>$/KL</v>
      </c>
      <c r="D160" s="192"/>
      <c r="E160" s="192"/>
      <c r="F160" s="297">
        <f>ROUND(F150,2)+ROUND(F155,2)</f>
        <v>1.22</v>
      </c>
      <c r="G160" s="289">
        <f t="shared" si="73"/>
        <v>1.2843031082401564</v>
      </c>
      <c r="H160" s="289">
        <f t="shared" si="73"/>
        <v>1.3278371238554252</v>
      </c>
      <c r="I160" s="289">
        <f t="shared" ref="I160" si="78">(I150+I155)</f>
        <v>1.353708100857697</v>
      </c>
      <c r="J160" s="172"/>
      <c r="K160" s="201">
        <f>'2017 Determination - charges'!N103</f>
        <v>1.3175000000000001</v>
      </c>
      <c r="L160" s="201">
        <f>ROUND((ROUND(I160,2)*(1+'2017 Determination - Revenue'!$F$18)),2)*(1+'2017 Determination - Revenue'!$I$22)</f>
        <v>1.45452</v>
      </c>
      <c r="M160" s="223">
        <f>IF(K160=0,"na",L160/K160-1)</f>
        <v>0.10399999999999987</v>
      </c>
      <c r="N160" s="223"/>
      <c r="O160" s="185">
        <f>'2017 Determination - charges'!I103</f>
        <v>1.2145917710296774</v>
      </c>
      <c r="P160" s="185">
        <f t="shared" si="77"/>
        <v>1.353708100857697</v>
      </c>
      <c r="Q160" s="223">
        <f t="shared" si="75"/>
        <v>0.11453752046260202</v>
      </c>
      <c r="R160" s="234"/>
      <c r="S160" s="190"/>
      <c r="T160" s="193"/>
    </row>
    <row r="161" spans="2:20" s="106" customFormat="1">
      <c r="B161" s="75"/>
      <c r="C161" s="72"/>
      <c r="D161" s="72"/>
      <c r="E161" s="72"/>
      <c r="F161" s="72"/>
      <c r="G161" s="72"/>
      <c r="H161" s="72"/>
      <c r="I161" s="72"/>
      <c r="J161" s="35"/>
      <c r="K161" s="167"/>
      <c r="L161" s="167"/>
      <c r="M161" s="167"/>
      <c r="N161" s="226"/>
      <c r="O161" s="226"/>
      <c r="P161" s="226"/>
      <c r="Q161" s="226"/>
      <c r="R161" s="235"/>
      <c r="S161" s="190"/>
      <c r="T161" s="193"/>
    </row>
    <row r="162" spans="2:20" s="106" customFormat="1">
      <c r="K162" s="193"/>
      <c r="L162" s="193"/>
      <c r="M162" s="193"/>
      <c r="N162" s="193"/>
      <c r="O162" s="193"/>
      <c r="P162" s="193"/>
      <c r="Q162" s="193"/>
      <c r="R162" s="193"/>
      <c r="S162" s="193"/>
      <c r="T162" s="193"/>
    </row>
    <row r="163" spans="2:20" s="106" customFormat="1">
      <c r="B163" s="32"/>
      <c r="K163" s="193"/>
      <c r="L163" s="193"/>
      <c r="M163" s="193"/>
      <c r="N163" s="193"/>
      <c r="O163" s="193"/>
      <c r="P163" s="193"/>
      <c r="Q163" s="193"/>
      <c r="R163" s="193"/>
      <c r="S163" s="193"/>
      <c r="T163" s="193"/>
    </row>
    <row r="164" spans="2:20" s="106" customFormat="1" ht="15.5">
      <c r="B164" s="116" t="s">
        <v>100</v>
      </c>
      <c r="C164" s="115"/>
      <c r="D164" s="115"/>
      <c r="E164" s="115"/>
      <c r="F164" s="115"/>
      <c r="G164" s="115"/>
      <c r="H164" s="115"/>
      <c r="I164" s="115"/>
      <c r="J164" s="115"/>
      <c r="K164" s="115"/>
      <c r="L164" s="115"/>
      <c r="M164" s="115"/>
      <c r="N164" s="115"/>
      <c r="O164" s="115"/>
      <c r="P164" s="115"/>
      <c r="Q164" s="115"/>
      <c r="R164" s="115"/>
      <c r="T164" s="193"/>
    </row>
    <row r="165" spans="2:20" s="106" customFormat="1">
      <c r="S165" s="193"/>
    </row>
    <row r="166" spans="2:20">
      <c r="B166" s="32" t="s">
        <v>134</v>
      </c>
      <c r="I166" s="106"/>
      <c r="J166" s="106"/>
      <c r="L166" s="106"/>
    </row>
    <row r="167" spans="2:20">
      <c r="B167" s="237" t="str">
        <f>'2017 Determination - Revenue'!B$16</f>
        <v>Financial year</v>
      </c>
      <c r="C167" s="238" t="str">
        <f>'2017 Determination - Revenue'!C$28</f>
        <v>Units</v>
      </c>
      <c r="D167" s="238"/>
      <c r="E167" s="238"/>
      <c r="F167" s="210"/>
      <c r="G167" s="210"/>
      <c r="H167" s="288" t="s">
        <v>223</v>
      </c>
      <c r="I167" s="298" t="str">
        <f>$H$167</f>
        <v>2020-21</v>
      </c>
      <c r="J167" s="252" t="s">
        <v>232</v>
      </c>
      <c r="K167" s="252"/>
      <c r="L167" s="236"/>
      <c r="M167" s="190"/>
      <c r="N167" s="190"/>
      <c r="O167" s="190"/>
      <c r="P167" s="190"/>
      <c r="Q167" s="190"/>
      <c r="R167" s="190"/>
    </row>
    <row r="168" spans="2:20" s="106" customFormat="1" ht="33" customHeight="1">
      <c r="B168" s="209"/>
      <c r="C168" s="190"/>
      <c r="D168" s="190"/>
      <c r="E168" s="190"/>
      <c r="F168" s="213"/>
      <c r="G168" s="213"/>
      <c r="H168" s="213" t="str">
        <f>F145</f>
        <v>As per 2017 Price Review</v>
      </c>
      <c r="I168" s="213" t="str">
        <f>G145</f>
        <v>Re-calculated using updated demand</v>
      </c>
      <c r="J168" s="211" t="s">
        <v>231</v>
      </c>
      <c r="K168" s="253"/>
      <c r="L168" s="234"/>
      <c r="M168" s="190"/>
      <c r="N168" s="190"/>
      <c r="O168" s="190"/>
      <c r="P168" s="190"/>
      <c r="Q168" s="190"/>
      <c r="R168" s="190"/>
      <c r="S168" s="193"/>
    </row>
    <row r="169" spans="2:20" ht="12">
      <c r="B169" s="254"/>
      <c r="C169" s="190"/>
      <c r="D169" s="190"/>
      <c r="E169" s="193"/>
      <c r="F169" s="214"/>
      <c r="G169" s="214"/>
      <c r="H169" s="214" t="str">
        <f>'2017 Determination - charges'!$N$15</f>
        <v>$2020-21</v>
      </c>
      <c r="I169" s="214" t="str">
        <f>'2017 Determination - charges'!$N$15</f>
        <v>$2020-21</v>
      </c>
      <c r="J169" s="299" t="str">
        <f>$M$25</f>
        <v>%</v>
      </c>
      <c r="K169" s="255"/>
      <c r="L169" s="234"/>
      <c r="M169" s="190"/>
      <c r="N169" s="190"/>
      <c r="O169" s="190"/>
      <c r="P169" s="190"/>
      <c r="Q169" s="190"/>
      <c r="R169" s="190"/>
    </row>
    <row r="170" spans="2:20">
      <c r="B170" s="239" t="str">
        <f>'2017 Determination - Revenue'!B$130</f>
        <v>Small consumption customers</v>
      </c>
      <c r="C170" s="193" t="str">
        <f>"Entitlement = "&amp;'2017 Determination - Revenue'!G$130&amp;" kL pa, Usage = "&amp;'2017 Determination - Revenue'!G$135*'2017 Determination - Revenue'!G$130&amp;" kL pa"</f>
        <v>Entitlement = 100 kL pa, Usage = 100 kL pa</v>
      </c>
      <c r="D170" s="193"/>
      <c r="E170" s="193"/>
      <c r="F170" s="190"/>
      <c r="G170" s="190"/>
      <c r="H170" s="190"/>
      <c r="I170" s="190"/>
      <c r="J170" s="211"/>
      <c r="K170" s="190"/>
      <c r="L170" s="234"/>
      <c r="M170" s="190"/>
      <c r="N170" s="190"/>
      <c r="O170" s="190"/>
      <c r="P170" s="190"/>
      <c r="Q170" s="190"/>
      <c r="R170" s="190"/>
    </row>
    <row r="171" spans="2:20" ht="12" customHeight="1">
      <c r="B171" s="209" t="str">
        <f>'2017 Determination - Revenue'!B$33</f>
        <v>Border</v>
      </c>
      <c r="C171" s="250" t="s">
        <v>77</v>
      </c>
      <c r="D171" s="190"/>
      <c r="E171" s="190"/>
      <c r="F171" s="218"/>
      <c r="G171" s="189"/>
      <c r="H171" s="218">
        <f>('2017 Determination - Revenue'!I$130*ROUND('2017 Determination - charges'!N52,2))+('2017 Determination - Revenue'!I$130*'2017 Determination - Revenue'!I$135*ROUND('2017 Determination - charges'!N18,2))</f>
        <v>1158</v>
      </c>
      <c r="I171" s="218">
        <f>('2017 Determination - Revenue'!I$130*ROUND(Outputs!L90,2))+('2017 Determination - Revenue'!I$130*'2017 Determination - Revenue'!I$135*ROUND(Outputs!L68,2))</f>
        <v>1167</v>
      </c>
      <c r="J171" s="220">
        <f t="shared" ref="J171:J178" si="79">IFERROR(I171/H171-1,"N/A")</f>
        <v>7.7720207253886286E-3</v>
      </c>
      <c r="K171" s="220"/>
      <c r="L171" s="234"/>
      <c r="M171" s="190"/>
      <c r="N171" s="190"/>
      <c r="O171" s="190"/>
      <c r="P171" s="190"/>
      <c r="Q171" s="300"/>
      <c r="R171" s="190"/>
    </row>
    <row r="172" spans="2:20">
      <c r="B172" s="209" t="str">
        <f>'2017 Determination - Revenue'!B$34</f>
        <v>Gwydir</v>
      </c>
      <c r="C172" s="190" t="str">
        <f t="shared" ref="C172:C179" si="80">C$171</f>
        <v>$</v>
      </c>
      <c r="D172" s="190"/>
      <c r="E172" s="190"/>
      <c r="F172" s="218"/>
      <c r="G172" s="189"/>
      <c r="H172" s="218">
        <f>('2017 Determination - Revenue'!I$130*ROUND('2017 Determination - charges'!N53,2))+('2017 Determination - Revenue'!I$130*'2017 Determination - Revenue'!I$135*ROUND('2017 Determination - charges'!N19,2))</f>
        <v>2469</v>
      </c>
      <c r="I172" s="218">
        <f>('2017 Determination - Revenue'!I$130*ROUND(Outputs!L91,2))+('2017 Determination - Revenue'!I$130*'2017 Determination - Revenue'!I$135*ROUND(Outputs!L69,2))</f>
        <v>2935</v>
      </c>
      <c r="J172" s="220">
        <f t="shared" si="79"/>
        <v>0.18874038072093957</v>
      </c>
      <c r="K172" s="208"/>
      <c r="L172" s="234"/>
      <c r="M172" s="190"/>
      <c r="N172" s="190"/>
      <c r="O172" s="190"/>
      <c r="P172" s="190"/>
      <c r="Q172" s="300"/>
      <c r="R172" s="190"/>
    </row>
    <row r="173" spans="2:20">
      <c r="B173" s="209" t="str">
        <f>'2017 Determination - Revenue'!B$35</f>
        <v>Namoi</v>
      </c>
      <c r="C173" s="190" t="str">
        <f t="shared" si="80"/>
        <v>$</v>
      </c>
      <c r="D173" s="190"/>
      <c r="E173" s="190"/>
      <c r="F173" s="218"/>
      <c r="G173" s="189"/>
      <c r="H173" s="218">
        <f>('2017 Determination - Revenue'!I$130*ROUND('2017 Determination - charges'!N54,2))+('2017 Determination - Revenue'!I$130*'2017 Determination - Revenue'!I$135*ROUND('2017 Determination - charges'!N20,2))</f>
        <v>3988</v>
      </c>
      <c r="I173" s="218">
        <f>('2017 Determination - Revenue'!I$130*ROUND(Outputs!L92,2))+('2017 Determination - Revenue'!I$130*'2017 Determination - Revenue'!I$135*ROUND(Outputs!L70,2))</f>
        <v>4760</v>
      </c>
      <c r="J173" s="220">
        <f t="shared" si="79"/>
        <v>0.19358074222667998</v>
      </c>
      <c r="K173" s="208"/>
      <c r="L173" s="234"/>
      <c r="M173" s="190"/>
      <c r="N173" s="190"/>
      <c r="O173" s="190"/>
      <c r="P173" s="190"/>
      <c r="Q173" s="190"/>
      <c r="R173" s="190"/>
    </row>
    <row r="174" spans="2:20">
      <c r="B174" s="209" t="str">
        <f>'2017 Determination - Revenue'!B$36</f>
        <v>Peel</v>
      </c>
      <c r="C174" s="190" t="str">
        <f t="shared" si="80"/>
        <v>$</v>
      </c>
      <c r="D174" s="190"/>
      <c r="E174" s="190"/>
      <c r="F174" s="218"/>
      <c r="G174" s="189"/>
      <c r="H174" s="218">
        <f>('2017 Determination - Revenue'!I$130*ROUND('2017 Determination - charges'!N55,2))+('2017 Determination - Revenue'!I$130*'2017 Determination - Revenue'!I$135*ROUND('2017 Determination - charges'!N21,2))</f>
        <v>6449</v>
      </c>
      <c r="I174" s="218">
        <f>('2017 Determination - Revenue'!I$130*ROUND(Outputs!L93,2))+('2017 Determination - Revenue'!I$130*'2017 Determination - Revenue'!I$135*ROUND(Outputs!L71,2))</f>
        <v>6294</v>
      </c>
      <c r="J174" s="220">
        <f t="shared" si="79"/>
        <v>-2.4034734067297281E-2</v>
      </c>
      <c r="K174" s="208"/>
      <c r="L174" s="234"/>
      <c r="M174" s="190"/>
      <c r="N174" s="190"/>
      <c r="O174" s="190"/>
      <c r="P174" s="190"/>
      <c r="Q174" s="190"/>
      <c r="R174" s="190"/>
    </row>
    <row r="175" spans="2:20">
      <c r="B175" s="209" t="str">
        <f>'2017 Determination - Revenue'!B$37</f>
        <v>Lachlan</v>
      </c>
      <c r="C175" s="190" t="str">
        <f t="shared" si="80"/>
        <v>$</v>
      </c>
      <c r="D175" s="190"/>
      <c r="E175" s="190"/>
      <c r="F175" s="218"/>
      <c r="G175" s="189"/>
      <c r="H175" s="218">
        <f>('2017 Determination - Revenue'!I$130*ROUND('2017 Determination - charges'!N56,2))+('2017 Determination - Revenue'!I$130*'2017 Determination - Revenue'!I$135*ROUND('2017 Determination - charges'!N22,2))</f>
        <v>3704</v>
      </c>
      <c r="I175" s="218">
        <f>('2017 Determination - Revenue'!I$130*ROUND(Outputs!L94,2))+('2017 Determination - Revenue'!I$130*'2017 Determination - Revenue'!I$135*ROUND(Outputs!L72,2))</f>
        <v>4068</v>
      </c>
      <c r="J175" s="220">
        <f t="shared" si="79"/>
        <v>9.8272138228941763E-2</v>
      </c>
      <c r="K175" s="208"/>
      <c r="L175" s="234"/>
      <c r="M175" s="190"/>
      <c r="N175" s="190"/>
      <c r="O175" s="190"/>
      <c r="P175" s="190"/>
      <c r="Q175" s="190"/>
      <c r="R175" s="190"/>
    </row>
    <row r="176" spans="2:20">
      <c r="B176" s="209" t="str">
        <f>'2017 Determination - Revenue'!B$38</f>
        <v>Macquarie</v>
      </c>
      <c r="C176" s="190" t="str">
        <f t="shared" si="80"/>
        <v>$</v>
      </c>
      <c r="D176" s="190"/>
      <c r="E176" s="190"/>
      <c r="F176" s="218"/>
      <c r="G176" s="189"/>
      <c r="H176" s="218">
        <f>('2017 Determination - Revenue'!I$130*ROUND('2017 Determination - charges'!N57,2))+('2017 Determination - Revenue'!I$130*'2017 Determination - Revenue'!I$135*ROUND('2017 Determination - charges'!N23,2))</f>
        <v>2936</v>
      </c>
      <c r="I176" s="218">
        <f>('2017 Determination - Revenue'!I$130*ROUND(Outputs!L95,2))+('2017 Determination - Revenue'!I$130*'2017 Determination - Revenue'!I$135*ROUND(Outputs!L73,2))</f>
        <v>3081</v>
      </c>
      <c r="J176" s="220">
        <f t="shared" si="79"/>
        <v>4.9386920980926341E-2</v>
      </c>
      <c r="K176" s="208"/>
      <c r="L176" s="234"/>
      <c r="M176" s="190"/>
      <c r="N176" s="190"/>
      <c r="O176" s="190"/>
      <c r="P176" s="190"/>
      <c r="Q176" s="190"/>
      <c r="R176" s="190"/>
    </row>
    <row r="177" spans="2:18">
      <c r="B177" s="209" t="str">
        <f>'2017 Determination - Revenue'!B$39</f>
        <v>Murray</v>
      </c>
      <c r="C177" s="190" t="str">
        <f t="shared" si="80"/>
        <v>$</v>
      </c>
      <c r="D177" s="190"/>
      <c r="E177" s="190"/>
      <c r="F177" s="218"/>
      <c r="G177" s="189"/>
      <c r="H177" s="218">
        <f>('2017 Determination - Revenue'!I$130*ROUND('2017 Determination - charges'!N58,2))+('2017 Determination - Revenue'!I$130*'2017 Determination - Revenue'!I$135*ROUND('2017 Determination - charges'!N24,2))</f>
        <v>371</v>
      </c>
      <c r="I177" s="218">
        <f>('2017 Determination - Revenue'!I$130*ROUND(Outputs!L96,2))+('2017 Determination - Revenue'!I$130*'2017 Determination - Revenue'!I$135*ROUND(Outputs!L74,2))</f>
        <v>405</v>
      </c>
      <c r="J177" s="220">
        <f t="shared" si="79"/>
        <v>9.1644204851752065E-2</v>
      </c>
      <c r="K177" s="208"/>
      <c r="L177" s="234"/>
      <c r="M177" s="190"/>
      <c r="N177" s="190"/>
      <c r="O177" s="190"/>
      <c r="P177" s="190"/>
      <c r="Q177" s="190"/>
      <c r="R177" s="190"/>
    </row>
    <row r="178" spans="2:18">
      <c r="B178" s="209" t="str">
        <f>'2017 Determination - Revenue'!B$40</f>
        <v>Murrumbidgee</v>
      </c>
      <c r="C178" s="190" t="str">
        <f t="shared" si="80"/>
        <v>$</v>
      </c>
      <c r="D178" s="190"/>
      <c r="E178" s="190"/>
      <c r="F178" s="218"/>
      <c r="G178" s="189"/>
      <c r="H178" s="218">
        <f>('2017 Determination - Revenue'!I$130*ROUND('2017 Determination - charges'!N59,2))+('2017 Determination - Revenue'!I$130*'2017 Determination - Revenue'!I$135*ROUND('2017 Determination - charges'!N25,2))</f>
        <v>673</v>
      </c>
      <c r="I178" s="218">
        <f>('2017 Determination - Revenue'!I$130*ROUND(Outputs!L97,2))+('2017 Determination - Revenue'!I$130*'2017 Determination - Revenue'!I$135*ROUND(Outputs!L75,2))</f>
        <v>726</v>
      </c>
      <c r="J178" s="220">
        <f t="shared" si="79"/>
        <v>7.8751857355126242E-2</v>
      </c>
      <c r="K178" s="208"/>
      <c r="L178" s="234"/>
      <c r="M178" s="190"/>
      <c r="N178" s="190"/>
      <c r="O178" s="190"/>
      <c r="P178" s="190"/>
      <c r="Q178" s="190"/>
      <c r="R178" s="190"/>
    </row>
    <row r="179" spans="2:18">
      <c r="B179" s="209" t="str">
        <f>'2017 Determination - Revenue'!B$41</f>
        <v>Lowbidgee</v>
      </c>
      <c r="C179" s="190" t="str">
        <f t="shared" si="80"/>
        <v>$</v>
      </c>
      <c r="D179" s="190"/>
      <c r="E179" s="190"/>
      <c r="F179" s="218"/>
      <c r="G179" s="189"/>
      <c r="H179" s="218">
        <f>('2017 Determination - Revenue'!I$130*ROUND('2017 Determination - charges'!N60,2))+('2017 Determination - Revenue'!I$130*'2017 Determination - Revenue'!I$135*ROUND('2017 Determination - charges'!N26,2))</f>
        <v>0</v>
      </c>
      <c r="I179" s="218">
        <f>('2017 Determination - Revenue'!I$130*ROUND(Outputs!L98,2))+('2017 Determination - Revenue'!I$130*'2017 Determination - Revenue'!I$135*ROUND(Outputs!L76,2))</f>
        <v>0</v>
      </c>
      <c r="J179" s="220" t="str">
        <f>IFERROR(I179/H179-1,"N/A")</f>
        <v>N/A</v>
      </c>
      <c r="K179" s="208"/>
      <c r="L179" s="234"/>
      <c r="M179" s="190"/>
      <c r="N179" s="190"/>
      <c r="O179" s="190"/>
      <c r="P179" s="190"/>
      <c r="Q179" s="190"/>
      <c r="R179" s="190"/>
    </row>
    <row r="180" spans="2:18">
      <c r="B180" s="209"/>
      <c r="C180" s="190"/>
      <c r="D180" s="190"/>
      <c r="E180" s="190"/>
      <c r="F180" s="190"/>
      <c r="G180" s="190"/>
      <c r="H180" s="190"/>
      <c r="I180" s="190"/>
      <c r="J180" s="220"/>
      <c r="K180" s="208"/>
      <c r="L180" s="234"/>
      <c r="M180" s="190"/>
      <c r="N180" s="190"/>
      <c r="O180" s="190"/>
      <c r="P180" s="190"/>
      <c r="Q180" s="190"/>
      <c r="R180" s="190"/>
    </row>
    <row r="181" spans="2:18">
      <c r="B181" s="239" t="str">
        <f>'2017 Determination - Revenue'!B$131</f>
        <v>Medium consumption customers</v>
      </c>
      <c r="C181" s="193" t="str">
        <f>"Entitlement = "&amp;'2017 Determination - Revenue'!G$131&amp;" kL pa, Usage = "&amp;'2017 Determination - Revenue'!G$136*'2017 Determination - Revenue'!G$131&amp;" kL pa"</f>
        <v>Entitlement = 500 kL pa, Usage = 500 kL pa</v>
      </c>
      <c r="D181" s="190"/>
      <c r="E181" s="190"/>
      <c r="F181" s="190"/>
      <c r="G181" s="190"/>
      <c r="H181" s="190"/>
      <c r="I181" s="190"/>
      <c r="J181" s="220"/>
      <c r="K181" s="208"/>
      <c r="L181" s="234"/>
      <c r="M181" s="190"/>
      <c r="N181" s="190"/>
      <c r="O181" s="190"/>
      <c r="P181" s="190"/>
      <c r="Q181" s="190"/>
      <c r="R181" s="190"/>
    </row>
    <row r="182" spans="2:18">
      <c r="B182" s="209" t="str">
        <f>'2017 Determination - Revenue'!B$33</f>
        <v>Border</v>
      </c>
      <c r="C182" s="190" t="str">
        <f t="shared" ref="C182:C190" si="81">C$171</f>
        <v>$</v>
      </c>
      <c r="D182" s="190"/>
      <c r="E182" s="190"/>
      <c r="F182" s="218"/>
      <c r="G182" s="189"/>
      <c r="H182" s="189">
        <f>('2017 Determination - Revenue'!I$131*ROUND('2017 Determination - charges'!N52,2))+('2017 Determination - Revenue'!I$131*'2017 Determination - Revenue'!I$136*ROUND('2017 Determination - charges'!N18,2))</f>
        <v>5790</v>
      </c>
      <c r="I182" s="189">
        <f>('2017 Determination - Revenue'!I$131*ROUND(Outputs!L90,2))+('2017 Determination - Revenue'!I$131*'2017 Determination - Revenue'!I$136*ROUND(Outputs!L68,2))</f>
        <v>5835</v>
      </c>
      <c r="J182" s="220">
        <f t="shared" ref="J182:J190" si="82">IFERROR(I182/H182-1,"N/A")</f>
        <v>7.7720207253886286E-3</v>
      </c>
      <c r="K182" s="208"/>
      <c r="L182" s="234"/>
      <c r="M182" s="190"/>
      <c r="N182" s="190"/>
      <c r="O182" s="190"/>
      <c r="P182" s="190"/>
      <c r="Q182" s="190"/>
      <c r="R182" s="190"/>
    </row>
    <row r="183" spans="2:18">
      <c r="B183" s="209" t="str">
        <f>'2017 Determination - Revenue'!B$34</f>
        <v>Gwydir</v>
      </c>
      <c r="C183" s="190" t="str">
        <f t="shared" si="81"/>
        <v>$</v>
      </c>
      <c r="D183" s="190"/>
      <c r="E183" s="190"/>
      <c r="F183" s="218"/>
      <c r="G183" s="189"/>
      <c r="H183" s="189">
        <f>('2017 Determination - Revenue'!I$131*ROUND('2017 Determination - charges'!N53,2))+('2017 Determination - Revenue'!I$131*'2017 Determination - Revenue'!I$136*ROUND('2017 Determination - charges'!N19,2))</f>
        <v>12345</v>
      </c>
      <c r="I183" s="189">
        <f>('2017 Determination - Revenue'!I$131*ROUND(Outputs!L91,2))+('2017 Determination - Revenue'!I$131*'2017 Determination - Revenue'!I$136*ROUND(Outputs!L69,2))</f>
        <v>14675</v>
      </c>
      <c r="J183" s="220">
        <f t="shared" si="82"/>
        <v>0.18874038072093957</v>
      </c>
      <c r="K183" s="208"/>
      <c r="L183" s="234"/>
      <c r="M183" s="190"/>
      <c r="N183" s="190"/>
      <c r="O183" s="190"/>
      <c r="P183" s="190"/>
      <c r="Q183" s="190"/>
      <c r="R183" s="190"/>
    </row>
    <row r="184" spans="2:18">
      <c r="B184" s="209" t="str">
        <f>'2017 Determination - Revenue'!B$35</f>
        <v>Namoi</v>
      </c>
      <c r="C184" s="190" t="str">
        <f t="shared" si="81"/>
        <v>$</v>
      </c>
      <c r="D184" s="190"/>
      <c r="E184" s="190"/>
      <c r="F184" s="218"/>
      <c r="G184" s="189"/>
      <c r="H184" s="189">
        <f>('2017 Determination - Revenue'!I$131*ROUND('2017 Determination - charges'!N54,2))+('2017 Determination - Revenue'!I$131*'2017 Determination - Revenue'!I$136*ROUND('2017 Determination - charges'!N20,2))</f>
        <v>19940</v>
      </c>
      <c r="I184" s="189">
        <f>('2017 Determination - Revenue'!I$131*ROUND(Outputs!L92,2))+('2017 Determination - Revenue'!I$131*'2017 Determination - Revenue'!I$136*ROUND(Outputs!L70,2))</f>
        <v>23800</v>
      </c>
      <c r="J184" s="220">
        <f t="shared" si="82"/>
        <v>0.19358074222667998</v>
      </c>
      <c r="K184" s="208"/>
      <c r="L184" s="234"/>
      <c r="M184" s="190"/>
      <c r="N184" s="190"/>
      <c r="O184" s="190"/>
      <c r="P184" s="190"/>
      <c r="Q184" s="190"/>
      <c r="R184" s="190"/>
    </row>
    <row r="185" spans="2:18">
      <c r="B185" s="209" t="str">
        <f>'2017 Determination - Revenue'!B$36</f>
        <v>Peel</v>
      </c>
      <c r="C185" s="190" t="str">
        <f t="shared" si="81"/>
        <v>$</v>
      </c>
      <c r="D185" s="190"/>
      <c r="E185" s="190"/>
      <c r="F185" s="218"/>
      <c r="G185" s="189"/>
      <c r="H185" s="189">
        <f>('2017 Determination - Revenue'!I$131*ROUND('2017 Determination - charges'!N55,2))+('2017 Determination - Revenue'!I$131*'2017 Determination - Revenue'!I$136*ROUND('2017 Determination - charges'!N21,2))</f>
        <v>32245</v>
      </c>
      <c r="I185" s="189">
        <f>('2017 Determination - Revenue'!I$131*ROUND(Outputs!L93,2))+('2017 Determination - Revenue'!I$131*'2017 Determination - Revenue'!I$136*ROUND(Outputs!L71,2))</f>
        <v>31470</v>
      </c>
      <c r="J185" s="220">
        <f t="shared" si="82"/>
        <v>-2.4034734067297281E-2</v>
      </c>
      <c r="K185" s="208"/>
      <c r="L185" s="234"/>
      <c r="M185" s="190"/>
      <c r="N185" s="190"/>
      <c r="O185" s="190"/>
      <c r="P185" s="190"/>
      <c r="Q185" s="190"/>
      <c r="R185" s="190"/>
    </row>
    <row r="186" spans="2:18">
      <c r="B186" s="209" t="str">
        <f>'2017 Determination - Revenue'!B$37</f>
        <v>Lachlan</v>
      </c>
      <c r="C186" s="190" t="str">
        <f t="shared" si="81"/>
        <v>$</v>
      </c>
      <c r="D186" s="190"/>
      <c r="E186" s="190"/>
      <c r="F186" s="218"/>
      <c r="G186" s="189"/>
      <c r="H186" s="189">
        <f>('2017 Determination - Revenue'!I$131*ROUND('2017 Determination - charges'!N56,2))+('2017 Determination - Revenue'!I$131*'2017 Determination - Revenue'!I$136*ROUND('2017 Determination - charges'!N22,2))</f>
        <v>18520</v>
      </c>
      <c r="I186" s="189">
        <f>('2017 Determination - Revenue'!I$131*ROUND(Outputs!L94,2))+('2017 Determination - Revenue'!I$131*'2017 Determination - Revenue'!I$136*ROUND(Outputs!L72,2))</f>
        <v>20340</v>
      </c>
      <c r="J186" s="220">
        <f t="shared" si="82"/>
        <v>9.8272138228941763E-2</v>
      </c>
      <c r="K186" s="208"/>
      <c r="L186" s="234"/>
      <c r="M186" s="190"/>
      <c r="N186" s="190"/>
      <c r="O186" s="190"/>
      <c r="P186" s="190"/>
      <c r="Q186" s="190"/>
      <c r="R186" s="190"/>
    </row>
    <row r="187" spans="2:18">
      <c r="B187" s="209" t="str">
        <f>'2017 Determination - Revenue'!B$38</f>
        <v>Macquarie</v>
      </c>
      <c r="C187" s="190" t="str">
        <f t="shared" si="81"/>
        <v>$</v>
      </c>
      <c r="D187" s="190"/>
      <c r="E187" s="190"/>
      <c r="F187" s="218"/>
      <c r="G187" s="189"/>
      <c r="H187" s="189">
        <f>('2017 Determination - Revenue'!I$131*ROUND('2017 Determination - charges'!N57,2))+('2017 Determination - Revenue'!I$131*'2017 Determination - Revenue'!I$136*ROUND('2017 Determination - charges'!N23,2))</f>
        <v>14680</v>
      </c>
      <c r="I187" s="189">
        <f>('2017 Determination - Revenue'!I$131*ROUND(Outputs!L95,2))+('2017 Determination - Revenue'!I$131*'2017 Determination - Revenue'!I$136*ROUND(Outputs!L73,2))</f>
        <v>15405</v>
      </c>
      <c r="J187" s="220">
        <f t="shared" si="82"/>
        <v>4.9386920980926341E-2</v>
      </c>
      <c r="K187" s="208"/>
      <c r="L187" s="234"/>
      <c r="M187" s="190"/>
      <c r="N187" s="190"/>
      <c r="O187" s="190"/>
      <c r="P187" s="190"/>
      <c r="Q187" s="190"/>
      <c r="R187" s="190"/>
    </row>
    <row r="188" spans="2:18">
      <c r="B188" s="209" t="str">
        <f>'2017 Determination - Revenue'!B$39</f>
        <v>Murray</v>
      </c>
      <c r="C188" s="190" t="str">
        <f t="shared" si="81"/>
        <v>$</v>
      </c>
      <c r="D188" s="190"/>
      <c r="E188" s="190"/>
      <c r="F188" s="218"/>
      <c r="G188" s="189"/>
      <c r="H188" s="189">
        <f>('2017 Determination - Revenue'!I$131*ROUND('2017 Determination - charges'!N58,2))+('2017 Determination - Revenue'!I$131*'2017 Determination - Revenue'!I$136*ROUND('2017 Determination - charges'!N24,2))</f>
        <v>1855</v>
      </c>
      <c r="I188" s="189">
        <f>('2017 Determination - Revenue'!I$131*ROUND(Outputs!L96,2))+('2017 Determination - Revenue'!I$131*'2017 Determination - Revenue'!I$136*ROUND(Outputs!L74,2))</f>
        <v>2025</v>
      </c>
      <c r="J188" s="220">
        <f t="shared" si="82"/>
        <v>9.1644204851752065E-2</v>
      </c>
      <c r="K188" s="208"/>
      <c r="L188" s="234"/>
      <c r="M188" s="190"/>
      <c r="N188" s="190"/>
      <c r="O188" s="190"/>
      <c r="P188" s="190"/>
      <c r="Q188" s="190"/>
      <c r="R188" s="190"/>
    </row>
    <row r="189" spans="2:18">
      <c r="B189" s="209" t="str">
        <f>'2017 Determination - Revenue'!B$40</f>
        <v>Murrumbidgee</v>
      </c>
      <c r="C189" s="190" t="str">
        <f t="shared" si="81"/>
        <v>$</v>
      </c>
      <c r="D189" s="190"/>
      <c r="E189" s="190"/>
      <c r="F189" s="218"/>
      <c r="G189" s="189"/>
      <c r="H189" s="189">
        <f>('2017 Determination - Revenue'!I$131*ROUND('2017 Determination - charges'!N59,2))+('2017 Determination - Revenue'!I$131*'2017 Determination - Revenue'!I$136*ROUND('2017 Determination - charges'!N25,2))</f>
        <v>3365</v>
      </c>
      <c r="I189" s="189">
        <f>('2017 Determination - Revenue'!I$131*ROUND(Outputs!L97,2))+('2017 Determination - Revenue'!I$131*'2017 Determination - Revenue'!I$136*ROUND(Outputs!L75,2))</f>
        <v>3630</v>
      </c>
      <c r="J189" s="220">
        <f t="shared" si="82"/>
        <v>7.8751857355126242E-2</v>
      </c>
      <c r="K189" s="208"/>
      <c r="L189" s="234"/>
      <c r="M189" s="190"/>
      <c r="N189" s="190"/>
      <c r="O189" s="190"/>
      <c r="P189" s="190"/>
      <c r="Q189" s="190"/>
      <c r="R189" s="190"/>
    </row>
    <row r="190" spans="2:18">
      <c r="B190" s="209" t="str">
        <f>'2017 Determination - Revenue'!B$41</f>
        <v>Lowbidgee</v>
      </c>
      <c r="C190" s="190" t="str">
        <f t="shared" si="81"/>
        <v>$</v>
      </c>
      <c r="D190" s="190"/>
      <c r="E190" s="190"/>
      <c r="F190" s="218"/>
      <c r="G190" s="189"/>
      <c r="H190" s="189">
        <f>('2017 Determination - Revenue'!I$131*ROUND('2017 Determination - charges'!N60,2))+('2017 Determination - Revenue'!I$131*'2017 Determination - Revenue'!I$136*ROUND('2017 Determination - charges'!N26,2))</f>
        <v>0</v>
      </c>
      <c r="I190" s="189">
        <f>('2017 Determination - Revenue'!I$131*ROUND(Outputs!L98,2))+('2017 Determination - Revenue'!I$131*'2017 Determination - Revenue'!I$136*ROUND(Outputs!L76,2))</f>
        <v>0</v>
      </c>
      <c r="J190" s="220" t="str">
        <f t="shared" si="82"/>
        <v>N/A</v>
      </c>
      <c r="K190" s="208"/>
      <c r="L190" s="234"/>
      <c r="M190" s="190"/>
      <c r="N190" s="190"/>
      <c r="O190" s="190"/>
      <c r="P190" s="190"/>
      <c r="Q190" s="190"/>
      <c r="R190" s="190"/>
    </row>
    <row r="191" spans="2:18">
      <c r="B191" s="209"/>
      <c r="C191" s="190"/>
      <c r="D191" s="190"/>
      <c r="E191" s="190"/>
      <c r="F191" s="188"/>
      <c r="G191" s="188"/>
      <c r="H191" s="188"/>
      <c r="I191" s="190"/>
      <c r="J191" s="220"/>
      <c r="K191" s="208"/>
      <c r="L191" s="234"/>
      <c r="M191" s="190"/>
      <c r="N191" s="190"/>
      <c r="O191" s="190"/>
      <c r="P191" s="190"/>
      <c r="Q191" s="190"/>
      <c r="R191" s="190"/>
    </row>
    <row r="192" spans="2:18">
      <c r="B192" s="239" t="str">
        <f>'2017 Determination - Revenue'!B$132</f>
        <v>Large consumption customers</v>
      </c>
      <c r="C192" s="193" t="str">
        <f>"Entitlement = "&amp;'2017 Determination - Revenue'!G$132&amp;" kL pa, Usage = "&amp;'2017 Determination - Revenue'!G$137*'2017 Determination - Revenue'!G$132&amp;" kL pa"</f>
        <v>Entitlement = 1000 kL pa, Usage = 1000 kL pa</v>
      </c>
      <c r="D192" s="190"/>
      <c r="E192" s="190"/>
      <c r="F192" s="188"/>
      <c r="G192" s="188"/>
      <c r="H192" s="188"/>
      <c r="I192" s="190"/>
      <c r="J192" s="220"/>
      <c r="K192" s="208"/>
      <c r="L192" s="234"/>
      <c r="M192" s="190"/>
      <c r="N192" s="190"/>
      <c r="O192" s="190"/>
      <c r="P192" s="190"/>
      <c r="Q192" s="190"/>
      <c r="R192" s="190"/>
    </row>
    <row r="193" spans="2:19">
      <c r="B193" s="209" t="str">
        <f>'2017 Determination - Revenue'!B$33</f>
        <v>Border</v>
      </c>
      <c r="C193" s="190" t="str">
        <f t="shared" ref="C193:C201" si="83">C$171</f>
        <v>$</v>
      </c>
      <c r="D193" s="190"/>
      <c r="E193" s="190"/>
      <c r="F193" s="218"/>
      <c r="G193" s="189"/>
      <c r="H193" s="189">
        <f>('2017 Determination - Revenue'!I$132*ROUND('2017 Determination - charges'!N52,2))+('2017 Determination - Revenue'!I$132*'2017 Determination - Revenue'!I$137*ROUND('2017 Determination - charges'!N18,2))</f>
        <v>11580</v>
      </c>
      <c r="I193" s="189">
        <f>('2017 Determination - Revenue'!I$132*ROUND(Outputs!L90,2))+('2017 Determination - Revenue'!I$132*'2017 Determination - Revenue'!I$137*ROUND(Outputs!L68,2))</f>
        <v>11670</v>
      </c>
      <c r="J193" s="220">
        <f t="shared" ref="J193:J201" si="84">IFERROR(I193/H193-1,"N/A")</f>
        <v>7.7720207253886286E-3</v>
      </c>
      <c r="K193" s="208"/>
      <c r="L193" s="234"/>
      <c r="M193" s="190"/>
      <c r="N193" s="190"/>
      <c r="O193" s="190"/>
      <c r="P193" s="190"/>
      <c r="Q193" s="190"/>
      <c r="R193" s="190"/>
    </row>
    <row r="194" spans="2:19">
      <c r="B194" s="209" t="str">
        <f>'2017 Determination - Revenue'!B$34</f>
        <v>Gwydir</v>
      </c>
      <c r="C194" s="190" t="str">
        <f t="shared" si="83"/>
        <v>$</v>
      </c>
      <c r="D194" s="190"/>
      <c r="E194" s="190"/>
      <c r="F194" s="218"/>
      <c r="G194" s="189"/>
      <c r="H194" s="189">
        <f>('2017 Determination - Revenue'!I$132*ROUND('2017 Determination - charges'!N53,2))+('2017 Determination - Revenue'!I$132*'2017 Determination - Revenue'!I$137*ROUND('2017 Determination - charges'!N19,2))</f>
        <v>24690</v>
      </c>
      <c r="I194" s="189">
        <f>('2017 Determination - Revenue'!I$132*ROUND(Outputs!L91,2))+('2017 Determination - Revenue'!I$132*'2017 Determination - Revenue'!I$137*ROUND(Outputs!L69,2))</f>
        <v>29350</v>
      </c>
      <c r="J194" s="220">
        <f t="shared" si="84"/>
        <v>0.18874038072093957</v>
      </c>
      <c r="K194" s="208"/>
      <c r="L194" s="234"/>
      <c r="M194" s="190"/>
      <c r="N194" s="190"/>
      <c r="O194" s="190"/>
      <c r="P194" s="190"/>
      <c r="Q194" s="190"/>
      <c r="R194" s="190"/>
    </row>
    <row r="195" spans="2:19">
      <c r="B195" s="209" t="str">
        <f>'2017 Determination - Revenue'!B$35</f>
        <v>Namoi</v>
      </c>
      <c r="C195" s="190" t="str">
        <f t="shared" si="83"/>
        <v>$</v>
      </c>
      <c r="D195" s="190"/>
      <c r="E195" s="190"/>
      <c r="F195" s="218"/>
      <c r="G195" s="189"/>
      <c r="H195" s="189">
        <f>('2017 Determination - Revenue'!I$132*ROUND('2017 Determination - charges'!N54,2))+('2017 Determination - Revenue'!I$132*'2017 Determination - Revenue'!I$137*ROUND('2017 Determination - charges'!N20,2))</f>
        <v>39880</v>
      </c>
      <c r="I195" s="189">
        <f>('2017 Determination - Revenue'!I$132*ROUND(Outputs!L92,2))+('2017 Determination - Revenue'!I$132*'2017 Determination - Revenue'!I$137*ROUND(Outputs!L70,2))</f>
        <v>47600</v>
      </c>
      <c r="J195" s="220">
        <f t="shared" si="84"/>
        <v>0.19358074222667998</v>
      </c>
      <c r="K195" s="208"/>
      <c r="L195" s="234"/>
      <c r="M195" s="190"/>
      <c r="N195" s="190"/>
      <c r="O195" s="190"/>
      <c r="P195" s="190"/>
      <c r="Q195" s="190"/>
      <c r="R195" s="190"/>
    </row>
    <row r="196" spans="2:19">
      <c r="B196" s="209" t="str">
        <f>'2017 Determination - Revenue'!B$36</f>
        <v>Peel</v>
      </c>
      <c r="C196" s="190" t="str">
        <f t="shared" si="83"/>
        <v>$</v>
      </c>
      <c r="D196" s="190"/>
      <c r="E196" s="190"/>
      <c r="F196" s="218"/>
      <c r="G196" s="189"/>
      <c r="H196" s="189">
        <f>('2017 Determination - Revenue'!I$132*ROUND('2017 Determination - charges'!N55,2))+('2017 Determination - Revenue'!I$132*'2017 Determination - Revenue'!I$137*ROUND('2017 Determination - charges'!N21,2))</f>
        <v>64490</v>
      </c>
      <c r="I196" s="189">
        <f>('2017 Determination - Revenue'!I$132*ROUND(Outputs!L93,2))+('2017 Determination - Revenue'!I$132*'2017 Determination - Revenue'!I$137*ROUND(Outputs!L71,2))</f>
        <v>62940</v>
      </c>
      <c r="J196" s="220">
        <f t="shared" si="84"/>
        <v>-2.4034734067297281E-2</v>
      </c>
      <c r="K196" s="208"/>
      <c r="L196" s="234"/>
      <c r="M196" s="190"/>
      <c r="N196" s="190"/>
      <c r="O196" s="190"/>
      <c r="P196" s="190"/>
      <c r="Q196" s="190"/>
      <c r="R196" s="190"/>
    </row>
    <row r="197" spans="2:19">
      <c r="B197" s="209" t="str">
        <f>'2017 Determination - Revenue'!B$37</f>
        <v>Lachlan</v>
      </c>
      <c r="C197" s="190" t="str">
        <f t="shared" si="83"/>
        <v>$</v>
      </c>
      <c r="D197" s="190"/>
      <c r="E197" s="190"/>
      <c r="F197" s="218"/>
      <c r="G197" s="189"/>
      <c r="H197" s="189">
        <f>('2017 Determination - Revenue'!I$132*ROUND('2017 Determination - charges'!N56,2))+('2017 Determination - Revenue'!I$132*'2017 Determination - Revenue'!I$137*ROUND('2017 Determination - charges'!N22,2))</f>
        <v>37040</v>
      </c>
      <c r="I197" s="189">
        <f>('2017 Determination - Revenue'!I$132*ROUND(Outputs!L94,2))+('2017 Determination - Revenue'!I$132*'2017 Determination - Revenue'!I$137*ROUND(Outputs!L72,2))</f>
        <v>40680</v>
      </c>
      <c r="J197" s="220">
        <f t="shared" si="84"/>
        <v>9.8272138228941763E-2</v>
      </c>
      <c r="K197" s="208"/>
      <c r="L197" s="234"/>
      <c r="M197" s="190"/>
      <c r="N197" s="190"/>
      <c r="O197" s="190"/>
      <c r="P197" s="190"/>
      <c r="Q197" s="190"/>
      <c r="R197" s="190"/>
    </row>
    <row r="198" spans="2:19">
      <c r="B198" s="209" t="str">
        <f>'2017 Determination - Revenue'!B$38</f>
        <v>Macquarie</v>
      </c>
      <c r="C198" s="190" t="str">
        <f t="shared" si="83"/>
        <v>$</v>
      </c>
      <c r="D198" s="190"/>
      <c r="E198" s="190"/>
      <c r="F198" s="218"/>
      <c r="G198" s="189"/>
      <c r="H198" s="189">
        <f>('2017 Determination - Revenue'!I$132*ROUND('2017 Determination - charges'!N57,2))+('2017 Determination - Revenue'!I$132*'2017 Determination - Revenue'!I$137*ROUND('2017 Determination - charges'!N23,2))</f>
        <v>29360</v>
      </c>
      <c r="I198" s="189">
        <f>('2017 Determination - Revenue'!I$132*ROUND(Outputs!L95,2))+('2017 Determination - Revenue'!I$132*'2017 Determination - Revenue'!I$137*ROUND(Outputs!L73,2))</f>
        <v>30810</v>
      </c>
      <c r="J198" s="220">
        <f t="shared" si="84"/>
        <v>4.9386920980926341E-2</v>
      </c>
      <c r="K198" s="208"/>
      <c r="L198" s="234"/>
      <c r="M198" s="190"/>
      <c r="N198" s="190"/>
      <c r="O198" s="190"/>
      <c r="P198" s="190"/>
      <c r="Q198" s="190"/>
      <c r="R198" s="190"/>
    </row>
    <row r="199" spans="2:19">
      <c r="B199" s="209" t="str">
        <f>'2017 Determination - Revenue'!B$39</f>
        <v>Murray</v>
      </c>
      <c r="C199" s="190" t="str">
        <f t="shared" si="83"/>
        <v>$</v>
      </c>
      <c r="D199" s="190"/>
      <c r="E199" s="190"/>
      <c r="F199" s="218"/>
      <c r="G199" s="189"/>
      <c r="H199" s="189">
        <f>('2017 Determination - Revenue'!I$132*ROUND('2017 Determination - charges'!N58,2))+('2017 Determination - Revenue'!I$132*'2017 Determination - Revenue'!I$137*ROUND('2017 Determination - charges'!N24,2))</f>
        <v>3710</v>
      </c>
      <c r="I199" s="189">
        <f>('2017 Determination - Revenue'!I$132*ROUND(Outputs!L96,2))+('2017 Determination - Revenue'!I$132*'2017 Determination - Revenue'!I$137*ROUND(Outputs!L74,2))</f>
        <v>4050</v>
      </c>
      <c r="J199" s="220">
        <f t="shared" si="84"/>
        <v>9.1644204851752065E-2</v>
      </c>
      <c r="K199" s="208"/>
      <c r="L199" s="234"/>
      <c r="M199" s="190"/>
      <c r="N199" s="190"/>
      <c r="O199" s="190"/>
      <c r="P199" s="190"/>
      <c r="Q199" s="190"/>
      <c r="R199" s="190"/>
    </row>
    <row r="200" spans="2:19">
      <c r="B200" s="209" t="str">
        <f>'2017 Determination - Revenue'!B$40</f>
        <v>Murrumbidgee</v>
      </c>
      <c r="C200" s="190" t="str">
        <f t="shared" si="83"/>
        <v>$</v>
      </c>
      <c r="D200" s="190"/>
      <c r="E200" s="190"/>
      <c r="F200" s="218"/>
      <c r="G200" s="189"/>
      <c r="H200" s="189">
        <f>('2017 Determination - Revenue'!I$132*ROUND('2017 Determination - charges'!N59,2))+('2017 Determination - Revenue'!I$132*'2017 Determination - Revenue'!I$137*ROUND('2017 Determination - charges'!N25,2))</f>
        <v>6730</v>
      </c>
      <c r="I200" s="189">
        <f>('2017 Determination - Revenue'!I$132*ROUND(Outputs!L97,2))+('2017 Determination - Revenue'!I$132*'2017 Determination - Revenue'!I$137*ROUND(Outputs!L75,2))</f>
        <v>7260</v>
      </c>
      <c r="J200" s="220">
        <f t="shared" si="84"/>
        <v>7.8751857355126242E-2</v>
      </c>
      <c r="K200" s="208"/>
      <c r="L200" s="234"/>
      <c r="M200" s="190"/>
      <c r="N200" s="190"/>
      <c r="O200" s="190"/>
      <c r="P200" s="190"/>
      <c r="Q200" s="190"/>
      <c r="R200" s="190"/>
    </row>
    <row r="201" spans="2:19">
      <c r="B201" s="209" t="str">
        <f>'2017 Determination - Revenue'!B$41</f>
        <v>Lowbidgee</v>
      </c>
      <c r="C201" s="190" t="str">
        <f t="shared" si="83"/>
        <v>$</v>
      </c>
      <c r="D201" s="190"/>
      <c r="E201" s="190"/>
      <c r="F201" s="218"/>
      <c r="G201" s="189"/>
      <c r="H201" s="189">
        <f>('2017 Determination - Revenue'!I$132*ROUND('2017 Determination - charges'!N60,2))+('2017 Determination - Revenue'!I$132*'2017 Determination - Revenue'!I$137*ROUND('2017 Determination - charges'!N26,2))</f>
        <v>0</v>
      </c>
      <c r="I201" s="189">
        <f>('2017 Determination - Revenue'!I$132*ROUND(Outputs!L98,2))+('2017 Determination - Revenue'!I$132*'2017 Determination - Revenue'!I$137*ROUND(Outputs!L76,2))</f>
        <v>0</v>
      </c>
      <c r="J201" s="220" t="str">
        <f t="shared" si="84"/>
        <v>N/A</v>
      </c>
      <c r="K201" s="208"/>
      <c r="L201" s="234"/>
      <c r="M201" s="190"/>
      <c r="N201" s="190"/>
      <c r="O201" s="190"/>
      <c r="P201" s="190"/>
      <c r="Q201" s="190"/>
      <c r="R201" s="190"/>
    </row>
    <row r="202" spans="2:19">
      <c r="B202" s="243"/>
      <c r="C202" s="54"/>
      <c r="D202" s="54"/>
      <c r="E202" s="54"/>
      <c r="F202" s="54"/>
      <c r="G202" s="54"/>
      <c r="H202" s="54"/>
      <c r="I202" s="54"/>
      <c r="J202" s="167"/>
      <c r="K202" s="54"/>
      <c r="L202" s="235"/>
      <c r="M202" s="190"/>
      <c r="N202" s="190"/>
      <c r="O202" s="190"/>
      <c r="P202" s="190"/>
      <c r="Q202" s="190"/>
      <c r="R202" s="190"/>
    </row>
    <row r="203" spans="2:19">
      <c r="B203" s="193"/>
      <c r="C203" s="193"/>
      <c r="D203" s="193"/>
      <c r="E203" s="193"/>
      <c r="F203" s="193"/>
      <c r="G203" s="193"/>
      <c r="H203" s="193"/>
      <c r="I203" s="193"/>
      <c r="J203" s="227"/>
      <c r="K203" s="193"/>
      <c r="L203" s="193"/>
      <c r="M203" s="193"/>
      <c r="N203" s="193"/>
      <c r="O203" s="193"/>
      <c r="P203" s="193"/>
      <c r="Q203" s="193"/>
      <c r="R203" s="193"/>
    </row>
    <row r="204" spans="2:19">
      <c r="B204" s="193"/>
      <c r="C204" s="193"/>
      <c r="D204" s="193"/>
      <c r="E204" s="193"/>
      <c r="F204" s="193"/>
      <c r="G204" s="193"/>
      <c r="H204" s="193"/>
      <c r="I204" s="193"/>
      <c r="J204" s="193"/>
      <c r="K204" s="193"/>
      <c r="L204" s="193"/>
      <c r="M204" s="193"/>
      <c r="N204" s="193"/>
      <c r="O204" s="193"/>
      <c r="P204" s="193"/>
      <c r="Q204" s="193"/>
      <c r="R204" s="193"/>
    </row>
    <row r="205" spans="2:19">
      <c r="B205" s="244" t="s">
        <v>133</v>
      </c>
      <c r="C205" s="193"/>
      <c r="D205" s="193"/>
      <c r="E205" s="193"/>
      <c r="F205" s="193"/>
      <c r="G205" s="193"/>
      <c r="H205" s="193"/>
      <c r="I205" s="193"/>
      <c r="J205" s="193"/>
      <c r="K205" s="193"/>
      <c r="L205" s="193"/>
      <c r="M205" s="193"/>
      <c r="N205" s="193"/>
      <c r="O205" s="193"/>
      <c r="P205" s="193"/>
      <c r="Q205" s="193"/>
      <c r="R205" s="193"/>
    </row>
    <row r="206" spans="2:19">
      <c r="B206" s="237" t="str">
        <f>'2017 Determination - Revenue'!B$16</f>
        <v>Financial year</v>
      </c>
      <c r="C206" s="238" t="str">
        <f>'2017 Determination - Revenue'!C$28</f>
        <v>Units</v>
      </c>
      <c r="D206" s="238"/>
      <c r="E206" s="238"/>
      <c r="F206" s="210"/>
      <c r="G206" s="210"/>
      <c r="H206" s="298" t="str">
        <f>$H$167</f>
        <v>2020-21</v>
      </c>
      <c r="I206" s="298" t="str">
        <f t="shared" ref="I206" si="85">$H$167</f>
        <v>2020-21</v>
      </c>
      <c r="J206" s="252" t="s">
        <v>232</v>
      </c>
      <c r="K206" s="193"/>
      <c r="L206" s="236"/>
      <c r="M206" s="190"/>
      <c r="N206" s="190"/>
      <c r="O206" s="190"/>
      <c r="P206" s="190"/>
      <c r="Q206" s="190"/>
      <c r="R206" s="190"/>
    </row>
    <row r="207" spans="2:19" s="106" customFormat="1" ht="27" customHeight="1">
      <c r="B207" s="209"/>
      <c r="C207" s="190"/>
      <c r="D207" s="190"/>
      <c r="E207" s="190"/>
      <c r="F207" s="213"/>
      <c r="G207" s="213"/>
      <c r="H207" s="213" t="str">
        <f>H$168</f>
        <v>As per 2017 Price Review</v>
      </c>
      <c r="I207" s="213" t="str">
        <f>I$168</f>
        <v>Re-calculated using updated demand</v>
      </c>
      <c r="J207" s="213" t="s">
        <v>227</v>
      </c>
      <c r="K207" s="213"/>
      <c r="L207" s="234"/>
      <c r="M207" s="190"/>
      <c r="N207" s="190"/>
      <c r="O207" s="190"/>
      <c r="P207" s="190"/>
      <c r="Q207" s="190"/>
      <c r="R207" s="190"/>
      <c r="S207" s="193"/>
    </row>
    <row r="208" spans="2:19" ht="12">
      <c r="B208" s="254"/>
      <c r="C208" s="190"/>
      <c r="D208" s="190"/>
      <c r="E208" s="190"/>
      <c r="F208" s="214"/>
      <c r="G208" s="214"/>
      <c r="H208" s="214" t="str">
        <f>'2017 Determination - charges'!$N$15</f>
        <v>$2020-21</v>
      </c>
      <c r="I208" s="214" t="str">
        <f>'2017 Determination - charges'!$N$15</f>
        <v>$2020-21</v>
      </c>
      <c r="J208" s="128" t="str">
        <f>$M$25</f>
        <v>%</v>
      </c>
      <c r="K208" s="255"/>
      <c r="L208" s="234"/>
      <c r="M208" s="190"/>
      <c r="N208" s="190"/>
      <c r="O208" s="190"/>
      <c r="P208" s="190"/>
      <c r="Q208" s="190"/>
      <c r="R208" s="190"/>
    </row>
    <row r="209" spans="2:18">
      <c r="B209" s="239" t="str">
        <f>'2017 Determination - Revenue'!B$130</f>
        <v>Small consumption customers</v>
      </c>
      <c r="C209" s="193" t="str">
        <f>"Entitlement = "&amp;'2017 Determination - Revenue'!G$140&amp;" kL pa, Usage = "&amp;'2017 Determination - Revenue'!G$145*'2017 Determination - Revenue'!G$140&amp;" kL pa"</f>
        <v>Entitlement = 100 kL pa, Usage = 60 kL pa</v>
      </c>
      <c r="D209" s="190"/>
      <c r="E209" s="190"/>
      <c r="F209" s="190"/>
      <c r="G209" s="190"/>
      <c r="H209" s="190"/>
      <c r="I209" s="190"/>
      <c r="J209" s="211"/>
      <c r="K209" s="190"/>
      <c r="L209" s="234"/>
      <c r="M209" s="190"/>
      <c r="N209" s="190"/>
      <c r="O209" s="190"/>
      <c r="P209" s="190"/>
      <c r="Q209" s="190"/>
      <c r="R209" s="190"/>
    </row>
    <row r="210" spans="2:18" ht="12" customHeight="1">
      <c r="B210" s="209" t="str">
        <f>'2017 Determination - Revenue'!B$33</f>
        <v>Border</v>
      </c>
      <c r="C210" s="190" t="str">
        <f t="shared" ref="C210:C218" si="86">C$171</f>
        <v>$</v>
      </c>
      <c r="D210" s="190"/>
      <c r="E210" s="190"/>
      <c r="F210" s="218"/>
      <c r="G210" s="189"/>
      <c r="H210" s="189">
        <f>('2017 Determination - Revenue'!I$140*ROUND('2017 Determination - charges'!N35,2))+('2017 Determination - Revenue'!I$140*'2017 Determination - Revenue'!I$145*ROUND('2017 Determination - charges'!N18,2))</f>
        <v>564</v>
      </c>
      <c r="I210" s="189">
        <f>('2017 Determination - Revenue'!I$140*ROUND(Outputs!L79,2))+('2017 Determination - Revenue'!I$140*'2017 Determination - Revenue'!I$145*ROUND(Outputs!L68,2))</f>
        <v>564.6</v>
      </c>
      <c r="J210" s="220">
        <f t="shared" ref="J210:J218" si="87">IFERROR(I210/H210-1,"N/A")</f>
        <v>1.0638297872340718E-3</v>
      </c>
      <c r="K210" s="208"/>
      <c r="L210" s="234"/>
      <c r="M210" s="190"/>
      <c r="N210" s="190"/>
      <c r="O210" s="190"/>
      <c r="P210" s="190"/>
      <c r="Q210" s="190"/>
      <c r="R210" s="190"/>
    </row>
    <row r="211" spans="2:18">
      <c r="B211" s="209" t="str">
        <f>'2017 Determination - Revenue'!B$34</f>
        <v>Gwydir</v>
      </c>
      <c r="C211" s="190" t="str">
        <f t="shared" si="86"/>
        <v>$</v>
      </c>
      <c r="D211" s="190"/>
      <c r="E211" s="190"/>
      <c r="F211" s="218"/>
      <c r="G211" s="189"/>
      <c r="H211" s="189">
        <f>('2017 Determination - Revenue'!I$140*ROUND('2017 Determination - charges'!N36,2))+('2017 Determination - Revenue'!I$140*'2017 Determination - Revenue'!I$145*ROUND('2017 Determination - charges'!N19,2))</f>
        <v>1140.1999999999998</v>
      </c>
      <c r="I211" s="189">
        <f>('2017 Determination - Revenue'!I$140*ROUND(Outputs!L80,2))+('2017 Determination - Revenue'!I$140*'2017 Determination - Revenue'!I$145*ROUND(Outputs!L69,2))</f>
        <v>1195.4000000000001</v>
      </c>
      <c r="J211" s="220">
        <f t="shared" si="87"/>
        <v>4.8412559200140537E-2</v>
      </c>
      <c r="K211" s="208"/>
      <c r="L211" s="234"/>
      <c r="M211" s="190"/>
      <c r="N211" s="190"/>
      <c r="O211" s="190"/>
      <c r="P211" s="190"/>
      <c r="Q211" s="190"/>
      <c r="R211" s="190"/>
    </row>
    <row r="212" spans="2:18">
      <c r="B212" s="209" t="str">
        <f>'2017 Determination - Revenue'!B$35</f>
        <v>Namoi</v>
      </c>
      <c r="C212" s="190" t="str">
        <f t="shared" si="86"/>
        <v>$</v>
      </c>
      <c r="D212" s="190"/>
      <c r="E212" s="190"/>
      <c r="F212" s="218"/>
      <c r="G212" s="189"/>
      <c r="H212" s="189">
        <f>('2017 Determination - Revenue'!I$140*ROUND('2017 Determination - charges'!N37,2))+('2017 Determination - Revenue'!I$140*'2017 Determination - Revenue'!I$145*ROUND('2017 Determination - charges'!N20,2))</f>
        <v>2147</v>
      </c>
      <c r="I212" s="189">
        <f>('2017 Determination - Revenue'!I$140*ROUND(Outputs!L81,2))+('2017 Determination - Revenue'!I$140*'2017 Determination - Revenue'!I$145*ROUND(Outputs!L70,2))</f>
        <v>2254.4</v>
      </c>
      <c r="J212" s="220">
        <f t="shared" si="87"/>
        <v>5.0023288309268832E-2</v>
      </c>
      <c r="K212" s="208"/>
      <c r="L212" s="234"/>
      <c r="M212" s="190"/>
      <c r="N212" s="190"/>
      <c r="O212" s="190"/>
      <c r="P212" s="190"/>
      <c r="Q212" s="190"/>
      <c r="R212" s="190"/>
    </row>
    <row r="213" spans="2:18">
      <c r="B213" s="209" t="str">
        <f>'2017 Determination - Revenue'!B$36</f>
        <v>Peel</v>
      </c>
      <c r="C213" s="190" t="str">
        <f t="shared" si="86"/>
        <v>$</v>
      </c>
      <c r="D213" s="190"/>
      <c r="E213" s="190"/>
      <c r="F213" s="218"/>
      <c r="G213" s="189"/>
      <c r="H213" s="189">
        <f>('2017 Determination - Revenue'!I$140*ROUND('2017 Determination - charges'!N38,2))+('2017 Determination - Revenue'!I$140*'2017 Determination - Revenue'!I$145*ROUND('2017 Determination - charges'!N21,2))</f>
        <v>1617.6000000000001</v>
      </c>
      <c r="I213" s="189">
        <f>('2017 Determination - Revenue'!I$140*ROUND(Outputs!L82,2))+('2017 Determination - Revenue'!I$140*'2017 Determination - Revenue'!I$145*ROUND(Outputs!L71,2))</f>
        <v>1501.6</v>
      </c>
      <c r="J213" s="220">
        <f t="shared" si="87"/>
        <v>-7.1711177052423469E-2</v>
      </c>
      <c r="K213" s="208"/>
      <c r="L213" s="234"/>
      <c r="M213" s="190"/>
      <c r="N213" s="190"/>
      <c r="O213" s="190"/>
      <c r="P213" s="190"/>
      <c r="Q213" s="190"/>
      <c r="R213" s="190"/>
    </row>
    <row r="214" spans="2:18">
      <c r="B214" s="209" t="str">
        <f>'2017 Determination - Revenue'!B$37</f>
        <v>Lachlan</v>
      </c>
      <c r="C214" s="190" t="str">
        <f t="shared" si="86"/>
        <v>$</v>
      </c>
      <c r="D214" s="190"/>
      <c r="E214" s="190"/>
      <c r="F214" s="218"/>
      <c r="G214" s="189"/>
      <c r="H214" s="189">
        <f>('2017 Determination - Revenue'!I$140*ROUND('2017 Determination - charges'!N39,2))+('2017 Determination - Revenue'!I$140*'2017 Determination - Revenue'!I$145*ROUND('2017 Determination - charges'!N22,2))</f>
        <v>1523.3999999999999</v>
      </c>
      <c r="I214" s="189">
        <f>('2017 Determination - Revenue'!I$140*ROUND(Outputs!L83,2))+('2017 Determination - Revenue'!I$140*'2017 Determination - Revenue'!I$145*ROUND(Outputs!L72,2))</f>
        <v>1599.2</v>
      </c>
      <c r="J214" s="220">
        <f t="shared" si="87"/>
        <v>4.9757122226598449E-2</v>
      </c>
      <c r="K214" s="208"/>
      <c r="L214" s="234"/>
      <c r="M214" s="190"/>
      <c r="N214" s="190"/>
      <c r="O214" s="190"/>
      <c r="P214" s="190"/>
      <c r="Q214" s="190"/>
      <c r="R214" s="190"/>
    </row>
    <row r="215" spans="2:18">
      <c r="B215" s="209" t="str">
        <f>'2017 Determination - Revenue'!B$38</f>
        <v>Macquarie</v>
      </c>
      <c r="C215" s="190" t="str">
        <f t="shared" si="86"/>
        <v>$</v>
      </c>
      <c r="D215" s="190"/>
      <c r="E215" s="190"/>
      <c r="F215" s="218"/>
      <c r="G215" s="189"/>
      <c r="H215" s="189">
        <f>('2017 Determination - Revenue'!I$140*ROUND('2017 Determination - charges'!N40,2))+('2017 Determination - Revenue'!I$140*'2017 Determination - Revenue'!I$145*ROUND('2017 Determination - charges'!N23,2))</f>
        <v>1196.8</v>
      </c>
      <c r="I215" s="189">
        <f>('2017 Determination - Revenue'!I$140*ROUND(Outputs!L84,2))+('2017 Determination - Revenue'!I$140*'2017 Determination - Revenue'!I$145*ROUND(Outputs!L73,2))</f>
        <v>1225.8</v>
      </c>
      <c r="J215" s="220">
        <f t="shared" si="87"/>
        <v>2.4231283422459837E-2</v>
      </c>
      <c r="K215" s="208"/>
      <c r="L215" s="234"/>
      <c r="M215" s="190"/>
      <c r="N215" s="190"/>
      <c r="O215" s="190"/>
      <c r="P215" s="190"/>
      <c r="Q215" s="190"/>
      <c r="R215" s="190"/>
    </row>
    <row r="216" spans="2:18">
      <c r="B216" s="209" t="str">
        <f>'2017 Determination - Revenue'!B$39</f>
        <v>Murray</v>
      </c>
      <c r="C216" s="190" t="str">
        <f t="shared" si="86"/>
        <v>$</v>
      </c>
      <c r="D216" s="190"/>
      <c r="E216" s="190"/>
      <c r="F216" s="218"/>
      <c r="G216" s="189"/>
      <c r="H216" s="189">
        <f>('2017 Determination - Revenue'!I$140*ROUND('2017 Determination - charges'!N41,2))+('2017 Determination - Revenue'!I$140*'2017 Determination - Revenue'!I$145*ROUND('2017 Determination - charges'!N24,2))</f>
        <v>204.60000000000002</v>
      </c>
      <c r="I216" s="189">
        <f>('2017 Determination - Revenue'!I$140*ROUND(Outputs!L85,2))+('2017 Determination - Revenue'!I$140*'2017 Determination - Revenue'!I$145*ROUND(Outputs!L74,2))</f>
        <v>215</v>
      </c>
      <c r="J216" s="220">
        <f t="shared" si="87"/>
        <v>5.0830889540566915E-2</v>
      </c>
      <c r="K216" s="208"/>
      <c r="L216" s="234"/>
      <c r="M216" s="190"/>
      <c r="N216" s="190"/>
      <c r="O216" s="190"/>
      <c r="P216" s="190"/>
      <c r="Q216" s="190"/>
      <c r="R216" s="190"/>
    </row>
    <row r="217" spans="2:18">
      <c r="B217" s="209" t="str">
        <f>'2017 Determination - Revenue'!B$40</f>
        <v>Murrumbidgee</v>
      </c>
      <c r="C217" s="190" t="str">
        <f t="shared" si="86"/>
        <v>$</v>
      </c>
      <c r="D217" s="190"/>
      <c r="E217" s="190"/>
      <c r="F217" s="218"/>
      <c r="G217" s="189"/>
      <c r="H217" s="189">
        <f>('2017 Determination - Revenue'!I$140*ROUND('2017 Determination - charges'!N42,2))+('2017 Determination - Revenue'!I$140*'2017 Determination - Revenue'!I$145*ROUND('2017 Determination - charges'!N25,2))</f>
        <v>332.6</v>
      </c>
      <c r="I217" s="189">
        <f>('2017 Determination - Revenue'!I$140*ROUND(Outputs!L86,2))+('2017 Determination - Revenue'!I$140*'2017 Determination - Revenue'!I$145*ROUND(Outputs!L75,2))</f>
        <v>348.79999999999995</v>
      </c>
      <c r="J217" s="220">
        <f t="shared" si="87"/>
        <v>4.8707155742633512E-2</v>
      </c>
      <c r="K217" s="208"/>
      <c r="L217" s="234"/>
      <c r="M217" s="190"/>
      <c r="N217" s="190"/>
      <c r="O217" s="190"/>
      <c r="P217" s="190"/>
      <c r="Q217" s="190"/>
      <c r="R217" s="190"/>
    </row>
    <row r="218" spans="2:18">
      <c r="B218" s="209" t="str">
        <f>'2017 Determination - Revenue'!B$41</f>
        <v>Lowbidgee</v>
      </c>
      <c r="C218" s="190" t="str">
        <f t="shared" si="86"/>
        <v>$</v>
      </c>
      <c r="D218" s="190"/>
      <c r="E218" s="190"/>
      <c r="F218" s="218"/>
      <c r="G218" s="189"/>
      <c r="H218" s="189">
        <f>('2017 Determination - Revenue'!I$140*ROUND('2017 Determination - charges'!N43,2))+('2017 Determination - Revenue'!I$140*'2017 Determination - Revenue'!I$145*ROUND('2017 Determination - charges'!N26,2))</f>
        <v>84</v>
      </c>
      <c r="I218" s="189">
        <f>('2017 Determination - Revenue'!I$140*ROUND(Outputs!L87,2))+('2017 Determination - Revenue'!I$140*'2017 Determination - Revenue'!I$145*ROUND(Outputs!L76,2))</f>
        <v>84</v>
      </c>
      <c r="J218" s="220">
        <f t="shared" si="87"/>
        <v>0</v>
      </c>
      <c r="K218" s="208"/>
      <c r="L218" s="234"/>
      <c r="M218" s="190"/>
      <c r="N218" s="190"/>
      <c r="O218" s="190"/>
      <c r="P218" s="190"/>
      <c r="Q218" s="190"/>
      <c r="R218" s="190"/>
    </row>
    <row r="219" spans="2:18">
      <c r="B219" s="209"/>
      <c r="C219" s="190"/>
      <c r="D219" s="190"/>
      <c r="E219" s="190"/>
      <c r="F219" s="190"/>
      <c r="G219" s="190"/>
      <c r="H219" s="190"/>
      <c r="I219" s="190"/>
      <c r="J219" s="220"/>
      <c r="K219" s="208"/>
      <c r="L219" s="234"/>
      <c r="M219" s="190"/>
      <c r="N219" s="190"/>
      <c r="O219" s="190"/>
      <c r="P219" s="190"/>
      <c r="Q219" s="190"/>
      <c r="R219" s="190"/>
    </row>
    <row r="220" spans="2:18">
      <c r="B220" s="239" t="str">
        <f>'2017 Determination - Revenue'!B$131</f>
        <v>Medium consumption customers</v>
      </c>
      <c r="C220" s="193" t="str">
        <f>"Entitlement = "&amp;'2017 Determination - Revenue'!G$141&amp;" kL pa, Usage = "&amp;'2017 Determination - Revenue'!G$146*'2017 Determination - Revenue'!G$141&amp;" kL pa"</f>
        <v>Entitlement = 500 kL pa, Usage = 300 kL pa</v>
      </c>
      <c r="D220" s="190"/>
      <c r="E220" s="190"/>
      <c r="F220" s="190"/>
      <c r="G220" s="190"/>
      <c r="H220" s="190"/>
      <c r="I220" s="190"/>
      <c r="J220" s="220"/>
      <c r="K220" s="208"/>
      <c r="L220" s="234"/>
      <c r="M220" s="190"/>
      <c r="N220" s="190"/>
      <c r="O220" s="190"/>
      <c r="P220" s="190"/>
      <c r="Q220" s="190"/>
      <c r="R220" s="190"/>
    </row>
    <row r="221" spans="2:18">
      <c r="B221" s="209" t="str">
        <f>'2017 Determination - Revenue'!B$33</f>
        <v>Border</v>
      </c>
      <c r="C221" s="190" t="str">
        <f t="shared" ref="C221:C229" si="88">C$171</f>
        <v>$</v>
      </c>
      <c r="D221" s="190"/>
      <c r="E221" s="190"/>
      <c r="F221" s="218"/>
      <c r="G221" s="189"/>
      <c r="H221" s="189">
        <f>('2017 Determination - Revenue'!I$141*ROUND('2017 Determination - charges'!N35,2))+('2017 Determination - Revenue'!I$141*'2017 Determination - Revenue'!I$146*ROUND('2017 Determination - charges'!N18,2))</f>
        <v>2820</v>
      </c>
      <c r="I221" s="190">
        <f>('2017 Determination - Revenue'!I$141*ROUND(Outputs!L79,2))+('2017 Determination - Revenue'!I$141*'2017 Determination - Revenue'!I$146*ROUND(Outputs!L68,2))</f>
        <v>2823</v>
      </c>
      <c r="J221" s="220">
        <f t="shared" ref="J221:J229" si="89">IFERROR(I221/H221-1,"N/A")</f>
        <v>1.0638297872340718E-3</v>
      </c>
      <c r="K221" s="208"/>
      <c r="L221" s="234"/>
      <c r="M221" s="190"/>
      <c r="N221" s="190"/>
      <c r="O221" s="190"/>
      <c r="P221" s="190"/>
      <c r="Q221" s="190"/>
      <c r="R221" s="190"/>
    </row>
    <row r="222" spans="2:18">
      <c r="B222" s="209" t="str">
        <f>'2017 Determination - Revenue'!B$34</f>
        <v>Gwydir</v>
      </c>
      <c r="C222" s="190" t="str">
        <f t="shared" si="88"/>
        <v>$</v>
      </c>
      <c r="D222" s="190"/>
      <c r="E222" s="190"/>
      <c r="F222" s="218"/>
      <c r="G222" s="189"/>
      <c r="H222" s="189">
        <f>('2017 Determination - Revenue'!I$141*ROUND('2017 Determination - charges'!N36,2))+('2017 Determination - Revenue'!I$141*'2017 Determination - Revenue'!I$146*ROUND('2017 Determination - charges'!N19,2))</f>
        <v>5701</v>
      </c>
      <c r="I222" s="190">
        <f>('2017 Determination - Revenue'!I$141*ROUND(Outputs!L80,2))+('2017 Determination - Revenue'!I$141*'2017 Determination - Revenue'!I$146*ROUND(Outputs!L69,2))</f>
        <v>5977</v>
      </c>
      <c r="J222" s="220">
        <f t="shared" si="89"/>
        <v>4.8412559200140315E-2</v>
      </c>
      <c r="K222" s="208"/>
      <c r="L222" s="234"/>
      <c r="M222" s="190"/>
      <c r="N222" s="190"/>
      <c r="O222" s="190"/>
      <c r="P222" s="190"/>
      <c r="Q222" s="190"/>
      <c r="R222" s="190"/>
    </row>
    <row r="223" spans="2:18">
      <c r="B223" s="209" t="str">
        <f>'2017 Determination - Revenue'!B$35</f>
        <v>Namoi</v>
      </c>
      <c r="C223" s="190" t="str">
        <f t="shared" si="88"/>
        <v>$</v>
      </c>
      <c r="D223" s="190"/>
      <c r="E223" s="190"/>
      <c r="F223" s="218"/>
      <c r="G223" s="189"/>
      <c r="H223" s="189">
        <f>('2017 Determination - Revenue'!I$141*ROUND('2017 Determination - charges'!N37,2))+('2017 Determination - Revenue'!I$141*'2017 Determination - Revenue'!I$146*ROUND('2017 Determination - charges'!N20,2))</f>
        <v>10735</v>
      </c>
      <c r="I223" s="190">
        <f>('2017 Determination - Revenue'!I$141*ROUND(Outputs!L81,2))+('2017 Determination - Revenue'!I$141*'2017 Determination - Revenue'!I$146*ROUND(Outputs!L70,2))</f>
        <v>11272</v>
      </c>
      <c r="J223" s="220">
        <f t="shared" si="89"/>
        <v>5.0023288309268832E-2</v>
      </c>
      <c r="K223" s="208"/>
      <c r="L223" s="234"/>
      <c r="M223" s="190"/>
      <c r="N223" s="190"/>
      <c r="O223" s="190"/>
      <c r="P223" s="190"/>
      <c r="Q223" s="190"/>
      <c r="R223" s="190"/>
    </row>
    <row r="224" spans="2:18">
      <c r="B224" s="209" t="str">
        <f>'2017 Determination - Revenue'!B$36</f>
        <v>Peel</v>
      </c>
      <c r="C224" s="190" t="str">
        <f t="shared" si="88"/>
        <v>$</v>
      </c>
      <c r="D224" s="190"/>
      <c r="E224" s="190"/>
      <c r="F224" s="218"/>
      <c r="G224" s="189"/>
      <c r="H224" s="189">
        <f>('2017 Determination - Revenue'!I$141*ROUND('2017 Determination - charges'!N38,2))+('2017 Determination - Revenue'!I$141*'2017 Determination - Revenue'!I$146*ROUND('2017 Determination - charges'!N21,2))</f>
        <v>8088.0000000000009</v>
      </c>
      <c r="I224" s="190">
        <f>('2017 Determination - Revenue'!I$141*ROUND(Outputs!L82,2))+('2017 Determination - Revenue'!I$141*'2017 Determination - Revenue'!I$146*ROUND(Outputs!L71,2))</f>
        <v>7508</v>
      </c>
      <c r="J224" s="220">
        <f t="shared" si="89"/>
        <v>-7.1711177052423469E-2</v>
      </c>
      <c r="K224" s="208"/>
      <c r="L224" s="234"/>
      <c r="M224" s="190"/>
      <c r="N224" s="190"/>
      <c r="O224" s="190"/>
      <c r="P224" s="190"/>
      <c r="Q224" s="190"/>
      <c r="R224" s="190"/>
    </row>
    <row r="225" spans="2:18">
      <c r="B225" s="209" t="str">
        <f>'2017 Determination - Revenue'!B$37</f>
        <v>Lachlan</v>
      </c>
      <c r="C225" s="190" t="str">
        <f t="shared" si="88"/>
        <v>$</v>
      </c>
      <c r="D225" s="190"/>
      <c r="E225" s="190"/>
      <c r="F225" s="218"/>
      <c r="G225" s="189"/>
      <c r="H225" s="189">
        <f>('2017 Determination - Revenue'!I$141*ROUND('2017 Determination - charges'!N39,2))+('2017 Determination - Revenue'!I$141*'2017 Determination - Revenue'!I$146*ROUND('2017 Determination - charges'!N22,2))</f>
        <v>7616.9999999999991</v>
      </c>
      <c r="I225" s="190">
        <f>('2017 Determination - Revenue'!I$141*ROUND(Outputs!L83,2))+('2017 Determination - Revenue'!I$141*'2017 Determination - Revenue'!I$146*ROUND(Outputs!L72,2))</f>
        <v>7996</v>
      </c>
      <c r="J225" s="220">
        <f t="shared" si="89"/>
        <v>4.9757122226598449E-2</v>
      </c>
      <c r="K225" s="208"/>
      <c r="L225" s="234"/>
      <c r="M225" s="190"/>
      <c r="N225" s="190"/>
      <c r="O225" s="190"/>
      <c r="P225" s="190"/>
      <c r="Q225" s="190"/>
      <c r="R225" s="190"/>
    </row>
    <row r="226" spans="2:18">
      <c r="B226" s="209" t="str">
        <f>'2017 Determination - Revenue'!B$38</f>
        <v>Macquarie</v>
      </c>
      <c r="C226" s="190" t="str">
        <f t="shared" si="88"/>
        <v>$</v>
      </c>
      <c r="D226" s="190"/>
      <c r="E226" s="190"/>
      <c r="F226" s="218"/>
      <c r="G226" s="189"/>
      <c r="H226" s="189">
        <f>('2017 Determination - Revenue'!I$141*ROUND('2017 Determination - charges'!N40,2))+('2017 Determination - Revenue'!I$141*'2017 Determination - Revenue'!I$146*ROUND('2017 Determination - charges'!N23,2))</f>
        <v>5984</v>
      </c>
      <c r="I226" s="190">
        <f>('2017 Determination - Revenue'!I$141*ROUND(Outputs!L84,2))+('2017 Determination - Revenue'!I$141*'2017 Determination - Revenue'!I$146*ROUND(Outputs!L73,2))</f>
        <v>6129</v>
      </c>
      <c r="J226" s="220">
        <f t="shared" si="89"/>
        <v>2.4231283422459837E-2</v>
      </c>
      <c r="K226" s="208"/>
      <c r="L226" s="234"/>
      <c r="M226" s="190"/>
      <c r="N226" s="190"/>
      <c r="O226" s="190"/>
      <c r="P226" s="190"/>
      <c r="Q226" s="190"/>
      <c r="R226" s="190"/>
    </row>
    <row r="227" spans="2:18">
      <c r="B227" s="209" t="str">
        <f>'2017 Determination - Revenue'!B$39</f>
        <v>Murray</v>
      </c>
      <c r="C227" s="190" t="str">
        <f t="shared" si="88"/>
        <v>$</v>
      </c>
      <c r="D227" s="190"/>
      <c r="E227" s="190"/>
      <c r="F227" s="218"/>
      <c r="G227" s="189"/>
      <c r="H227" s="189">
        <f>('2017 Determination - Revenue'!I$141*ROUND('2017 Determination - charges'!N41,2))+('2017 Determination - Revenue'!I$141*'2017 Determination - Revenue'!I$146*ROUND('2017 Determination - charges'!N24,2))</f>
        <v>1023</v>
      </c>
      <c r="I227" s="190">
        <f>('2017 Determination - Revenue'!I$141*ROUND(Outputs!L85,2))+('2017 Determination - Revenue'!I$141*'2017 Determination - Revenue'!I$146*ROUND(Outputs!L74,2))</f>
        <v>1075</v>
      </c>
      <c r="J227" s="220">
        <f t="shared" si="89"/>
        <v>5.0830889540566915E-2</v>
      </c>
      <c r="K227" s="208"/>
      <c r="L227" s="234"/>
      <c r="M227" s="190"/>
      <c r="N227" s="190"/>
      <c r="O227" s="190"/>
      <c r="P227" s="190"/>
      <c r="Q227" s="190"/>
      <c r="R227" s="190"/>
    </row>
    <row r="228" spans="2:18">
      <c r="B228" s="209" t="str">
        <f>'2017 Determination - Revenue'!B$40</f>
        <v>Murrumbidgee</v>
      </c>
      <c r="C228" s="190" t="str">
        <f t="shared" si="88"/>
        <v>$</v>
      </c>
      <c r="D228" s="190"/>
      <c r="E228" s="190"/>
      <c r="F228" s="218"/>
      <c r="G228" s="189"/>
      <c r="H228" s="189">
        <f>('2017 Determination - Revenue'!I$141*ROUND('2017 Determination - charges'!N42,2))+('2017 Determination - Revenue'!I$141*'2017 Determination - Revenue'!I$146*ROUND('2017 Determination - charges'!N25,2))</f>
        <v>1663</v>
      </c>
      <c r="I228" s="190">
        <f>('2017 Determination - Revenue'!I$141*ROUND(Outputs!L86,2))+('2017 Determination - Revenue'!I$141*'2017 Determination - Revenue'!I$146*ROUND(Outputs!L75,2))</f>
        <v>1744</v>
      </c>
      <c r="J228" s="220">
        <f t="shared" si="89"/>
        <v>4.8707155742633734E-2</v>
      </c>
      <c r="K228" s="208"/>
      <c r="L228" s="234"/>
      <c r="M228" s="190"/>
      <c r="N228" s="190"/>
      <c r="O228" s="190"/>
      <c r="P228" s="190"/>
      <c r="Q228" s="190"/>
      <c r="R228" s="190"/>
    </row>
    <row r="229" spans="2:18">
      <c r="B229" s="209" t="str">
        <f>'2017 Determination - Revenue'!B$41</f>
        <v>Lowbidgee</v>
      </c>
      <c r="C229" s="190" t="str">
        <f t="shared" si="88"/>
        <v>$</v>
      </c>
      <c r="D229" s="190"/>
      <c r="E229" s="190"/>
      <c r="F229" s="218"/>
      <c r="G229" s="189"/>
      <c r="H229" s="189">
        <f>('2017 Determination - Revenue'!I$141*ROUND('2017 Determination - charges'!N43,2))+('2017 Determination - Revenue'!I$141*'2017 Determination - Revenue'!I$146*ROUND('2017 Determination - charges'!N26,2))</f>
        <v>420</v>
      </c>
      <c r="I229" s="190">
        <f>('2017 Determination - Revenue'!I$141*ROUND(Outputs!L87,2))+('2017 Determination - Revenue'!I$141*'2017 Determination - Revenue'!I$146*ROUND(Outputs!L76,2))</f>
        <v>420</v>
      </c>
      <c r="J229" s="220">
        <f t="shared" si="89"/>
        <v>0</v>
      </c>
      <c r="K229" s="208"/>
      <c r="L229" s="234"/>
      <c r="M229" s="190"/>
      <c r="N229" s="190"/>
      <c r="O229" s="190"/>
      <c r="P229" s="190"/>
      <c r="Q229" s="190"/>
      <c r="R229" s="190"/>
    </row>
    <row r="230" spans="2:18">
      <c r="B230" s="209"/>
      <c r="C230" s="190"/>
      <c r="D230" s="190"/>
      <c r="E230" s="190"/>
      <c r="F230" s="188"/>
      <c r="G230" s="188"/>
      <c r="H230" s="189"/>
      <c r="I230" s="190"/>
      <c r="J230" s="220"/>
      <c r="K230" s="208"/>
      <c r="L230" s="234"/>
      <c r="M230" s="190"/>
      <c r="N230" s="190"/>
      <c r="O230" s="190"/>
      <c r="P230" s="190"/>
      <c r="Q230" s="190"/>
      <c r="R230" s="190"/>
    </row>
    <row r="231" spans="2:18">
      <c r="B231" s="239" t="str">
        <f>'2017 Determination - Revenue'!B$132</f>
        <v>Large consumption customers</v>
      </c>
      <c r="C231" s="193" t="str">
        <f>"Entitlement = "&amp;'2017 Determination - Revenue'!G$142&amp;" kL pa, Usage = "&amp;'2017 Determination - Revenue'!G$147*'2017 Determination - Revenue'!G$142&amp;" kL pa"</f>
        <v>Entitlement = 1000 kL pa, Usage = 600 kL pa</v>
      </c>
      <c r="D231" s="190"/>
      <c r="E231" s="190"/>
      <c r="F231" s="188"/>
      <c r="G231" s="188"/>
      <c r="H231" s="188"/>
      <c r="I231" s="190"/>
      <c r="J231" s="220"/>
      <c r="K231" s="208"/>
      <c r="L231" s="234"/>
      <c r="M231" s="190"/>
      <c r="N231" s="190"/>
      <c r="O231" s="190"/>
      <c r="P231" s="190"/>
      <c r="Q231" s="190"/>
      <c r="R231" s="190"/>
    </row>
    <row r="232" spans="2:18">
      <c r="B232" s="209" t="str">
        <f>'2017 Determination - Revenue'!B$33</f>
        <v>Border</v>
      </c>
      <c r="C232" s="190" t="str">
        <f t="shared" ref="C232:C240" si="90">C$171</f>
        <v>$</v>
      </c>
      <c r="D232" s="190"/>
      <c r="E232" s="190"/>
      <c r="F232" s="218"/>
      <c r="G232" s="189"/>
      <c r="H232" s="189">
        <f>('2017 Determination - Revenue'!I$142*ROUND('2017 Determination - charges'!N35,2))+('2017 Determination - Revenue'!I$142*'2017 Determination - Revenue'!I$147*ROUND('2017 Determination - charges'!N18,2))</f>
        <v>5640</v>
      </c>
      <c r="I232" s="190">
        <f>('2017 Determination - Revenue'!I$142*ROUND(Outputs!L79,2))+('2017 Determination - Revenue'!I$142*'2017 Determination - Revenue'!I$147*ROUND(Outputs!L68,2))</f>
        <v>5646</v>
      </c>
      <c r="J232" s="220">
        <f t="shared" ref="J232:J240" si="91">IFERROR(I232/H232-1,"N/A")</f>
        <v>1.0638297872340718E-3</v>
      </c>
      <c r="K232" s="208"/>
      <c r="L232" s="234"/>
      <c r="M232" s="190"/>
      <c r="N232" s="190"/>
      <c r="O232" s="190"/>
      <c r="P232" s="190"/>
      <c r="Q232" s="190"/>
      <c r="R232" s="190"/>
    </row>
    <row r="233" spans="2:18">
      <c r="B233" s="209" t="str">
        <f>'2017 Determination - Revenue'!B$34</f>
        <v>Gwydir</v>
      </c>
      <c r="C233" s="190" t="str">
        <f t="shared" si="90"/>
        <v>$</v>
      </c>
      <c r="D233" s="190"/>
      <c r="E233" s="190"/>
      <c r="F233" s="218"/>
      <c r="G233" s="189"/>
      <c r="H233" s="189">
        <f>('2017 Determination - Revenue'!I$142*ROUND('2017 Determination - charges'!N36,2))+('2017 Determination - Revenue'!I$142*'2017 Determination - Revenue'!I$147*ROUND('2017 Determination - charges'!N19,2))</f>
        <v>11402</v>
      </c>
      <c r="I233" s="190">
        <f>('2017 Determination - Revenue'!I$142*ROUND(Outputs!L80,2))+('2017 Determination - Revenue'!I$142*'2017 Determination - Revenue'!I$147*ROUND(Outputs!L69,2))</f>
        <v>11954</v>
      </c>
      <c r="J233" s="220">
        <f t="shared" si="91"/>
        <v>4.8412559200140315E-2</v>
      </c>
      <c r="K233" s="208"/>
      <c r="L233" s="234"/>
      <c r="M233" s="190"/>
      <c r="N233" s="190"/>
      <c r="O233" s="190"/>
      <c r="P233" s="190"/>
      <c r="Q233" s="190"/>
      <c r="R233" s="190"/>
    </row>
    <row r="234" spans="2:18">
      <c r="B234" s="209" t="str">
        <f>'2017 Determination - Revenue'!B$35</f>
        <v>Namoi</v>
      </c>
      <c r="C234" s="190" t="str">
        <f t="shared" si="90"/>
        <v>$</v>
      </c>
      <c r="D234" s="190"/>
      <c r="E234" s="190"/>
      <c r="F234" s="218"/>
      <c r="G234" s="189"/>
      <c r="H234" s="189">
        <f>('2017 Determination - Revenue'!I$142*ROUND('2017 Determination - charges'!N37,2))+('2017 Determination - Revenue'!I$142*'2017 Determination - Revenue'!I$147*ROUND('2017 Determination - charges'!N20,2))</f>
        <v>21470</v>
      </c>
      <c r="I234" s="190">
        <f>('2017 Determination - Revenue'!I$142*ROUND(Outputs!L81,2))+('2017 Determination - Revenue'!I$142*'2017 Determination - Revenue'!I$147*ROUND(Outputs!L70,2))</f>
        <v>22544</v>
      </c>
      <c r="J234" s="220">
        <f t="shared" si="91"/>
        <v>5.0023288309268832E-2</v>
      </c>
      <c r="K234" s="208"/>
      <c r="L234" s="234"/>
      <c r="M234" s="190"/>
      <c r="N234" s="190"/>
      <c r="O234" s="190"/>
      <c r="P234" s="190"/>
      <c r="Q234" s="190"/>
      <c r="R234" s="190"/>
    </row>
    <row r="235" spans="2:18">
      <c r="B235" s="209" t="str">
        <f>'2017 Determination - Revenue'!B$36</f>
        <v>Peel</v>
      </c>
      <c r="C235" s="190" t="str">
        <f t="shared" si="90"/>
        <v>$</v>
      </c>
      <c r="D235" s="190"/>
      <c r="E235" s="190"/>
      <c r="F235" s="218"/>
      <c r="G235" s="189"/>
      <c r="H235" s="189">
        <f>('2017 Determination - Revenue'!I$142*ROUND('2017 Determination - charges'!N38,2))+('2017 Determination - Revenue'!I$142*'2017 Determination - Revenue'!I$147*ROUND('2017 Determination - charges'!N21,2))</f>
        <v>16176.000000000002</v>
      </c>
      <c r="I235" s="190">
        <f>('2017 Determination - Revenue'!I$142*ROUND(Outputs!L82,2))+('2017 Determination - Revenue'!I$142*'2017 Determination - Revenue'!I$147*ROUND(Outputs!L71,2))</f>
        <v>15016</v>
      </c>
      <c r="J235" s="220">
        <f t="shared" si="91"/>
        <v>-7.1711177052423469E-2</v>
      </c>
      <c r="K235" s="208"/>
      <c r="L235" s="234"/>
      <c r="M235" s="190"/>
      <c r="N235" s="190"/>
      <c r="O235" s="190"/>
      <c r="P235" s="190"/>
      <c r="Q235" s="190"/>
      <c r="R235" s="190"/>
    </row>
    <row r="236" spans="2:18">
      <c r="B236" s="209" t="str">
        <f>'2017 Determination - Revenue'!B$37</f>
        <v>Lachlan</v>
      </c>
      <c r="C236" s="190" t="str">
        <f t="shared" si="90"/>
        <v>$</v>
      </c>
      <c r="D236" s="190"/>
      <c r="E236" s="190"/>
      <c r="F236" s="218"/>
      <c r="G236" s="189"/>
      <c r="H236" s="189">
        <f>('2017 Determination - Revenue'!I$142*ROUND('2017 Determination - charges'!N39,2))+('2017 Determination - Revenue'!I$142*'2017 Determination - Revenue'!I$147*ROUND('2017 Determination - charges'!N22,2))</f>
        <v>15233.999999999998</v>
      </c>
      <c r="I236" s="190">
        <f>('2017 Determination - Revenue'!I$142*ROUND(Outputs!L83,2))+('2017 Determination - Revenue'!I$142*'2017 Determination - Revenue'!I$147*ROUND(Outputs!L72,2))</f>
        <v>15992</v>
      </c>
      <c r="J236" s="220">
        <f t="shared" si="91"/>
        <v>4.9757122226598449E-2</v>
      </c>
      <c r="K236" s="208"/>
      <c r="L236" s="234"/>
      <c r="M236" s="190"/>
      <c r="N236" s="190"/>
      <c r="O236" s="190"/>
      <c r="P236" s="190"/>
      <c r="Q236" s="190"/>
      <c r="R236" s="190"/>
    </row>
    <row r="237" spans="2:18">
      <c r="B237" s="209" t="str">
        <f>'2017 Determination - Revenue'!B$38</f>
        <v>Macquarie</v>
      </c>
      <c r="C237" s="190" t="str">
        <f t="shared" si="90"/>
        <v>$</v>
      </c>
      <c r="D237" s="190"/>
      <c r="E237" s="190"/>
      <c r="F237" s="218"/>
      <c r="G237" s="189"/>
      <c r="H237" s="189">
        <f>('2017 Determination - Revenue'!I$142*ROUND('2017 Determination - charges'!N40,2))+('2017 Determination - Revenue'!I$142*'2017 Determination - Revenue'!I$147*ROUND('2017 Determination - charges'!N23,2))</f>
        <v>11968</v>
      </c>
      <c r="I237" s="190">
        <f>('2017 Determination - Revenue'!I$142*ROUND(Outputs!L84,2))+('2017 Determination - Revenue'!I$142*'2017 Determination - Revenue'!I$147*ROUND(Outputs!L73,2))</f>
        <v>12258</v>
      </c>
      <c r="J237" s="220">
        <f t="shared" si="91"/>
        <v>2.4231283422459837E-2</v>
      </c>
      <c r="K237" s="208"/>
      <c r="L237" s="234"/>
      <c r="M237" s="190"/>
      <c r="N237" s="190"/>
      <c r="O237" s="190"/>
      <c r="P237" s="190"/>
      <c r="Q237" s="190"/>
      <c r="R237" s="190"/>
    </row>
    <row r="238" spans="2:18">
      <c r="B238" s="209" t="str">
        <f>'2017 Determination - Revenue'!B$39</f>
        <v>Murray</v>
      </c>
      <c r="C238" s="190" t="str">
        <f t="shared" si="90"/>
        <v>$</v>
      </c>
      <c r="D238" s="190"/>
      <c r="E238" s="190"/>
      <c r="F238" s="218"/>
      <c r="G238" s="189"/>
      <c r="H238" s="189">
        <f>('2017 Determination - Revenue'!I$142*ROUND('2017 Determination - charges'!N41,2))+('2017 Determination - Revenue'!I$142*'2017 Determination - Revenue'!I$147*ROUND('2017 Determination - charges'!N24,2))</f>
        <v>2046</v>
      </c>
      <c r="I238" s="190">
        <f>('2017 Determination - Revenue'!I$142*ROUND(Outputs!L85,2))+('2017 Determination - Revenue'!I$142*'2017 Determination - Revenue'!I$147*ROUND(Outputs!L74,2))</f>
        <v>2150</v>
      </c>
      <c r="J238" s="220">
        <f t="shared" si="91"/>
        <v>5.0830889540566915E-2</v>
      </c>
      <c r="K238" s="208"/>
      <c r="L238" s="234"/>
      <c r="M238" s="190"/>
      <c r="N238" s="190"/>
      <c r="O238" s="190"/>
      <c r="P238" s="190"/>
      <c r="Q238" s="190"/>
      <c r="R238" s="190"/>
    </row>
    <row r="239" spans="2:18">
      <c r="B239" s="209" t="str">
        <f>'2017 Determination - Revenue'!B$40</f>
        <v>Murrumbidgee</v>
      </c>
      <c r="C239" s="190" t="str">
        <f t="shared" si="90"/>
        <v>$</v>
      </c>
      <c r="D239" s="190"/>
      <c r="E239" s="190"/>
      <c r="F239" s="218"/>
      <c r="G239" s="189"/>
      <c r="H239" s="189">
        <f>('2017 Determination - Revenue'!I$142*ROUND('2017 Determination - charges'!N42,2))+('2017 Determination - Revenue'!I$142*'2017 Determination - Revenue'!I$147*ROUND('2017 Determination - charges'!N25,2))</f>
        <v>3326</v>
      </c>
      <c r="I239" s="190">
        <f>('2017 Determination - Revenue'!I$142*ROUND(Outputs!L86,2))+('2017 Determination - Revenue'!I$142*'2017 Determination - Revenue'!I$147*ROUND(Outputs!L75,2))</f>
        <v>3488</v>
      </c>
      <c r="J239" s="220">
        <f t="shared" si="91"/>
        <v>4.8707155742633734E-2</v>
      </c>
      <c r="K239" s="208"/>
      <c r="L239" s="234"/>
      <c r="M239" s="190"/>
      <c r="N239" s="190"/>
      <c r="O239" s="190"/>
      <c r="P239" s="190"/>
      <c r="Q239" s="190"/>
      <c r="R239" s="190"/>
    </row>
    <row r="240" spans="2:18">
      <c r="B240" s="209" t="str">
        <f>'2017 Determination - Revenue'!B$41</f>
        <v>Lowbidgee</v>
      </c>
      <c r="C240" s="190" t="str">
        <f t="shared" si="90"/>
        <v>$</v>
      </c>
      <c r="D240" s="190"/>
      <c r="E240" s="190"/>
      <c r="F240" s="218"/>
      <c r="G240" s="189"/>
      <c r="H240" s="189">
        <f>('2017 Determination - Revenue'!I$142*ROUND('2017 Determination - charges'!N43,2))+('2017 Determination - Revenue'!I$142*'2017 Determination - Revenue'!I$147*ROUND('2017 Determination - charges'!N26,2))</f>
        <v>840</v>
      </c>
      <c r="I240" s="190">
        <f>('2017 Determination - Revenue'!I$142*ROUND(Outputs!L87,2))+('2017 Determination - Revenue'!I$142*'2017 Determination - Revenue'!I$147*ROUND(Outputs!L76,2))</f>
        <v>840</v>
      </c>
      <c r="J240" s="220">
        <f t="shared" si="91"/>
        <v>0</v>
      </c>
      <c r="K240" s="208"/>
      <c r="L240" s="234"/>
      <c r="M240" s="190"/>
      <c r="N240" s="190"/>
      <c r="O240" s="190"/>
      <c r="P240" s="190"/>
      <c r="Q240" s="190"/>
      <c r="R240" s="190"/>
    </row>
    <row r="241" spans="2:19">
      <c r="B241" s="243"/>
      <c r="C241" s="54"/>
      <c r="D241" s="54"/>
      <c r="E241" s="54"/>
      <c r="F241" s="54"/>
      <c r="G241" s="54"/>
      <c r="H241" s="54"/>
      <c r="I241" s="54"/>
      <c r="J241" s="167"/>
      <c r="K241" s="54"/>
      <c r="L241" s="235"/>
      <c r="M241" s="190"/>
      <c r="N241" s="190"/>
      <c r="O241" s="190"/>
      <c r="P241" s="190"/>
      <c r="Q241" s="190"/>
      <c r="R241" s="190"/>
    </row>
    <row r="242" spans="2:19">
      <c r="B242" s="193"/>
      <c r="C242" s="193"/>
      <c r="D242" s="193"/>
      <c r="E242" s="193"/>
      <c r="F242" s="193"/>
      <c r="G242" s="193"/>
      <c r="H242" s="193"/>
      <c r="I242" s="193"/>
      <c r="J242" s="227"/>
      <c r="K242" s="193"/>
      <c r="L242" s="193"/>
      <c r="M242" s="193"/>
      <c r="N242" s="193"/>
      <c r="O242" s="193"/>
      <c r="P242" s="193"/>
      <c r="Q242" s="193"/>
      <c r="R242" s="193"/>
    </row>
    <row r="243" spans="2:19">
      <c r="B243" s="193"/>
      <c r="C243" s="193"/>
      <c r="D243" s="193"/>
      <c r="E243" s="193"/>
      <c r="F243" s="193"/>
      <c r="G243" s="193"/>
      <c r="H243" s="193"/>
      <c r="I243" s="193"/>
      <c r="J243" s="193"/>
      <c r="K243" s="193"/>
      <c r="L243" s="193"/>
      <c r="M243" s="193"/>
      <c r="N243" s="193"/>
      <c r="O243" s="193"/>
      <c r="P243" s="193"/>
      <c r="Q243" s="193"/>
      <c r="R243" s="193"/>
    </row>
    <row r="244" spans="2:19">
      <c r="B244" s="244" t="s">
        <v>149</v>
      </c>
      <c r="C244" s="193"/>
      <c r="D244" s="193"/>
      <c r="E244" s="193"/>
      <c r="F244" s="193"/>
      <c r="G244" s="193"/>
      <c r="H244" s="193"/>
      <c r="I244" s="193"/>
      <c r="J244" s="193"/>
      <c r="K244" s="193"/>
      <c r="L244" s="193"/>
      <c r="M244" s="193"/>
      <c r="N244" s="193"/>
      <c r="O244" s="193"/>
      <c r="P244" s="193"/>
      <c r="Q244" s="193"/>
      <c r="R244" s="193"/>
    </row>
    <row r="245" spans="2:19">
      <c r="B245" s="237" t="str">
        <f>'2017 Determination - Revenue'!B$16</f>
        <v>Financial year</v>
      </c>
      <c r="C245" s="238" t="str">
        <f>'2017 Determination - Revenue'!C$28</f>
        <v>Units</v>
      </c>
      <c r="D245" s="238"/>
      <c r="E245" s="238"/>
      <c r="F245" s="210"/>
      <c r="G245" s="210"/>
      <c r="H245" s="298" t="str">
        <f t="shared" ref="H245:I245" si="92">$H$167</f>
        <v>2020-21</v>
      </c>
      <c r="I245" s="298" t="str">
        <f t="shared" si="92"/>
        <v>2020-21</v>
      </c>
      <c r="J245" s="252" t="s">
        <v>232</v>
      </c>
      <c r="K245" s="194"/>
      <c r="L245" s="236"/>
      <c r="M245" s="190"/>
      <c r="N245" s="190"/>
      <c r="O245" s="190"/>
      <c r="P245" s="190"/>
      <c r="Q245" s="190"/>
      <c r="R245" s="190"/>
    </row>
    <row r="246" spans="2:19" s="106" customFormat="1" ht="25.75" customHeight="1">
      <c r="B246" s="254"/>
      <c r="C246" s="190"/>
      <c r="D246" s="190"/>
      <c r="E246" s="190"/>
      <c r="F246" s="213"/>
      <c r="G246" s="213"/>
      <c r="H246" s="213" t="str">
        <f>H$168</f>
        <v>As per 2017 Price Review</v>
      </c>
      <c r="I246" s="213" t="str">
        <f>I$168</f>
        <v>Re-calculated using updated demand</v>
      </c>
      <c r="J246" s="213" t="str">
        <f>J$168</f>
        <v xml:space="preserve">Difference </v>
      </c>
      <c r="K246" s="253"/>
      <c r="L246" s="234"/>
      <c r="M246" s="190"/>
      <c r="N246" s="190"/>
      <c r="O246" s="190"/>
      <c r="P246" s="190"/>
      <c r="Q246" s="190"/>
      <c r="R246" s="190"/>
      <c r="S246" s="193"/>
    </row>
    <row r="247" spans="2:19">
      <c r="B247" s="239" t="s">
        <v>78</v>
      </c>
      <c r="C247" s="190"/>
      <c r="D247" s="190"/>
      <c r="E247" s="190"/>
      <c r="F247" s="214"/>
      <c r="G247" s="214"/>
      <c r="H247" s="214" t="str">
        <f>'2017 Determination - charges'!$N$15</f>
        <v>$2020-21</v>
      </c>
      <c r="I247" s="214" t="str">
        <f>'2017 Determination - charges'!$N$15</f>
        <v>$2020-21</v>
      </c>
      <c r="J247" s="128" t="str">
        <f>$M$25</f>
        <v>%</v>
      </c>
      <c r="K247" s="255"/>
      <c r="L247" s="234"/>
      <c r="M247" s="190"/>
      <c r="N247" s="190"/>
      <c r="O247" s="190"/>
      <c r="P247" s="190"/>
      <c r="Q247" s="190"/>
      <c r="R247" s="190"/>
    </row>
    <row r="248" spans="2:19">
      <c r="B248" s="239" t="str">
        <f>'2017 Determination - Revenue'!B$130</f>
        <v>Small consumption customers</v>
      </c>
      <c r="C248" s="193" t="str">
        <f>"Entitlement = "&amp;'2017 Determination - Revenue'!G$130&amp;" kL pa, Usage = "&amp;'2017 Determination - Revenue'!G$135*'2017 Determination - Revenue'!G$130&amp;" kL pa"</f>
        <v>Entitlement = 100 kL pa, Usage = 100 kL pa</v>
      </c>
      <c r="D248" s="190"/>
      <c r="E248" s="190"/>
      <c r="F248" s="190"/>
      <c r="G248" s="190"/>
      <c r="H248" s="190"/>
      <c r="I248" s="190"/>
      <c r="J248" s="211"/>
      <c r="K248" s="190"/>
      <c r="L248" s="234"/>
      <c r="M248" s="190"/>
      <c r="N248" s="190"/>
      <c r="O248" s="190"/>
      <c r="P248" s="190"/>
      <c r="Q248" s="190"/>
      <c r="R248" s="190"/>
    </row>
    <row r="249" spans="2:19" ht="12" customHeight="1">
      <c r="B249" s="209" t="str">
        <f>'2017 Determination - Revenue'!B$33</f>
        <v>Border</v>
      </c>
      <c r="C249" s="190" t="str">
        <f>C$171</f>
        <v>$</v>
      </c>
      <c r="D249" s="190"/>
      <c r="E249" s="190"/>
      <c r="F249" s="218"/>
      <c r="G249" s="189"/>
      <c r="H249" s="189">
        <f>('2017 Determination - Revenue'!I$130*ROUND('2017 Determination - charges'!N79,2))+('2017 Determination - Revenue'!I$130*'2017 Determination - Revenue'!I$135*ROUND('2017 Determination - charges'!N69,2))</f>
        <v>580</v>
      </c>
      <c r="I249" s="189">
        <f>('2017 Determination - Revenue'!I$130*ROUND(Outputs!L130,2))+('2017 Determination - Revenue'!I$130*'2017 Determination - Revenue'!I$135*ROUND(Outputs!L108,2))</f>
        <v>588</v>
      </c>
      <c r="J249" s="220">
        <f t="shared" ref="J249:J251" si="93">IFERROR(I249/H249-1,"N/A")</f>
        <v>1.379310344827589E-2</v>
      </c>
      <c r="K249" s="208"/>
      <c r="L249" s="234"/>
      <c r="M249" s="190"/>
      <c r="N249" s="190"/>
      <c r="O249" s="190"/>
      <c r="P249" s="190"/>
      <c r="Q249" s="300"/>
      <c r="R249" s="190"/>
    </row>
    <row r="250" spans="2:19">
      <c r="B250" s="209" t="str">
        <f>'2017 Determination - Revenue'!B$39</f>
        <v>Murray</v>
      </c>
      <c r="C250" s="190" t="str">
        <f>C$171</f>
        <v>$</v>
      </c>
      <c r="D250" s="190"/>
      <c r="E250" s="190"/>
      <c r="F250" s="218"/>
      <c r="G250" s="189"/>
      <c r="H250" s="189">
        <f>('2017 Determination - Revenue'!I$130*ROUND('2017 Determination - charges'!N80,2))+('2017 Determination - Revenue'!I$130*'2017 Determination - Revenue'!I$135*ROUND('2017 Determination - charges'!N70,2))</f>
        <v>943</v>
      </c>
      <c r="I250" s="189">
        <f>('2017 Determination - Revenue'!I$130*ROUND(Outputs!L136,2))+('2017 Determination - Revenue'!I$130*'2017 Determination - Revenue'!I$135*ROUND(Outputs!L114,2))</f>
        <v>1027</v>
      </c>
      <c r="J250" s="220">
        <f t="shared" si="93"/>
        <v>8.9077412513255627E-2</v>
      </c>
      <c r="K250" s="208"/>
      <c r="L250" s="234"/>
      <c r="M250" s="190"/>
      <c r="N250" s="190"/>
      <c r="O250" s="190"/>
      <c r="P250" s="190"/>
      <c r="Q250" s="300"/>
      <c r="R250" s="190"/>
    </row>
    <row r="251" spans="2:19">
      <c r="B251" s="209" t="str">
        <f>'2017 Determination - Revenue'!B$40</f>
        <v>Murrumbidgee</v>
      </c>
      <c r="C251" s="190" t="str">
        <f>C$171</f>
        <v>$</v>
      </c>
      <c r="D251" s="190"/>
      <c r="E251" s="190"/>
      <c r="F251" s="218"/>
      <c r="G251" s="189"/>
      <c r="H251" s="189">
        <f>('2017 Determination - Revenue'!I$130*ROUND('2017 Determination - charges'!N81,2))+('2017 Determination - Revenue'!I$130*'2017 Determination - Revenue'!I$135*ROUND('2017 Determination - charges'!N71,2))</f>
        <v>206</v>
      </c>
      <c r="I251" s="189">
        <f>('2017 Determination - Revenue'!I$130*ROUND(Outputs!L137,2))+('2017 Determination - Revenue'!I$130*'2017 Determination - Revenue'!I$135*ROUND(Outputs!L115,2))</f>
        <v>220</v>
      </c>
      <c r="J251" s="220">
        <f t="shared" si="93"/>
        <v>6.7961165048543659E-2</v>
      </c>
      <c r="K251" s="208"/>
      <c r="L251" s="234"/>
      <c r="M251" s="190"/>
      <c r="N251" s="190"/>
      <c r="O251" s="190"/>
      <c r="P251" s="190"/>
      <c r="Q251" s="190"/>
      <c r="R251" s="190"/>
    </row>
    <row r="252" spans="2:19">
      <c r="B252" s="209"/>
      <c r="C252" s="190"/>
      <c r="D252" s="190"/>
      <c r="E252" s="190"/>
      <c r="F252" s="189"/>
      <c r="G252" s="189"/>
      <c r="H252" s="189"/>
      <c r="I252" s="188"/>
      <c r="J252" s="220"/>
      <c r="K252" s="208"/>
      <c r="L252" s="234"/>
      <c r="M252" s="190"/>
      <c r="N252" s="190"/>
      <c r="O252" s="190"/>
      <c r="P252" s="190"/>
      <c r="Q252" s="190"/>
      <c r="R252" s="190"/>
    </row>
    <row r="253" spans="2:19">
      <c r="B253" s="239" t="str">
        <f>'2017 Determination - Revenue'!B$131</f>
        <v>Medium consumption customers</v>
      </c>
      <c r="C253" s="193" t="str">
        <f>"Entitlement = "&amp;'2017 Determination - Revenue'!G$131&amp;" kL pa, Usage = "&amp;'2017 Determination - Revenue'!G$136*'2017 Determination - Revenue'!G$131&amp;" kL pa"</f>
        <v>Entitlement = 500 kL pa, Usage = 500 kL pa</v>
      </c>
      <c r="D253" s="190"/>
      <c r="E253" s="190"/>
      <c r="F253" s="190"/>
      <c r="G253" s="190"/>
      <c r="H253" s="190"/>
      <c r="I253" s="190"/>
      <c r="J253" s="220"/>
      <c r="K253" s="208"/>
      <c r="L253" s="234"/>
      <c r="M253" s="190"/>
      <c r="N253" s="190"/>
      <c r="O253" s="190"/>
      <c r="P253" s="190"/>
      <c r="Q253" s="190"/>
      <c r="R253" s="190"/>
    </row>
    <row r="254" spans="2:19">
      <c r="B254" s="209" t="str">
        <f>'2017 Determination - Revenue'!B$33</f>
        <v>Border</v>
      </c>
      <c r="C254" s="190" t="str">
        <f>C$171</f>
        <v>$</v>
      </c>
      <c r="D254" s="190"/>
      <c r="E254" s="190"/>
      <c r="F254" s="218"/>
      <c r="G254" s="189"/>
      <c r="H254" s="189">
        <f>('2017 Determination - Revenue'!I$131*ROUND('2017 Determination - charges'!N79,2))+('2017 Determination - Revenue'!I$131*'2017 Determination - Revenue'!I$136*ROUND('2017 Determination - charges'!N69,2))</f>
        <v>2900</v>
      </c>
      <c r="I254" s="190">
        <f>('2017 Determination - Revenue'!I$131*ROUND(Outputs!L130,2))+('2017 Determination - Revenue'!I$131*'2017 Determination - Revenue'!I$136*ROUND(Outputs!L108,2))</f>
        <v>2940</v>
      </c>
      <c r="J254" s="220">
        <f t="shared" ref="J254:J256" si="94">IFERROR(I254/H254-1,"N/A")</f>
        <v>1.379310344827589E-2</v>
      </c>
      <c r="K254" s="208"/>
      <c r="L254" s="234"/>
      <c r="M254" s="190"/>
      <c r="N254" s="190"/>
      <c r="O254" s="190"/>
      <c r="P254" s="190"/>
      <c r="Q254" s="190"/>
      <c r="R254" s="190"/>
    </row>
    <row r="255" spans="2:19">
      <c r="B255" s="209" t="str">
        <f>'2017 Determination - Revenue'!B$39</f>
        <v>Murray</v>
      </c>
      <c r="C255" s="190" t="str">
        <f>C$171</f>
        <v>$</v>
      </c>
      <c r="D255" s="190"/>
      <c r="E255" s="190"/>
      <c r="F255" s="218"/>
      <c r="G255" s="189"/>
      <c r="H255" s="189">
        <f>('2017 Determination - Revenue'!I$131*ROUND('2017 Determination - charges'!N80,2))+('2017 Determination - Revenue'!I$131*'2017 Determination - Revenue'!I$136*ROUND('2017 Determination - charges'!N70,2))</f>
        <v>4715</v>
      </c>
      <c r="I255" s="190">
        <f>('2017 Determination - Revenue'!I$131*ROUND(Outputs!L136,2))+('2017 Determination - Revenue'!I$131*'2017 Determination - Revenue'!I$136*ROUND(Outputs!L114,2))</f>
        <v>5135</v>
      </c>
      <c r="J255" s="220">
        <f t="shared" si="94"/>
        <v>8.9077412513255627E-2</v>
      </c>
      <c r="K255" s="208"/>
      <c r="L255" s="234"/>
      <c r="M255" s="190"/>
      <c r="N255" s="190"/>
      <c r="O255" s="190"/>
      <c r="P255" s="190"/>
      <c r="Q255" s="190"/>
      <c r="R255" s="190"/>
    </row>
    <row r="256" spans="2:19">
      <c r="B256" s="209" t="str">
        <f>'2017 Determination - Revenue'!B$40</f>
        <v>Murrumbidgee</v>
      </c>
      <c r="C256" s="190" t="str">
        <f>C$171</f>
        <v>$</v>
      </c>
      <c r="D256" s="190"/>
      <c r="E256" s="190"/>
      <c r="F256" s="218"/>
      <c r="G256" s="189"/>
      <c r="H256" s="189">
        <f>('2017 Determination - Revenue'!I$131*ROUND('2017 Determination - charges'!N81,2))+('2017 Determination - Revenue'!I$131*'2017 Determination - Revenue'!I$136*ROUND('2017 Determination - charges'!N71,2))</f>
        <v>1030</v>
      </c>
      <c r="I256" s="190">
        <f>('2017 Determination - Revenue'!I$131*ROUND(Outputs!L137,2))+('2017 Determination - Revenue'!I$131*'2017 Determination - Revenue'!I$136*ROUND(Outputs!L115,2))</f>
        <v>1100</v>
      </c>
      <c r="J256" s="220">
        <f t="shared" si="94"/>
        <v>6.7961165048543659E-2</v>
      </c>
      <c r="K256" s="208"/>
      <c r="L256" s="234"/>
      <c r="M256" s="190"/>
      <c r="N256" s="190"/>
      <c r="O256" s="190"/>
      <c r="P256" s="190"/>
      <c r="Q256" s="190"/>
      <c r="R256" s="190"/>
    </row>
    <row r="257" spans="2:23">
      <c r="B257" s="209"/>
      <c r="C257" s="190"/>
      <c r="D257" s="190"/>
      <c r="E257" s="190"/>
      <c r="F257" s="190"/>
      <c r="G257" s="190"/>
      <c r="H257" s="190"/>
      <c r="I257" s="190"/>
      <c r="J257" s="220"/>
      <c r="K257" s="208"/>
      <c r="L257" s="234"/>
      <c r="M257" s="190"/>
      <c r="N257" s="190"/>
      <c r="O257" s="190"/>
      <c r="P257" s="190"/>
      <c r="Q257" s="190"/>
      <c r="R257" s="190"/>
      <c r="T257" s="53"/>
      <c r="U257" s="53"/>
      <c r="V257" s="53"/>
      <c r="W257" s="53"/>
    </row>
    <row r="258" spans="2:23">
      <c r="B258" s="239" t="str">
        <f>'2017 Determination - Revenue'!B$132</f>
        <v>Large consumption customers</v>
      </c>
      <c r="C258" s="193" t="str">
        <f>"Entitlement = "&amp;'2017 Determination - Revenue'!G$132&amp;" kL pa, Usage = "&amp;'2017 Determination - Revenue'!G$137*'2017 Determination - Revenue'!G$132&amp;" kL pa"</f>
        <v>Entitlement = 1000 kL pa, Usage = 1000 kL pa</v>
      </c>
      <c r="D258" s="190"/>
      <c r="E258" s="190"/>
      <c r="F258" s="190"/>
      <c r="G258" s="190"/>
      <c r="H258" s="190"/>
      <c r="I258" s="190"/>
      <c r="J258" s="220"/>
      <c r="K258" s="208"/>
      <c r="L258" s="234"/>
      <c r="M258" s="190"/>
      <c r="N258" s="190"/>
      <c r="O258" s="190"/>
      <c r="P258" s="190"/>
      <c r="Q258" s="190"/>
      <c r="R258" s="190"/>
      <c r="T258" s="53"/>
      <c r="U258" s="53"/>
      <c r="V258" s="53"/>
      <c r="W258" s="53"/>
    </row>
    <row r="259" spans="2:23">
      <c r="B259" s="209" t="str">
        <f>'2017 Determination - Revenue'!B$33</f>
        <v>Border</v>
      </c>
      <c r="C259" s="190" t="str">
        <f>C$171</f>
        <v>$</v>
      </c>
      <c r="D259" s="190"/>
      <c r="E259" s="190"/>
      <c r="F259" s="218"/>
      <c r="G259" s="189"/>
      <c r="H259" s="189">
        <f>('2017 Determination - Revenue'!I$132*ROUND('2017 Determination - charges'!N79,2))+('2017 Determination - Revenue'!I$132*'2017 Determination - Revenue'!I$137*ROUND('2017 Determination - charges'!N69,2))</f>
        <v>5800</v>
      </c>
      <c r="I259" s="190">
        <f>('2017 Determination - Revenue'!I$132*ROUND(Outputs!L130,2))+('2017 Determination - Revenue'!I$132*'2017 Determination - Revenue'!I$137*ROUND(Outputs!L108,2))</f>
        <v>5880</v>
      </c>
      <c r="J259" s="220">
        <f t="shared" ref="J259:J261" si="95">IFERROR(I259/H259-1,"N/A")</f>
        <v>1.379310344827589E-2</v>
      </c>
      <c r="K259" s="208"/>
      <c r="L259" s="234"/>
      <c r="M259" s="190"/>
      <c r="N259" s="190"/>
      <c r="O259" s="190"/>
      <c r="P259" s="190"/>
      <c r="Q259" s="190"/>
      <c r="R259" s="190"/>
      <c r="T259" s="53"/>
      <c r="U259" s="53"/>
      <c r="V259" s="53"/>
      <c r="W259" s="53"/>
    </row>
    <row r="260" spans="2:23">
      <c r="B260" s="209" t="str">
        <f>'2017 Determination - Revenue'!B$39</f>
        <v>Murray</v>
      </c>
      <c r="C260" s="190" t="str">
        <f>C$171</f>
        <v>$</v>
      </c>
      <c r="D260" s="190"/>
      <c r="E260" s="190"/>
      <c r="F260" s="218"/>
      <c r="G260" s="189"/>
      <c r="H260" s="189">
        <f>('2017 Determination - Revenue'!I$132*ROUND('2017 Determination - charges'!N80,2))+('2017 Determination - Revenue'!I$132*'2017 Determination - Revenue'!I$137*ROUND('2017 Determination - charges'!N70,2))</f>
        <v>9430</v>
      </c>
      <c r="I260" s="190">
        <f>('2017 Determination - Revenue'!I$132*ROUND(Outputs!L136,2))+('2017 Determination - Revenue'!I$132*'2017 Determination - Revenue'!I$137*ROUND(Outputs!L114,2))</f>
        <v>10270</v>
      </c>
      <c r="J260" s="220">
        <f t="shared" si="95"/>
        <v>8.9077412513255627E-2</v>
      </c>
      <c r="K260" s="208"/>
      <c r="L260" s="234"/>
      <c r="M260" s="190"/>
      <c r="N260" s="190"/>
      <c r="O260" s="190"/>
      <c r="P260" s="190"/>
      <c r="Q260" s="190"/>
      <c r="R260" s="190"/>
      <c r="T260" s="53"/>
      <c r="U260" s="53"/>
      <c r="V260" s="53"/>
      <c r="W260" s="53"/>
    </row>
    <row r="261" spans="2:23">
      <c r="B261" s="209" t="str">
        <f>'2017 Determination - Revenue'!B$40</f>
        <v>Murrumbidgee</v>
      </c>
      <c r="C261" s="190" t="str">
        <f>C$171</f>
        <v>$</v>
      </c>
      <c r="D261" s="190"/>
      <c r="E261" s="190"/>
      <c r="F261" s="218"/>
      <c r="G261" s="189"/>
      <c r="H261" s="189">
        <f>('2017 Determination - Revenue'!I$132*ROUND('2017 Determination - charges'!N81,2))+('2017 Determination - Revenue'!I$132*'2017 Determination - Revenue'!I$137*ROUND('2017 Determination - charges'!N71,2))</f>
        <v>2060</v>
      </c>
      <c r="I261" s="190">
        <f>('2017 Determination - Revenue'!I$132*ROUND(Outputs!L137,2))+('2017 Determination - Revenue'!I$132*'2017 Determination - Revenue'!I$137*ROUND(Outputs!L115,2))</f>
        <v>2200</v>
      </c>
      <c r="J261" s="220">
        <f t="shared" si="95"/>
        <v>6.7961165048543659E-2</v>
      </c>
      <c r="K261" s="208"/>
      <c r="L261" s="234"/>
      <c r="M261" s="190"/>
      <c r="N261" s="190"/>
      <c r="O261" s="190"/>
      <c r="P261" s="190"/>
      <c r="Q261" s="190"/>
      <c r="R261" s="190"/>
      <c r="T261" s="53"/>
      <c r="U261" s="53"/>
      <c r="V261" s="53"/>
      <c r="W261" s="53"/>
    </row>
    <row r="262" spans="2:23">
      <c r="B262" s="209"/>
      <c r="C262" s="190"/>
      <c r="D262" s="190"/>
      <c r="E262" s="190"/>
      <c r="F262" s="189"/>
      <c r="G262" s="189"/>
      <c r="H262" s="189"/>
      <c r="I262" s="190"/>
      <c r="J262" s="220"/>
      <c r="K262" s="208"/>
      <c r="L262" s="234"/>
      <c r="M262" s="190"/>
      <c r="N262" s="190"/>
      <c r="O262" s="190"/>
      <c r="P262" s="190"/>
      <c r="Q262" s="190"/>
      <c r="R262" s="190"/>
      <c r="T262" s="53"/>
      <c r="U262" s="53"/>
      <c r="V262" s="53"/>
      <c r="W262" s="53"/>
    </row>
    <row r="263" spans="2:23">
      <c r="B263" s="239" t="s">
        <v>79</v>
      </c>
      <c r="C263" s="190"/>
      <c r="D263" s="190"/>
      <c r="E263" s="190"/>
      <c r="F263" s="189"/>
      <c r="G263" s="189"/>
      <c r="H263" s="189"/>
      <c r="I263" s="190"/>
      <c r="J263" s="220"/>
      <c r="K263" s="208"/>
      <c r="L263" s="234"/>
      <c r="M263" s="190"/>
      <c r="N263" s="190"/>
      <c r="O263" s="190"/>
      <c r="P263" s="190"/>
      <c r="Q263" s="300"/>
      <c r="R263" s="190"/>
      <c r="T263" s="53"/>
      <c r="U263" s="53"/>
      <c r="V263" s="53"/>
      <c r="W263" s="53"/>
    </row>
    <row r="264" spans="2:23">
      <c r="B264" s="239" t="str">
        <f>'2017 Determination - Revenue'!B$130</f>
        <v>Small consumption customers</v>
      </c>
      <c r="C264" s="193" t="str">
        <f>"Entitlement = "&amp;'2017 Determination - Revenue'!G$140&amp;" kL pa, Usage = "&amp;'2017 Determination - Revenue'!G$145*'2017 Determination - Revenue'!G$140&amp;" kL pa"</f>
        <v>Entitlement = 100 kL pa, Usage = 60 kL pa</v>
      </c>
      <c r="D264" s="190"/>
      <c r="E264" s="190"/>
      <c r="F264" s="189"/>
      <c r="G264" s="189"/>
      <c r="H264" s="189"/>
      <c r="I264" s="190"/>
      <c r="J264" s="220"/>
      <c r="K264" s="208"/>
      <c r="L264" s="234"/>
      <c r="M264" s="190"/>
      <c r="N264" s="190"/>
      <c r="O264" s="190"/>
      <c r="P264" s="190"/>
      <c r="Q264" s="300"/>
      <c r="R264" s="190"/>
    </row>
    <row r="265" spans="2:23">
      <c r="B265" s="209" t="str">
        <f>'2017 Determination - Revenue'!B$33</f>
        <v>Border</v>
      </c>
      <c r="C265" s="190" t="str">
        <f>C$171</f>
        <v>$</v>
      </c>
      <c r="D265" s="190"/>
      <c r="E265" s="190"/>
      <c r="F265" s="218"/>
      <c r="G265" s="189"/>
      <c r="H265" s="189">
        <f>('2017 Determination - Revenue'!I$140*ROUND('2017 Determination - charges'!N74,2))+('2017 Determination - Revenue'!I$140*'2017 Determination - Revenue'!I$145*ROUND('2017 Determination - charges'!N69,2))</f>
        <v>234.4</v>
      </c>
      <c r="I265" s="189">
        <f>('2017 Determination - Revenue'!I$140*ROUND(Outputs!L119,2))+('2017 Determination - Revenue'!I$140*'2017 Determination - Revenue'!I$145*ROUND(Outputs!L108,2))</f>
        <v>235</v>
      </c>
      <c r="J265" s="220">
        <f t="shared" ref="J265:J272" si="96">IFERROR(I265/H265-1,"N/A")</f>
        <v>2.5597269624573205E-3</v>
      </c>
      <c r="K265" s="208"/>
      <c r="L265" s="234"/>
      <c r="M265" s="190"/>
      <c r="N265" s="190"/>
      <c r="O265" s="190"/>
      <c r="P265" s="190"/>
      <c r="Q265" s="190"/>
      <c r="R265" s="190"/>
    </row>
    <row r="266" spans="2:23">
      <c r="B266" s="209" t="str">
        <f>'2017 Determination - Revenue'!B$39</f>
        <v>Murray</v>
      </c>
      <c r="C266" s="190" t="str">
        <f>C$171</f>
        <v>$</v>
      </c>
      <c r="D266" s="190"/>
      <c r="E266" s="190"/>
      <c r="F266" s="218"/>
      <c r="G266" s="189"/>
      <c r="H266" s="189">
        <f>('2017 Determination - Revenue'!I$140*ROUND('2017 Determination - charges'!N75,2))+('2017 Determination - Revenue'!I$140*'2017 Determination - Revenue'!I$145*ROUND('2017 Determination - charges'!N70,2))</f>
        <v>479.6</v>
      </c>
      <c r="I266" s="189">
        <f>('2017 Determination - Revenue'!I$140*ROUND(Outputs!L125,2))+('2017 Determination - Revenue'!I$140*'2017 Determination - Revenue'!I$145*ROUND(Outputs!L114,2))</f>
        <v>479.6</v>
      </c>
      <c r="J266" s="220">
        <f t="shared" si="96"/>
        <v>0</v>
      </c>
      <c r="K266" s="208"/>
      <c r="L266" s="234"/>
      <c r="M266" s="190"/>
      <c r="N266" s="190"/>
      <c r="O266" s="190"/>
      <c r="P266" s="190"/>
      <c r="Q266" s="190"/>
      <c r="R266" s="190"/>
    </row>
    <row r="267" spans="2:23">
      <c r="B267" s="209" t="str">
        <f>'2017 Determination - Revenue'!B$40</f>
        <v>Murrumbidgee</v>
      </c>
      <c r="C267" s="190" t="str">
        <f>C$171</f>
        <v>$</v>
      </c>
      <c r="D267" s="190"/>
      <c r="E267" s="190"/>
      <c r="F267" s="218"/>
      <c r="G267" s="189"/>
      <c r="H267" s="189">
        <f>('2017 Determination - Revenue'!I$140*ROUND('2017 Determination - charges'!N76,2))+('2017 Determination - Revenue'!I$140*'2017 Determination - Revenue'!I$145*ROUND('2017 Determination - charges'!N71,2))</f>
        <v>84.8</v>
      </c>
      <c r="I267" s="189">
        <f>('2017 Determination - Revenue'!I$140*ROUND(Outputs!L126,2))+('2017 Determination - Revenue'!I$140*'2017 Determination - Revenue'!I$145*ROUND(Outputs!L115,2))</f>
        <v>84.6</v>
      </c>
      <c r="J267" s="220">
        <f t="shared" si="96"/>
        <v>-2.3584905660377631E-3</v>
      </c>
      <c r="K267" s="208"/>
      <c r="L267" s="234"/>
      <c r="M267" s="190"/>
      <c r="N267" s="190"/>
      <c r="O267" s="190"/>
      <c r="P267" s="190"/>
      <c r="Q267" s="190"/>
      <c r="R267" s="190"/>
    </row>
    <row r="268" spans="2:23">
      <c r="B268" s="209"/>
      <c r="C268" s="190"/>
      <c r="D268" s="190"/>
      <c r="E268" s="190"/>
      <c r="F268" s="189"/>
      <c r="G268" s="189"/>
      <c r="H268" s="189"/>
      <c r="I268" s="189"/>
      <c r="J268" s="220"/>
      <c r="K268" s="208"/>
      <c r="L268" s="234"/>
      <c r="M268" s="190"/>
      <c r="N268" s="190"/>
      <c r="O268" s="190"/>
      <c r="P268" s="190"/>
      <c r="Q268" s="190"/>
      <c r="R268" s="190"/>
    </row>
    <row r="269" spans="2:23">
      <c r="B269" s="239" t="str">
        <f>'2017 Determination - Revenue'!B$131</f>
        <v>Medium consumption customers</v>
      </c>
      <c r="C269" s="193" t="str">
        <f>"Entitlement = "&amp;'2017 Determination - Revenue'!G$141&amp;" kL pa, Usage = "&amp;'2017 Determination - Revenue'!G$146*'2017 Determination - Revenue'!G$141&amp;" kL pa"</f>
        <v>Entitlement = 500 kL pa, Usage = 300 kL pa</v>
      </c>
      <c r="D269" s="190"/>
      <c r="E269" s="190"/>
      <c r="F269" s="189"/>
      <c r="G269" s="189"/>
      <c r="H269" s="189"/>
      <c r="I269" s="189"/>
      <c r="J269" s="220"/>
      <c r="K269" s="208"/>
      <c r="L269" s="234"/>
      <c r="M269" s="190"/>
      <c r="N269" s="190"/>
      <c r="O269" s="190"/>
      <c r="P269" s="190"/>
      <c r="Q269" s="190"/>
      <c r="R269" s="190"/>
    </row>
    <row r="270" spans="2:23">
      <c r="B270" s="209" t="str">
        <f>'2017 Determination - Revenue'!B$33</f>
        <v>Border</v>
      </c>
      <c r="C270" s="190" t="str">
        <f>C$171</f>
        <v>$</v>
      </c>
      <c r="D270" s="190"/>
      <c r="E270" s="190"/>
      <c r="F270" s="218"/>
      <c r="G270" s="189"/>
      <c r="H270" s="189">
        <f>('2017 Determination - Revenue'!I$141*ROUND('2017 Determination - charges'!N74,2))+('2017 Determination - Revenue'!I$141*'2017 Determination - Revenue'!I$146*ROUND('2017 Determination - charges'!N69,2))</f>
        <v>1172</v>
      </c>
      <c r="I270" s="189">
        <f>('2017 Determination - Revenue'!I$141*ROUND(Outputs!L119,2))+('2017 Determination - Revenue'!I$141*'2017 Determination - Revenue'!I$146*ROUND(Outputs!L108,2))</f>
        <v>1175</v>
      </c>
      <c r="J270" s="220">
        <f t="shared" si="96"/>
        <v>2.5597269624573205E-3</v>
      </c>
      <c r="K270" s="208"/>
      <c r="L270" s="234"/>
      <c r="M270" s="190"/>
      <c r="N270" s="190"/>
      <c r="O270" s="190"/>
      <c r="P270" s="190"/>
      <c r="Q270" s="190"/>
      <c r="R270" s="190"/>
    </row>
    <row r="271" spans="2:23">
      <c r="B271" s="209" t="str">
        <f>'2017 Determination - Revenue'!B$39</f>
        <v>Murray</v>
      </c>
      <c r="C271" s="190" t="str">
        <f>C$171</f>
        <v>$</v>
      </c>
      <c r="D271" s="190"/>
      <c r="E271" s="190"/>
      <c r="F271" s="218"/>
      <c r="G271" s="189"/>
      <c r="H271" s="189">
        <f>('2017 Determination - Revenue'!I$141*ROUND('2017 Determination - charges'!N75,2))+('2017 Determination - Revenue'!I$141*'2017 Determination - Revenue'!I$146*ROUND('2017 Determination - charges'!N70,2))</f>
        <v>2398</v>
      </c>
      <c r="I271" s="189">
        <f>('2017 Determination - Revenue'!I$141*ROUND(Outputs!L125,2))+('2017 Determination - Revenue'!I$141*'2017 Determination - Revenue'!I$146*ROUND(Outputs!L114,2))</f>
        <v>2398</v>
      </c>
      <c r="J271" s="220">
        <f t="shared" si="96"/>
        <v>0</v>
      </c>
      <c r="K271" s="208"/>
      <c r="L271" s="234"/>
      <c r="M271" s="190"/>
      <c r="N271" s="190"/>
      <c r="O271" s="190"/>
      <c r="P271" s="190"/>
      <c r="Q271" s="190"/>
      <c r="R271" s="190"/>
    </row>
    <row r="272" spans="2:23">
      <c r="B272" s="209" t="str">
        <f>'2017 Determination - Revenue'!B$40</f>
        <v>Murrumbidgee</v>
      </c>
      <c r="C272" s="190" t="str">
        <f>C$171</f>
        <v>$</v>
      </c>
      <c r="D272" s="190"/>
      <c r="E272" s="190"/>
      <c r="F272" s="218"/>
      <c r="G272" s="189"/>
      <c r="H272" s="189">
        <f>('2017 Determination - Revenue'!I$141*ROUND('2017 Determination - charges'!N76,2))+('2017 Determination - Revenue'!I$141*'2017 Determination - Revenue'!I$146*ROUND('2017 Determination - charges'!N71,2))</f>
        <v>424</v>
      </c>
      <c r="I272" s="189">
        <f>('2017 Determination - Revenue'!I$141*ROUND(Outputs!L126,2))+('2017 Determination - Revenue'!I$141*'2017 Determination - Revenue'!I$146*ROUND(Outputs!L115,2))</f>
        <v>423</v>
      </c>
      <c r="J272" s="220">
        <f t="shared" si="96"/>
        <v>-2.3584905660377631E-3</v>
      </c>
      <c r="K272" s="208"/>
      <c r="L272" s="234"/>
      <c r="M272" s="190"/>
      <c r="N272" s="190"/>
      <c r="O272" s="190"/>
      <c r="P272" s="190"/>
      <c r="Q272" s="190"/>
      <c r="R272" s="190"/>
    </row>
    <row r="273" spans="2:19">
      <c r="B273" s="209"/>
      <c r="C273" s="190"/>
      <c r="D273" s="190"/>
      <c r="E273" s="190"/>
      <c r="F273" s="189"/>
      <c r="G273" s="189"/>
      <c r="H273" s="189"/>
      <c r="I273" s="189"/>
      <c r="J273" s="220"/>
      <c r="K273" s="208"/>
      <c r="L273" s="234"/>
      <c r="M273" s="190"/>
      <c r="N273" s="190"/>
      <c r="O273" s="190"/>
      <c r="P273" s="190"/>
      <c r="Q273" s="190"/>
      <c r="R273" s="190"/>
    </row>
    <row r="274" spans="2:19">
      <c r="B274" s="239" t="str">
        <f>'2017 Determination - Revenue'!B$132</f>
        <v>Large consumption customers</v>
      </c>
      <c r="C274" s="193" t="str">
        <f>"Entitlement = "&amp;'2017 Determination - Revenue'!G$142&amp;" kL pa, Usage = "&amp;'2017 Determination - Revenue'!G$147*'2017 Determination - Revenue'!G$142&amp;" kL pa"</f>
        <v>Entitlement = 1000 kL pa, Usage = 600 kL pa</v>
      </c>
      <c r="D274" s="190"/>
      <c r="E274" s="190"/>
      <c r="F274" s="189"/>
      <c r="G274" s="189"/>
      <c r="H274" s="189"/>
      <c r="I274" s="189"/>
      <c r="J274" s="220"/>
      <c r="K274" s="208"/>
      <c r="L274" s="234"/>
      <c r="M274" s="190"/>
      <c r="N274" s="190"/>
      <c r="O274" s="190"/>
      <c r="P274" s="190"/>
      <c r="Q274" s="190"/>
      <c r="R274" s="190"/>
    </row>
    <row r="275" spans="2:19">
      <c r="B275" s="209" t="str">
        <f>'2017 Determination - Revenue'!B$33</f>
        <v>Border</v>
      </c>
      <c r="C275" s="190" t="str">
        <f>C$171</f>
        <v>$</v>
      </c>
      <c r="D275" s="190"/>
      <c r="E275" s="190"/>
      <c r="F275" s="218"/>
      <c r="G275" s="189"/>
      <c r="H275" s="189">
        <f>('2017 Determination - Revenue'!I$142*ROUND('2017 Determination - charges'!N74,2))+('2017 Determination - Revenue'!I$142*'2017 Determination - Revenue'!I$147*ROUND('2017 Determination - charges'!N69,2))</f>
        <v>2344</v>
      </c>
      <c r="I275" s="189">
        <f>('2017 Determination - Revenue'!I$142*ROUND(Outputs!L119,2))+('2017 Determination - Revenue'!I$142*'2017 Determination - Revenue'!I$147*ROUND(Outputs!L108,2))</f>
        <v>2350</v>
      </c>
      <c r="J275" s="220">
        <f t="shared" ref="J275:J277" si="97">IFERROR(I275/H275-1,"N/A")</f>
        <v>2.5597269624573205E-3</v>
      </c>
      <c r="K275" s="208"/>
      <c r="L275" s="234"/>
      <c r="M275" s="190"/>
      <c r="N275" s="190"/>
      <c r="O275" s="190"/>
      <c r="P275" s="190"/>
      <c r="Q275" s="190"/>
      <c r="R275" s="190"/>
    </row>
    <row r="276" spans="2:19">
      <c r="B276" s="209" t="str">
        <f>'2017 Determination - Revenue'!B$39</f>
        <v>Murray</v>
      </c>
      <c r="C276" s="190" t="str">
        <f>C$171</f>
        <v>$</v>
      </c>
      <c r="D276" s="190"/>
      <c r="E276" s="190"/>
      <c r="F276" s="218"/>
      <c r="G276" s="189"/>
      <c r="H276" s="189">
        <f>('2017 Determination - Revenue'!I$142*ROUND('2017 Determination - charges'!N75,2))+('2017 Determination - Revenue'!I$142*'2017 Determination - Revenue'!I$147*ROUND('2017 Determination - charges'!N70,2))</f>
        <v>4796</v>
      </c>
      <c r="I276" s="189">
        <f>('2017 Determination - Revenue'!I$142*ROUND(Outputs!L125,2))+('2017 Determination - Revenue'!I$142*'2017 Determination - Revenue'!I$147*ROUND(Outputs!L114,2))</f>
        <v>4796</v>
      </c>
      <c r="J276" s="220">
        <f t="shared" si="97"/>
        <v>0</v>
      </c>
      <c r="K276" s="208"/>
      <c r="L276" s="234"/>
      <c r="M276" s="190"/>
      <c r="N276" s="190"/>
      <c r="O276" s="190"/>
      <c r="P276" s="190"/>
      <c r="Q276" s="190"/>
      <c r="R276" s="190"/>
    </row>
    <row r="277" spans="2:19">
      <c r="B277" s="209" t="str">
        <f>'2017 Determination - Revenue'!B$40</f>
        <v>Murrumbidgee</v>
      </c>
      <c r="C277" s="190" t="str">
        <f>C$171</f>
        <v>$</v>
      </c>
      <c r="D277" s="190"/>
      <c r="E277" s="190"/>
      <c r="F277" s="218"/>
      <c r="G277" s="189"/>
      <c r="H277" s="189">
        <f>('2017 Determination - Revenue'!I$142*ROUND('2017 Determination - charges'!N76,2))+('2017 Determination - Revenue'!I$142*'2017 Determination - Revenue'!I$147*ROUND('2017 Determination - charges'!N71,2))</f>
        <v>848</v>
      </c>
      <c r="I277" s="189">
        <f>('2017 Determination - Revenue'!I$142*ROUND(Outputs!L126,2))+('2017 Determination - Revenue'!I$142*'2017 Determination - Revenue'!I$147*ROUND(Outputs!L115,2))</f>
        <v>846</v>
      </c>
      <c r="J277" s="220">
        <f t="shared" si="97"/>
        <v>-2.3584905660377631E-3</v>
      </c>
      <c r="K277" s="208"/>
      <c r="L277" s="234"/>
      <c r="M277" s="190"/>
      <c r="N277" s="190"/>
      <c r="O277" s="190"/>
      <c r="P277" s="190"/>
      <c r="Q277" s="190"/>
      <c r="R277" s="190"/>
    </row>
    <row r="278" spans="2:19">
      <c r="B278" s="243"/>
      <c r="C278" s="54"/>
      <c r="D278" s="54"/>
      <c r="E278" s="54"/>
      <c r="F278" s="54"/>
      <c r="G278" s="54"/>
      <c r="H278" s="54"/>
      <c r="I278" s="54"/>
      <c r="J278" s="167"/>
      <c r="K278" s="54"/>
      <c r="L278" s="235"/>
      <c r="M278" s="190"/>
      <c r="N278" s="190"/>
      <c r="O278" s="190"/>
      <c r="P278" s="190"/>
      <c r="Q278" s="190"/>
      <c r="R278" s="190"/>
    </row>
    <row r="279" spans="2:19">
      <c r="B279" s="193"/>
      <c r="C279" s="193"/>
      <c r="D279" s="193"/>
      <c r="E279" s="193"/>
      <c r="F279" s="193"/>
      <c r="G279" s="193"/>
      <c r="H279" s="193"/>
      <c r="I279" s="193"/>
      <c r="J279" s="227"/>
      <c r="K279" s="193"/>
      <c r="L279" s="193"/>
      <c r="M279" s="193"/>
      <c r="N279" s="193"/>
      <c r="O279" s="193"/>
      <c r="P279" s="193"/>
      <c r="Q279" s="193"/>
      <c r="R279" s="193"/>
    </row>
    <row r="280" spans="2:19" s="106" customFormat="1">
      <c r="B280" s="193"/>
      <c r="C280" s="193"/>
      <c r="D280" s="193"/>
      <c r="E280" s="193"/>
      <c r="F280" s="193"/>
      <c r="G280" s="193"/>
      <c r="H280" s="193"/>
      <c r="I280" s="193"/>
      <c r="J280" s="227"/>
      <c r="K280" s="193"/>
      <c r="L280" s="193"/>
      <c r="M280" s="193"/>
      <c r="N280" s="193"/>
      <c r="O280" s="193"/>
      <c r="P280" s="193"/>
      <c r="Q280" s="193"/>
      <c r="R280" s="193"/>
      <c r="S280" s="193"/>
    </row>
    <row r="281" spans="2:19" s="106" customFormat="1">
      <c r="B281" s="244" t="s">
        <v>132</v>
      </c>
      <c r="C281" s="193"/>
      <c r="D281" s="193"/>
      <c r="E281" s="193"/>
      <c r="F281" s="193"/>
      <c r="G281" s="193"/>
      <c r="H281" s="193"/>
      <c r="I281" s="193"/>
      <c r="J281" s="193"/>
      <c r="K281" s="193"/>
      <c r="L281" s="193"/>
      <c r="M281" s="193"/>
      <c r="N281" s="193"/>
      <c r="O281" s="193"/>
      <c r="P281" s="193"/>
      <c r="Q281" s="193"/>
      <c r="R281" s="193"/>
      <c r="S281" s="193"/>
    </row>
    <row r="282" spans="2:19" s="106" customFormat="1">
      <c r="B282" s="237" t="str">
        <f>'2017 Determination - Revenue'!B$16</f>
        <v>Financial year</v>
      </c>
      <c r="C282" s="238" t="str">
        <f>'2017 Determination - Revenue'!C$28</f>
        <v>Units</v>
      </c>
      <c r="D282" s="238"/>
      <c r="E282" s="238"/>
      <c r="F282" s="210"/>
      <c r="G282" s="210"/>
      <c r="H282" s="298" t="str">
        <f t="shared" ref="H282:I282" si="98">$H$167</f>
        <v>2020-21</v>
      </c>
      <c r="I282" s="298" t="str">
        <f t="shared" si="98"/>
        <v>2020-21</v>
      </c>
      <c r="J282" s="252" t="s">
        <v>232</v>
      </c>
      <c r="K282" s="194"/>
      <c r="L282" s="236"/>
      <c r="M282" s="190"/>
      <c r="N282" s="190"/>
      <c r="O282" s="190"/>
      <c r="P282" s="190"/>
      <c r="Q282" s="190"/>
      <c r="R282" s="190"/>
      <c r="S282" s="193"/>
    </row>
    <row r="283" spans="2:19" s="106" customFormat="1" ht="25.4" customHeight="1">
      <c r="B283" s="209"/>
      <c r="C283" s="190"/>
      <c r="D283" s="190"/>
      <c r="E283" s="190"/>
      <c r="F283" s="213"/>
      <c r="G283" s="213"/>
      <c r="H283" s="213" t="str">
        <f>H$168</f>
        <v>As per 2017 Price Review</v>
      </c>
      <c r="I283" s="213" t="str">
        <f>I$168</f>
        <v>Re-calculated using updated demand</v>
      </c>
      <c r="J283" s="213" t="str">
        <f>J$168</f>
        <v xml:space="preserve">Difference </v>
      </c>
      <c r="K283" s="253"/>
      <c r="L283" s="234"/>
      <c r="M283" s="190"/>
      <c r="N283" s="190"/>
      <c r="O283" s="190"/>
      <c r="P283" s="190"/>
      <c r="Q283" s="190"/>
      <c r="R283" s="190"/>
      <c r="S283" s="193"/>
    </row>
    <row r="284" spans="2:19" s="106" customFormat="1" ht="12">
      <c r="B284" s="254"/>
      <c r="C284" s="190"/>
      <c r="D284" s="190"/>
      <c r="E284" s="190"/>
      <c r="F284" s="214"/>
      <c r="G284" s="214"/>
      <c r="H284" s="214" t="str">
        <f>'2017 Determination - charges'!$N$88</f>
        <v>$2020-21</v>
      </c>
      <c r="I284" s="214" t="str">
        <f>'2017 Determination - charges'!$N$88</f>
        <v>$2020-21</v>
      </c>
      <c r="J284" s="128" t="str">
        <f>$M$25</f>
        <v>%</v>
      </c>
      <c r="K284" s="255"/>
      <c r="L284" s="234"/>
      <c r="M284" s="190"/>
      <c r="N284" s="190"/>
      <c r="O284" s="190"/>
      <c r="P284" s="190"/>
      <c r="Q284" s="190"/>
      <c r="R284" s="190"/>
      <c r="S284" s="193"/>
    </row>
    <row r="285" spans="2:19" s="106" customFormat="1" ht="12">
      <c r="B285" s="254" t="s">
        <v>154</v>
      </c>
      <c r="C285" s="190"/>
      <c r="D285" s="190"/>
      <c r="E285" s="190"/>
      <c r="F285" s="190"/>
      <c r="G285" s="190"/>
      <c r="H285" s="190"/>
      <c r="I285" s="190"/>
      <c r="J285" s="211"/>
      <c r="K285" s="190"/>
      <c r="L285" s="234"/>
      <c r="M285" s="190"/>
      <c r="N285" s="190"/>
      <c r="O285" s="190"/>
      <c r="P285" s="190"/>
      <c r="Q285" s="190"/>
      <c r="R285" s="190"/>
      <c r="S285" s="193"/>
    </row>
    <row r="286" spans="2:19" s="106" customFormat="1">
      <c r="B286" s="209" t="s">
        <v>92</v>
      </c>
      <c r="C286" s="190" t="str">
        <f>C$171</f>
        <v>$</v>
      </c>
      <c r="D286" s="190"/>
      <c r="E286" s="190"/>
      <c r="F286" s="218"/>
      <c r="G286" s="189"/>
      <c r="H286" s="189">
        <f>(ROUND('2017 Determination - charges'!N91,2)*'Updated Volumes'!AD124)+(ROUND('2017 Determination - charges'!N96,2)*'FRWS calcs'!I25)+(ROUND('2017 Determination - charges'!N101,2)*'FRWS calcs'!I30)*1000</f>
        <v>3927.0551505263156</v>
      </c>
      <c r="I286" s="189">
        <f>(ROUND(Outputs!L148,2)*'Updated Volumes'!AD124)+(ROUND(Outputs!L153,2)*'FRWS calcs'!I25)+(ROUND(Outputs!L158,2)*'FRWS calcs'!I30)*1000</f>
        <v>3832.8676215789469</v>
      </c>
      <c r="J286" s="220">
        <f t="shared" ref="J286:J288" si="99">IFERROR(I286/H286-1,"N/A")</f>
        <v>-2.3984264375494058E-2</v>
      </c>
      <c r="K286" s="208"/>
      <c r="L286" s="234"/>
      <c r="M286" s="190"/>
      <c r="N286" s="190"/>
      <c r="O286" s="190"/>
      <c r="P286" s="190"/>
      <c r="Q286" s="190"/>
      <c r="R286" s="190"/>
      <c r="S286" s="193"/>
    </row>
    <row r="287" spans="2:19" s="106" customFormat="1">
      <c r="B287" s="209" t="s">
        <v>93</v>
      </c>
      <c r="C287" s="190" t="str">
        <f>C$171</f>
        <v>$</v>
      </c>
      <c r="D287" s="190"/>
      <c r="E287" s="190"/>
      <c r="F287" s="218"/>
      <c r="G287" s="189"/>
      <c r="H287" s="189">
        <f>((ROUND('2017 Determination - charges'!N92,2)*'Updated Volumes'!AD125)+(ROUND('2017 Determination - charges'!N97,2)*'FRWS calcs'!I26)+(ROUND('2017 Determination - charges'!N102,2)*'FRWS calcs'!I31))/'Updated Volumes'!AD$121*1000</f>
        <v>416.91091071428554</v>
      </c>
      <c r="I287" s="189">
        <f>((ROUND(Outputs!L149,2)*'Updated Volumes'!AD125)+(ROUND(Outputs!L154,2)*'FRWS calcs'!I26)+(ROUND(Outputs!L159,2)*'FRWS calcs'!I31))/'Updated Volumes'!AD$121*1000</f>
        <v>404.6973928571428</v>
      </c>
      <c r="J287" s="220">
        <f t="shared" si="99"/>
        <v>-2.9295270388144945E-2</v>
      </c>
      <c r="K287" s="208"/>
      <c r="L287" s="234"/>
      <c r="M287" s="190"/>
      <c r="N287" s="190"/>
      <c r="O287" s="190"/>
      <c r="P287" s="190"/>
      <c r="Q287" s="190"/>
      <c r="R287" s="190"/>
      <c r="S287" s="193"/>
    </row>
    <row r="288" spans="2:19" s="106" customFormat="1">
      <c r="B288" s="209" t="s">
        <v>94</v>
      </c>
      <c r="C288" s="190" t="str">
        <f>C$171</f>
        <v>$</v>
      </c>
      <c r="D288" s="190"/>
      <c r="E288" s="190"/>
      <c r="F288" s="218"/>
      <c r="G288" s="189"/>
      <c r="H288" s="189">
        <f>((ROUND('2017 Determination - charges'!N93,2)*'Updated Volumes'!AD126)+(ROUND('2017 Determination - charges'!N98,2)*'FRWS calcs'!I27)+(ROUND('2017 Determination - charges'!N103,2)*'FRWS calcs'!I32))/'Updated Volumes'!AD$120*1000</f>
        <v>598.10171428571448</v>
      </c>
      <c r="I288" s="189">
        <f>((ROUND(Outputs!L150,2)*'Updated Volumes'!AD126)+(ROUND(Outputs!L155,2)*'FRWS calcs'!I27)+(ROUND(Outputs!L160,2)*'FRWS calcs'!I32))/'Updated Volumes'!AD$120*1000</f>
        <v>659.00567099567104</v>
      </c>
      <c r="J288" s="220">
        <f t="shared" si="99"/>
        <v>0.10182876132146079</v>
      </c>
      <c r="K288" s="208"/>
      <c r="L288" s="234"/>
      <c r="M288" s="190"/>
      <c r="N288" s="190"/>
      <c r="O288" s="190"/>
      <c r="P288" s="190"/>
      <c r="Q288" s="190"/>
      <c r="R288" s="190"/>
      <c r="S288" s="193"/>
    </row>
    <row r="289" spans="2:19" s="106" customFormat="1">
      <c r="B289" s="243"/>
      <c r="C289" s="54"/>
      <c r="D289" s="54"/>
      <c r="E289" s="54"/>
      <c r="F289" s="54"/>
      <c r="G289" s="54"/>
      <c r="H289" s="54"/>
      <c r="I289" s="54"/>
      <c r="J289" s="167"/>
      <c r="K289" s="54"/>
      <c r="L289" s="235"/>
      <c r="M289" s="190"/>
      <c r="N289" s="190"/>
      <c r="O289" s="190"/>
      <c r="P289" s="190"/>
      <c r="Q289" s="190"/>
      <c r="R289" s="190"/>
      <c r="S289" s="193"/>
    </row>
    <row r="290" spans="2:19" s="106" customFormat="1">
      <c r="B290" s="193"/>
      <c r="C290" s="193"/>
      <c r="D290" s="193"/>
      <c r="E290" s="193"/>
      <c r="F290" s="193"/>
      <c r="G290" s="193"/>
      <c r="H290" s="193"/>
      <c r="I290" s="193"/>
      <c r="J290" s="193"/>
      <c r="K290" s="193"/>
      <c r="L290" s="193"/>
      <c r="M290" s="193"/>
      <c r="N290" s="193"/>
      <c r="O290" s="193"/>
      <c r="P290" s="193"/>
      <c r="Q290" s="193"/>
      <c r="R290" s="193"/>
      <c r="S290" s="193"/>
    </row>
    <row r="291" spans="2:19" s="106" customFormat="1">
      <c r="B291" s="193"/>
      <c r="C291" s="193"/>
      <c r="D291" s="193"/>
      <c r="E291" s="193"/>
      <c r="F291" s="193"/>
      <c r="G291" s="193"/>
      <c r="H291" s="193"/>
      <c r="I291" s="193"/>
      <c r="J291" s="193"/>
      <c r="K291" s="193"/>
      <c r="L291" s="193"/>
      <c r="M291" s="193"/>
      <c r="N291" s="193"/>
      <c r="O291" s="193"/>
      <c r="P291" s="193"/>
      <c r="Q291" s="193"/>
      <c r="R291" s="193"/>
      <c r="S291" s="193"/>
    </row>
    <row r="292" spans="2:19" s="106" customFormat="1" ht="15.5">
      <c r="B292" s="116" t="s">
        <v>115</v>
      </c>
      <c r="C292" s="115"/>
      <c r="D292" s="115"/>
      <c r="E292" s="115"/>
      <c r="F292" s="115"/>
      <c r="G292" s="115"/>
      <c r="H292" s="115"/>
      <c r="I292" s="115"/>
      <c r="J292" s="115"/>
      <c r="K292" s="115"/>
      <c r="L292" s="115"/>
      <c r="M292" s="115"/>
      <c r="N292" s="115"/>
      <c r="O292" s="115"/>
      <c r="P292" s="115"/>
      <c r="Q292" s="115"/>
      <c r="S292" s="193"/>
    </row>
    <row r="293" spans="2:19">
      <c r="R293" s="31"/>
    </row>
    <row r="294" spans="2:19">
      <c r="B294" s="32" t="s">
        <v>233</v>
      </c>
      <c r="C294" s="106"/>
      <c r="D294" s="106"/>
      <c r="E294" s="106"/>
      <c r="G294" s="106"/>
      <c r="I294" s="106"/>
      <c r="J294" s="106"/>
      <c r="L294" s="106"/>
      <c r="R294" s="31"/>
    </row>
    <row r="295" spans="2:19" ht="12" customHeight="1">
      <c r="B295" s="237" t="str">
        <f>'2017 Determination - Revenue'!B$16</f>
        <v>Financial year</v>
      </c>
      <c r="C295" s="238" t="str">
        <f>'2017 Determination - Revenue'!C$28</f>
        <v>Units</v>
      </c>
      <c r="D295" s="238"/>
      <c r="E295" s="238"/>
      <c r="F295" s="194"/>
      <c r="G295" s="298" t="str">
        <f t="shared" ref="G295:J295" si="100">$H$167</f>
        <v>2020-21</v>
      </c>
      <c r="H295" s="298" t="str">
        <f t="shared" si="100"/>
        <v>2020-21</v>
      </c>
      <c r="I295" s="298" t="str">
        <f t="shared" si="100"/>
        <v>2020-21</v>
      </c>
      <c r="J295" s="298" t="str">
        <f t="shared" si="100"/>
        <v>2020-21</v>
      </c>
      <c r="K295" s="258"/>
      <c r="L295" s="193"/>
      <c r="M295" s="193"/>
      <c r="N295" s="193"/>
      <c r="O295" s="193"/>
      <c r="P295" s="193"/>
      <c r="Q295" s="256"/>
      <c r="R295" s="193"/>
    </row>
    <row r="296" spans="2:19" ht="112.5" customHeight="1">
      <c r="B296" s="273"/>
      <c r="C296" s="190"/>
      <c r="D296" s="190"/>
      <c r="E296" s="190"/>
      <c r="F296" s="274"/>
      <c r="G296" s="275" t="s">
        <v>289</v>
      </c>
      <c r="H296" s="275" t="s">
        <v>234</v>
      </c>
      <c r="I296" s="275" t="s">
        <v>236</v>
      </c>
      <c r="J296" s="275" t="s">
        <v>235</v>
      </c>
      <c r="K296" s="276" t="s">
        <v>237</v>
      </c>
      <c r="L296" s="193"/>
      <c r="M296" s="193"/>
      <c r="N296" s="193"/>
      <c r="O296" s="193"/>
      <c r="P296" s="193"/>
      <c r="Q296" s="256"/>
      <c r="R296" s="193"/>
    </row>
    <row r="297" spans="2:19">
      <c r="B297" s="209"/>
      <c r="C297" s="190"/>
      <c r="D297" s="190"/>
      <c r="E297" s="190"/>
      <c r="F297" s="274"/>
      <c r="G297" s="274" t="s">
        <v>185</v>
      </c>
      <c r="H297" s="274" t="s">
        <v>186</v>
      </c>
      <c r="I297" s="274" t="s">
        <v>187</v>
      </c>
      <c r="J297" s="274" t="s">
        <v>189</v>
      </c>
      <c r="K297" s="277" t="s">
        <v>188</v>
      </c>
      <c r="L297" s="193"/>
      <c r="M297" s="193"/>
      <c r="N297" s="193"/>
      <c r="O297" s="193"/>
      <c r="P297" s="193"/>
      <c r="Q297" s="256"/>
      <c r="R297" s="193"/>
    </row>
    <row r="298" spans="2:19" s="106" customFormat="1">
      <c r="B298" s="209"/>
      <c r="C298" s="190"/>
      <c r="D298" s="190"/>
      <c r="E298" s="190"/>
      <c r="F298" s="213"/>
      <c r="G298" s="278" t="s">
        <v>60</v>
      </c>
      <c r="H298" s="278" t="s">
        <v>60</v>
      </c>
      <c r="I298" s="278" t="s">
        <v>60</v>
      </c>
      <c r="J298" s="278" t="s">
        <v>1</v>
      </c>
      <c r="K298" s="279" t="s">
        <v>1</v>
      </c>
      <c r="L298" s="193"/>
      <c r="M298" s="193"/>
      <c r="N298" s="193"/>
      <c r="O298" s="193"/>
      <c r="P298" s="193"/>
      <c r="Q298" s="256"/>
      <c r="R298" s="193"/>
      <c r="S298" s="193"/>
    </row>
    <row r="299" spans="2:19" s="106" customFormat="1">
      <c r="B299" s="209"/>
      <c r="C299" s="190"/>
      <c r="D299" s="190"/>
      <c r="E299" s="190"/>
      <c r="F299" s="213"/>
      <c r="G299" s="213"/>
      <c r="H299" s="213"/>
      <c r="I299" s="213"/>
      <c r="J299" s="213"/>
      <c r="K299" s="234"/>
      <c r="L299" s="193"/>
      <c r="M299" s="193"/>
      <c r="N299" s="193"/>
      <c r="O299" s="193"/>
      <c r="P299" s="193"/>
      <c r="Q299" s="256"/>
      <c r="R299" s="193"/>
      <c r="S299" s="193"/>
    </row>
    <row r="300" spans="2:19" s="106" customFormat="1">
      <c r="B300" s="280" t="s">
        <v>192</v>
      </c>
      <c r="C300" s="190"/>
      <c r="D300" s="190"/>
      <c r="E300" s="190"/>
      <c r="F300" s="213"/>
      <c r="G300" s="213"/>
      <c r="H300" s="213"/>
      <c r="I300" s="213"/>
      <c r="J300" s="213"/>
      <c r="K300" s="234"/>
      <c r="L300" s="193"/>
      <c r="M300" s="193"/>
      <c r="N300" s="193"/>
      <c r="O300" s="193"/>
      <c r="P300" s="193"/>
      <c r="Q300" s="256"/>
      <c r="R300" s="193"/>
      <c r="S300" s="193"/>
    </row>
    <row r="301" spans="2:19" hidden="1" outlineLevel="1">
      <c r="B301" s="239" t="s">
        <v>80</v>
      </c>
      <c r="C301" s="190"/>
      <c r="D301" s="190"/>
      <c r="E301" s="190"/>
      <c r="F301" s="211"/>
      <c r="G301" s="211"/>
      <c r="H301" s="211"/>
      <c r="I301" s="211"/>
      <c r="J301" s="211"/>
      <c r="K301" s="234"/>
      <c r="L301" s="193"/>
      <c r="M301" s="193"/>
      <c r="N301" s="193"/>
      <c r="O301" s="193"/>
      <c r="P301" s="193"/>
      <c r="Q301" s="256"/>
      <c r="R301" s="193"/>
    </row>
    <row r="302" spans="2:19" hidden="1" outlineLevel="1">
      <c r="B302" s="209" t="str">
        <f>'2017 Determination - Revenue'!B$33</f>
        <v>Border</v>
      </c>
      <c r="C302" s="190" t="str">
        <f>'2017 Determination - Revenue'!C$33</f>
        <v>$'000</v>
      </c>
      <c r="D302" s="190"/>
      <c r="E302" s="190"/>
      <c r="F302" s="211"/>
      <c r="G302" s="193"/>
      <c r="H302" s="154">
        <f>('MDB calcs'!I21*'2017 Determination - charges'!I18)/1000</f>
        <v>805.57203754618672</v>
      </c>
      <c r="I302" s="154">
        <f>('MDB calcs'!I21*ROUND(I68,2))/1000</f>
        <v>806.31740660000003</v>
      </c>
      <c r="J302" s="227" t="s">
        <v>131</v>
      </c>
      <c r="K302" s="281" t="s">
        <v>131</v>
      </c>
      <c r="L302" s="193"/>
      <c r="M302" s="193"/>
      <c r="N302" s="193"/>
      <c r="O302" s="193"/>
      <c r="P302" s="193"/>
      <c r="Q302" s="256"/>
      <c r="R302" s="193"/>
    </row>
    <row r="303" spans="2:19" hidden="1" outlineLevel="1">
      <c r="B303" s="209" t="str">
        <f>'2017 Determination - Revenue'!B$34</f>
        <v>Gwydir</v>
      </c>
      <c r="C303" s="190" t="str">
        <f>'2017 Determination - Revenue'!C$33</f>
        <v>$'000</v>
      </c>
      <c r="D303" s="190"/>
      <c r="E303" s="190"/>
      <c r="F303" s="211"/>
      <c r="G303" s="211"/>
      <c r="H303" s="154">
        <f>('MDB calcs'!I22*'2017 Determination - charges'!I19)/1000</f>
        <v>2842.0149920900703</v>
      </c>
      <c r="I303" s="154">
        <f>('MDB calcs'!I22*ROUND(I69,2))/1000</f>
        <v>3111.74604</v>
      </c>
      <c r="J303" s="227" t="s">
        <v>131</v>
      </c>
      <c r="K303" s="281" t="s">
        <v>131</v>
      </c>
      <c r="L303" s="193"/>
      <c r="M303" s="193"/>
      <c r="N303" s="193"/>
      <c r="O303" s="193"/>
      <c r="P303" s="193"/>
      <c r="Q303" s="256"/>
      <c r="R303" s="193"/>
    </row>
    <row r="304" spans="2:19" hidden="1" outlineLevel="1">
      <c r="B304" s="209" t="str">
        <f>'2017 Determination - Revenue'!B$35</f>
        <v>Namoi</v>
      </c>
      <c r="C304" s="190" t="str">
        <f>'2017 Determination - Revenue'!C$33</f>
        <v>$'000</v>
      </c>
      <c r="D304" s="190"/>
      <c r="E304" s="190"/>
      <c r="F304" s="211"/>
      <c r="G304" s="211"/>
      <c r="H304" s="154">
        <f>('MDB calcs'!I23*'2017 Determination - charges'!I20)/1000</f>
        <v>2996.0276610244791</v>
      </c>
      <c r="I304" s="154">
        <f>('MDB calcs'!I23*ROUND(I70,2))/1000</f>
        <v>3293.8476033449997</v>
      </c>
      <c r="J304" s="227" t="s">
        <v>131</v>
      </c>
      <c r="K304" s="281" t="s">
        <v>131</v>
      </c>
      <c r="L304" s="193"/>
      <c r="M304" s="193"/>
      <c r="N304" s="193"/>
      <c r="O304" s="193"/>
      <c r="P304" s="193"/>
      <c r="Q304" s="256"/>
      <c r="R304" s="193"/>
    </row>
    <row r="305" spans="2:18" hidden="1" outlineLevel="1">
      <c r="B305" s="209" t="str">
        <f>'2017 Determination - Revenue'!B$36</f>
        <v>Peel</v>
      </c>
      <c r="C305" s="190" t="str">
        <f>'2017 Determination - Revenue'!C$33</f>
        <v>$'000</v>
      </c>
      <c r="D305" s="190"/>
      <c r="E305" s="190"/>
      <c r="F305" s="211"/>
      <c r="G305" s="211"/>
      <c r="H305" s="154">
        <f>('MDB calcs'!I24*'2017 Determination - charges'!I21)/1000</f>
        <v>232.96816213466096</v>
      </c>
      <c r="I305" s="154">
        <f>('MDB calcs'!I24*ROUND(I71,2))/1000</f>
        <v>211.10052288000003</v>
      </c>
      <c r="J305" s="227" t="s">
        <v>131</v>
      </c>
      <c r="K305" s="281" t="s">
        <v>131</v>
      </c>
      <c r="L305" s="193"/>
      <c r="M305" s="193"/>
      <c r="N305" s="193"/>
      <c r="O305" s="193"/>
      <c r="P305" s="193"/>
      <c r="Q305" s="256"/>
      <c r="R305" s="193"/>
    </row>
    <row r="306" spans="2:18" hidden="1" outlineLevel="1">
      <c r="B306" s="209" t="str">
        <f>'2017 Determination - Revenue'!B$37</f>
        <v>Lachlan</v>
      </c>
      <c r="C306" s="190" t="str">
        <f>'2017 Determination - Revenue'!C$33</f>
        <v>$'000</v>
      </c>
      <c r="D306" s="190"/>
      <c r="E306" s="190"/>
      <c r="F306" s="211"/>
      <c r="G306" s="211"/>
      <c r="H306" s="154">
        <f>('MDB calcs'!I25*'2017 Determination - charges'!I22)/1000</f>
        <v>3640.404749827564</v>
      </c>
      <c r="I306" s="154">
        <f>('MDB calcs'!I25*ROUND(I72,2))/1000</f>
        <v>3921.8082259299999</v>
      </c>
      <c r="J306" s="227" t="s">
        <v>131</v>
      </c>
      <c r="K306" s="281" t="s">
        <v>131</v>
      </c>
      <c r="L306" s="193"/>
      <c r="M306" s="193"/>
      <c r="N306" s="193"/>
      <c r="O306" s="193"/>
      <c r="P306" s="193"/>
      <c r="Q306" s="256"/>
      <c r="R306" s="193"/>
    </row>
    <row r="307" spans="2:18" hidden="1" outlineLevel="1">
      <c r="B307" s="209" t="str">
        <f>'2017 Determination - Revenue'!B$38</f>
        <v>Macquarie</v>
      </c>
      <c r="C307" s="190" t="str">
        <f>'2017 Determination - Revenue'!C$33</f>
        <v>$'000</v>
      </c>
      <c r="D307" s="190"/>
      <c r="E307" s="190"/>
      <c r="F307" s="211"/>
      <c r="G307" s="211"/>
      <c r="H307" s="154">
        <f>('MDB calcs'!I26*'2017 Determination - charges'!I23)/1000</f>
        <v>3432.8744048560252</v>
      </c>
      <c r="I307" s="154">
        <f>('MDB calcs'!I26*ROUND(I73,2))/1000</f>
        <v>3571.2567734399995</v>
      </c>
      <c r="J307" s="227" t="s">
        <v>131</v>
      </c>
      <c r="K307" s="281" t="s">
        <v>131</v>
      </c>
      <c r="L307" s="193"/>
      <c r="M307" s="193"/>
      <c r="N307" s="193"/>
      <c r="O307" s="193"/>
      <c r="P307" s="193"/>
      <c r="Q307" s="256"/>
      <c r="R307" s="193"/>
    </row>
    <row r="308" spans="2:18" hidden="1" outlineLevel="1">
      <c r="B308" s="209" t="str">
        <f>'2017 Determination - Revenue'!B$39</f>
        <v>Murray</v>
      </c>
      <c r="C308" s="190" t="str">
        <f>'2017 Determination - Revenue'!C$33</f>
        <v>$'000</v>
      </c>
      <c r="D308" s="190"/>
      <c r="E308" s="190"/>
      <c r="F308" s="211"/>
      <c r="G308" s="211"/>
      <c r="H308" s="154">
        <f>('MDB calcs'!I27*'2017 Determination - charges'!I24)/1000</f>
        <v>2713.2750091558792</v>
      </c>
      <c r="I308" s="154">
        <f>('MDB calcs'!I27*ROUND(I74,2))/1000</f>
        <v>2975.3515108307697</v>
      </c>
      <c r="J308" s="227" t="s">
        <v>131</v>
      </c>
      <c r="K308" s="281" t="s">
        <v>131</v>
      </c>
      <c r="L308" s="193"/>
      <c r="M308" s="193"/>
      <c r="N308" s="193"/>
      <c r="O308" s="193"/>
      <c r="P308" s="193"/>
      <c r="Q308" s="256"/>
      <c r="R308" s="193"/>
    </row>
    <row r="309" spans="2:18" hidden="1" outlineLevel="1">
      <c r="B309" s="209" t="str">
        <f>'2017 Determination - Revenue'!B$40</f>
        <v>Murrumbidgee</v>
      </c>
      <c r="C309" s="190" t="str">
        <f>'2017 Determination - Revenue'!C$33</f>
        <v>$'000</v>
      </c>
      <c r="D309" s="190"/>
      <c r="E309" s="190"/>
      <c r="F309" s="211"/>
      <c r="G309" s="211"/>
      <c r="H309" s="154">
        <f>('MDB calcs'!I28*'2017 Determination - charges'!I25)/1000</f>
        <v>5275.2261180780461</v>
      </c>
      <c r="I309" s="154">
        <f>('MDB calcs'!I28*ROUND(I75,2))/1000</f>
        <v>5743.1873949230767</v>
      </c>
      <c r="J309" s="227" t="s">
        <v>131</v>
      </c>
      <c r="K309" s="281" t="s">
        <v>131</v>
      </c>
      <c r="L309" s="193"/>
      <c r="M309" s="193"/>
      <c r="N309" s="193"/>
      <c r="O309" s="193"/>
      <c r="P309" s="193"/>
      <c r="Q309" s="256"/>
      <c r="R309" s="193"/>
    </row>
    <row r="310" spans="2:18" hidden="1" outlineLevel="1">
      <c r="B310" s="209" t="str">
        <f>'2017 Determination - Revenue'!B$41</f>
        <v>Lowbidgee</v>
      </c>
      <c r="C310" s="190" t="str">
        <f>'2017 Determination - Revenue'!C$33</f>
        <v>$'000</v>
      </c>
      <c r="D310" s="190"/>
      <c r="E310" s="190"/>
      <c r="F310" s="211"/>
      <c r="G310" s="211"/>
      <c r="H310" s="154">
        <f>('MDB calcs'!I29*'2017 Determination - charges'!I26)/1000</f>
        <v>0</v>
      </c>
      <c r="I310" s="154">
        <f>('MDB calcs'!I29*ROUND(I76,2))/1000</f>
        <v>0</v>
      </c>
      <c r="J310" s="227" t="s">
        <v>131</v>
      </c>
      <c r="K310" s="281" t="s">
        <v>131</v>
      </c>
      <c r="L310" s="193"/>
      <c r="M310" s="193"/>
      <c r="N310" s="193"/>
      <c r="O310" s="193"/>
      <c r="P310" s="193"/>
      <c r="Q310" s="256"/>
      <c r="R310" s="193"/>
    </row>
    <row r="311" spans="2:18" hidden="1" outlineLevel="1">
      <c r="B311" s="209"/>
      <c r="C311" s="190"/>
      <c r="D311" s="190"/>
      <c r="E311" s="190"/>
      <c r="F311" s="211"/>
      <c r="G311" s="211"/>
      <c r="H311" s="211"/>
      <c r="I311" s="211"/>
      <c r="J311" s="211"/>
      <c r="K311" s="234"/>
      <c r="L311" s="193"/>
      <c r="M311" s="193"/>
      <c r="N311" s="193"/>
      <c r="O311" s="193"/>
      <c r="P311" s="193"/>
      <c r="Q311" s="256"/>
      <c r="R311" s="193"/>
    </row>
    <row r="312" spans="2:18" hidden="1" outlineLevel="1">
      <c r="B312" s="239" t="s">
        <v>81</v>
      </c>
      <c r="C312" s="190"/>
      <c r="D312" s="190"/>
      <c r="E312" s="190"/>
      <c r="F312" s="211"/>
      <c r="G312" s="211"/>
      <c r="H312" s="211"/>
      <c r="I312" s="211"/>
      <c r="J312" s="211"/>
      <c r="K312" s="234"/>
      <c r="L312" s="193"/>
      <c r="M312" s="193"/>
      <c r="N312" s="193"/>
      <c r="O312" s="193"/>
      <c r="P312" s="193"/>
      <c r="Q312" s="256"/>
      <c r="R312" s="193"/>
    </row>
    <row r="313" spans="2:18" hidden="1" outlineLevel="1">
      <c r="B313" s="209" t="str">
        <f>'2017 Determination - Revenue'!B$33</f>
        <v>Border</v>
      </c>
      <c r="C313" s="190" t="str">
        <f>'2017 Determination - Revenue'!C$33</f>
        <v>$'000</v>
      </c>
      <c r="D313" s="190"/>
      <c r="E313" s="190"/>
      <c r="F313" s="211"/>
      <c r="G313" s="211"/>
      <c r="H313" s="154">
        <f>('MDB calcs'!I33*'2017 Determination - charges'!I35)/1000</f>
        <v>520.87386648750987</v>
      </c>
      <c r="I313" s="154">
        <f>('MDB calcs'!I33*ROUND(I79,2))/1000</f>
        <v>521.17164000000002</v>
      </c>
      <c r="J313" s="227" t="s">
        <v>131</v>
      </c>
      <c r="K313" s="281" t="s">
        <v>131</v>
      </c>
      <c r="L313" s="193"/>
      <c r="M313" s="193"/>
      <c r="N313" s="193"/>
      <c r="O313" s="193"/>
      <c r="P313" s="193"/>
      <c r="Q313" s="256"/>
      <c r="R313" s="193"/>
    </row>
    <row r="314" spans="2:18" hidden="1" outlineLevel="1">
      <c r="B314" s="209" t="str">
        <f>'2017 Determination - Revenue'!B$34</f>
        <v>Gwydir</v>
      </c>
      <c r="C314" s="190" t="str">
        <f>'2017 Determination - Revenue'!C$33</f>
        <v>$'000</v>
      </c>
      <c r="D314" s="190"/>
      <c r="E314" s="190"/>
      <c r="F314" s="211"/>
      <c r="G314" s="211"/>
      <c r="H314" s="154">
        <f>('MDB calcs'!I34*'2017 Determination - charges'!I36)/1000</f>
        <v>1773.5564673140316</v>
      </c>
      <c r="I314" s="154">
        <f>('MDB calcs'!I34*ROUND(I80,2))/1000</f>
        <v>1686.9911500000001</v>
      </c>
      <c r="J314" s="227" t="s">
        <v>131</v>
      </c>
      <c r="K314" s="281" t="s">
        <v>131</v>
      </c>
      <c r="L314" s="193"/>
      <c r="M314" s="193"/>
      <c r="N314" s="193"/>
      <c r="O314" s="193"/>
      <c r="P314" s="193"/>
      <c r="Q314" s="256"/>
      <c r="R314" s="193"/>
    </row>
    <row r="315" spans="2:18" hidden="1" outlineLevel="1">
      <c r="B315" s="209" t="str">
        <f>'2017 Determination - Revenue'!B$35</f>
        <v>Namoi</v>
      </c>
      <c r="C315" s="190" t="str">
        <f>'2017 Determination - Revenue'!C$33</f>
        <v>$'000</v>
      </c>
      <c r="D315" s="190"/>
      <c r="E315" s="190"/>
      <c r="F315" s="211"/>
      <c r="G315" s="211"/>
      <c r="H315" s="154">
        <f>('MDB calcs'!I35*'2017 Determination - charges'!I37)/1000</f>
        <v>2041.2909186267086</v>
      </c>
      <c r="I315" s="154">
        <f>('MDB calcs'!I35*ROUND(I81,2))/1000</f>
        <v>1993.2303299999999</v>
      </c>
      <c r="J315" s="227" t="s">
        <v>131</v>
      </c>
      <c r="K315" s="281" t="s">
        <v>131</v>
      </c>
      <c r="L315" s="193"/>
      <c r="M315" s="193"/>
      <c r="N315" s="193"/>
      <c r="O315" s="193"/>
      <c r="P315" s="193"/>
      <c r="Q315" s="256"/>
      <c r="R315" s="193"/>
    </row>
    <row r="316" spans="2:18" hidden="1" outlineLevel="1">
      <c r="B316" s="209" t="str">
        <f>'2017 Determination - Revenue'!B$36</f>
        <v>Peel</v>
      </c>
      <c r="C316" s="190" t="str">
        <f>'2017 Determination - Revenue'!C$33</f>
        <v>$'000</v>
      </c>
      <c r="D316" s="190"/>
      <c r="E316" s="190"/>
      <c r="F316" s="211"/>
      <c r="G316" s="211"/>
      <c r="H316" s="154">
        <f>('MDB calcs'!I36*'2017 Determination - charges'!I38)/1000</f>
        <v>119.06385407500869</v>
      </c>
      <c r="I316" s="154">
        <f>('MDB calcs'!I36*ROUND(I82,2))/1000</f>
        <v>117.65095000000001</v>
      </c>
      <c r="J316" s="227" t="s">
        <v>131</v>
      </c>
      <c r="K316" s="281" t="s">
        <v>131</v>
      </c>
      <c r="L316" s="193"/>
      <c r="M316" s="193"/>
      <c r="N316" s="193"/>
      <c r="O316" s="193"/>
      <c r="P316" s="193"/>
      <c r="Q316" s="256"/>
      <c r="R316" s="193"/>
    </row>
    <row r="317" spans="2:18" hidden="1" outlineLevel="1">
      <c r="B317" s="209" t="str">
        <f>'2017 Determination - Revenue'!B$37</f>
        <v>Lachlan</v>
      </c>
      <c r="C317" s="190" t="str">
        <f>'2017 Determination - Revenue'!C$33</f>
        <v>$'000</v>
      </c>
      <c r="D317" s="190"/>
      <c r="E317" s="190"/>
      <c r="F317" s="211"/>
      <c r="G317" s="211"/>
      <c r="H317" s="154">
        <f>('MDB calcs'!I37*'2017 Determination - charges'!I39)/1000</f>
        <v>1728.2110742741156</v>
      </c>
      <c r="I317" s="154">
        <f>('MDB calcs'!I37*ROUND(I83,2))/1000</f>
        <v>1620.9049600000001</v>
      </c>
      <c r="J317" s="227" t="s">
        <v>131</v>
      </c>
      <c r="K317" s="281" t="s">
        <v>131</v>
      </c>
      <c r="L317" s="193"/>
      <c r="M317" s="193"/>
      <c r="N317" s="193"/>
      <c r="O317" s="193"/>
      <c r="P317" s="193"/>
      <c r="Q317" s="256"/>
      <c r="R317" s="193"/>
    </row>
    <row r="318" spans="2:18" hidden="1" outlineLevel="1">
      <c r="B318" s="209" t="str">
        <f>'2017 Determination - Revenue'!B$38</f>
        <v>Macquarie</v>
      </c>
      <c r="C318" s="190" t="str">
        <f>'2017 Determination - Revenue'!C$33</f>
        <v>$'000</v>
      </c>
      <c r="D318" s="190"/>
      <c r="E318" s="190"/>
      <c r="F318" s="211"/>
      <c r="G318" s="211"/>
      <c r="H318" s="154">
        <f>('MDB calcs'!I38*'2017 Determination - charges'!I40)/1000</f>
        <v>1800.4922890674561</v>
      </c>
      <c r="I318" s="154">
        <f>('MDB calcs'!I38*ROUND(I84,2))/1000</f>
        <v>1764.58014</v>
      </c>
      <c r="J318" s="227" t="s">
        <v>131</v>
      </c>
      <c r="K318" s="281" t="s">
        <v>131</v>
      </c>
      <c r="L318" s="193"/>
      <c r="M318" s="193"/>
      <c r="N318" s="193"/>
      <c r="O318" s="193"/>
      <c r="P318" s="193"/>
      <c r="Q318" s="256"/>
      <c r="R318" s="193"/>
    </row>
    <row r="319" spans="2:18" hidden="1" outlineLevel="1">
      <c r="B319" s="209" t="str">
        <f>'2017 Determination - Revenue'!B$39</f>
        <v>Murray</v>
      </c>
      <c r="C319" s="190" t="str">
        <f>'2017 Determination - Revenue'!C$33</f>
        <v>$'000</v>
      </c>
      <c r="D319" s="190"/>
      <c r="E319" s="190"/>
      <c r="F319" s="211"/>
      <c r="G319" s="211"/>
      <c r="H319" s="154">
        <f>('MDB calcs'!I39*'2017 Determination - charges'!I41)/1000</f>
        <v>1570.6004195957664</v>
      </c>
      <c r="I319" s="154">
        <f>('MDB calcs'!I39*ROUND(I85,2))/1000</f>
        <v>1541.8662199999999</v>
      </c>
      <c r="J319" s="227" t="s">
        <v>131</v>
      </c>
      <c r="K319" s="281" t="s">
        <v>131</v>
      </c>
      <c r="L319" s="193"/>
      <c r="M319" s="193"/>
      <c r="N319" s="193"/>
      <c r="O319" s="193"/>
      <c r="P319" s="193"/>
      <c r="Q319" s="256"/>
      <c r="R319" s="193"/>
    </row>
    <row r="320" spans="2:18" hidden="1" outlineLevel="1">
      <c r="B320" s="209" t="str">
        <f>'2017 Determination - Revenue'!B$40</f>
        <v>Murrumbidgee</v>
      </c>
      <c r="C320" s="190" t="str">
        <f>'2017 Determination - Revenue'!C$33</f>
        <v>$'000</v>
      </c>
      <c r="D320" s="190"/>
      <c r="E320" s="190"/>
      <c r="F320" s="211"/>
      <c r="G320" s="211"/>
      <c r="H320" s="154">
        <f>('MDB calcs'!I40*'2017 Determination - charges'!I42)/1000</f>
        <v>2527.6329210145964</v>
      </c>
      <c r="I320" s="154">
        <f>('MDB calcs'!I40*ROUND(I86,2))/1000</f>
        <v>2449.40004</v>
      </c>
      <c r="J320" s="227" t="s">
        <v>131</v>
      </c>
      <c r="K320" s="281" t="s">
        <v>131</v>
      </c>
      <c r="L320" s="193"/>
      <c r="M320" s="193"/>
      <c r="N320" s="193"/>
      <c r="O320" s="193"/>
      <c r="P320" s="193"/>
      <c r="Q320" s="256"/>
      <c r="R320" s="193"/>
    </row>
    <row r="321" spans="2:18" hidden="1" outlineLevel="1">
      <c r="B321" s="209" t="str">
        <f>'2017 Determination - Revenue'!B$41</f>
        <v>Lowbidgee</v>
      </c>
      <c r="C321" s="190" t="str">
        <f>'2017 Determination - Revenue'!C$33</f>
        <v>$'000</v>
      </c>
      <c r="D321" s="190"/>
      <c r="E321" s="190"/>
      <c r="F321" s="211"/>
      <c r="G321" s="211"/>
      <c r="H321" s="154">
        <f>('MDB calcs'!I41*'2017 Determination - charges'!I43)/1000</f>
        <v>585.01639329709701</v>
      </c>
      <c r="I321" s="154">
        <f>('MDB calcs'!I41*ROUND(I87,2))/1000</f>
        <v>582.66</v>
      </c>
      <c r="J321" s="227" t="s">
        <v>131</v>
      </c>
      <c r="K321" s="281" t="s">
        <v>131</v>
      </c>
      <c r="L321" s="193"/>
      <c r="M321" s="193"/>
      <c r="N321" s="193"/>
      <c r="O321" s="193"/>
      <c r="P321" s="193"/>
      <c r="Q321" s="256"/>
      <c r="R321" s="193"/>
    </row>
    <row r="322" spans="2:18" hidden="1" outlineLevel="1">
      <c r="B322" s="209"/>
      <c r="C322" s="190"/>
      <c r="D322" s="190"/>
      <c r="E322" s="190"/>
      <c r="F322" s="211"/>
      <c r="G322" s="211"/>
      <c r="H322" s="154"/>
      <c r="I322" s="154"/>
      <c r="J322" s="211"/>
      <c r="K322" s="234"/>
      <c r="L322" s="193"/>
      <c r="M322" s="193"/>
      <c r="N322" s="193"/>
      <c r="O322" s="193"/>
      <c r="P322" s="193"/>
      <c r="Q322" s="256"/>
      <c r="R322" s="193"/>
    </row>
    <row r="323" spans="2:18" hidden="1" outlineLevel="1">
      <c r="B323" s="239" t="s">
        <v>82</v>
      </c>
      <c r="C323" s="190"/>
      <c r="D323" s="190"/>
      <c r="E323" s="190"/>
      <c r="F323" s="211"/>
      <c r="G323" s="211"/>
      <c r="H323" s="154"/>
      <c r="I323" s="154"/>
      <c r="J323" s="211"/>
      <c r="K323" s="234"/>
      <c r="L323" s="193"/>
      <c r="M323" s="193"/>
      <c r="N323" s="193"/>
      <c r="O323" s="193"/>
      <c r="P323" s="193"/>
      <c r="Q323" s="256"/>
      <c r="R323" s="193"/>
    </row>
    <row r="324" spans="2:18" hidden="1" outlineLevel="1">
      <c r="B324" s="209" t="str">
        <f>'2017 Determination - Revenue'!B$33</f>
        <v>Border</v>
      </c>
      <c r="C324" s="190" t="str">
        <f>'2017 Determination - Revenue'!C$33</f>
        <v>$'000</v>
      </c>
      <c r="D324" s="190"/>
      <c r="E324" s="190"/>
      <c r="F324" s="211"/>
      <c r="G324" s="211"/>
      <c r="H324" s="154">
        <f>('MDB calcs'!I45*'2017 Determination - charges'!I52)/1000</f>
        <v>16.741529999999997</v>
      </c>
      <c r="I324" s="154">
        <f>('MDB calcs'!I45*ROUND(I90,2))/1000</f>
        <v>16.961400000000001</v>
      </c>
      <c r="J324" s="227" t="s">
        <v>131</v>
      </c>
      <c r="K324" s="281" t="s">
        <v>131</v>
      </c>
      <c r="L324" s="193"/>
      <c r="M324" s="193"/>
      <c r="N324" s="193"/>
      <c r="O324" s="193"/>
      <c r="P324" s="193"/>
      <c r="Q324" s="256"/>
      <c r="R324" s="193"/>
    </row>
    <row r="325" spans="2:18" hidden="1" outlineLevel="1">
      <c r="B325" s="209" t="str">
        <f>'2017 Determination - Revenue'!B$34</f>
        <v>Gwydir</v>
      </c>
      <c r="C325" s="190" t="str">
        <f>'2017 Determination - Revenue'!C$33</f>
        <v>$'000</v>
      </c>
      <c r="D325" s="190"/>
      <c r="E325" s="190"/>
      <c r="F325" s="211"/>
      <c r="G325" s="211"/>
      <c r="H325" s="154">
        <f>('MDB calcs'!I46*'2017 Determination - charges'!I53)/1000</f>
        <v>298.30712730204215</v>
      </c>
      <c r="I325" s="154">
        <f>('MDB calcs'!I46*ROUND(I91,2))/1000</f>
        <v>384.14839999999998</v>
      </c>
      <c r="J325" s="227" t="s">
        <v>131</v>
      </c>
      <c r="K325" s="281" t="s">
        <v>131</v>
      </c>
      <c r="L325" s="193"/>
      <c r="M325" s="193"/>
      <c r="N325" s="193"/>
      <c r="O325" s="193"/>
      <c r="P325" s="193"/>
      <c r="Q325" s="256"/>
      <c r="R325" s="193"/>
    </row>
    <row r="326" spans="2:18" hidden="1" outlineLevel="1">
      <c r="B326" s="209" t="str">
        <f>'2017 Determination - Revenue'!B$35</f>
        <v>Namoi</v>
      </c>
      <c r="C326" s="190" t="str">
        <f>'2017 Determination - Revenue'!C$33</f>
        <v>$'000</v>
      </c>
      <c r="D326" s="190"/>
      <c r="E326" s="190"/>
      <c r="F326" s="211"/>
      <c r="G326" s="211"/>
      <c r="H326" s="154">
        <f>('MDB calcs'!I47*'2017 Determination - charges'!I54)/1000</f>
        <v>151.42069589130071</v>
      </c>
      <c r="I326" s="154">
        <f>('MDB calcs'!I47*ROUND(I92,2))/1000</f>
        <v>197.35715999999999</v>
      </c>
      <c r="J326" s="227" t="s">
        <v>131</v>
      </c>
      <c r="K326" s="281" t="s">
        <v>131</v>
      </c>
      <c r="L326" s="193"/>
      <c r="M326" s="193"/>
      <c r="N326" s="193"/>
      <c r="O326" s="193"/>
      <c r="P326" s="193"/>
      <c r="Q326" s="256"/>
      <c r="R326" s="193"/>
    </row>
    <row r="327" spans="2:18" hidden="1" outlineLevel="1">
      <c r="B327" s="209" t="str">
        <f>'2017 Determination - Revenue'!B$36</f>
        <v>Peel</v>
      </c>
      <c r="C327" s="190" t="str">
        <f>'2017 Determination - Revenue'!C$33</f>
        <v>$'000</v>
      </c>
      <c r="D327" s="190"/>
      <c r="E327" s="190"/>
      <c r="F327" s="211"/>
      <c r="G327" s="211"/>
      <c r="H327" s="154">
        <f>('MDB calcs'!I48*'2017 Determination - charges'!I55)/1000</f>
        <v>721.90976564766515</v>
      </c>
      <c r="I327" s="154">
        <f>('MDB calcs'!I48*ROUND(I93,2))/1000</f>
        <v>726.63528000000008</v>
      </c>
      <c r="J327" s="227" t="s">
        <v>131</v>
      </c>
      <c r="K327" s="281" t="s">
        <v>131</v>
      </c>
      <c r="L327" s="193"/>
      <c r="M327" s="193"/>
      <c r="N327" s="193"/>
      <c r="O327" s="193"/>
      <c r="P327" s="193"/>
      <c r="Q327" s="256"/>
      <c r="R327" s="193"/>
    </row>
    <row r="328" spans="2:18" hidden="1" outlineLevel="1">
      <c r="B328" s="209" t="str">
        <f>'2017 Determination - Revenue'!B$37</f>
        <v>Lachlan</v>
      </c>
      <c r="C328" s="190" t="str">
        <f>'2017 Determination - Revenue'!C$33</f>
        <v>$'000</v>
      </c>
      <c r="D328" s="190"/>
      <c r="E328" s="190"/>
      <c r="F328" s="211"/>
      <c r="G328" s="211"/>
      <c r="H328" s="154">
        <f>('MDB calcs'!I49*'2017 Determination - charges'!I56)/1000</f>
        <v>880.48479511174764</v>
      </c>
      <c r="I328" s="154">
        <f>('MDB calcs'!I49*ROUND(I94,2))/1000</f>
        <v>990.45960000000014</v>
      </c>
      <c r="J328" s="227" t="s">
        <v>131</v>
      </c>
      <c r="K328" s="281" t="s">
        <v>131</v>
      </c>
      <c r="L328" s="193"/>
      <c r="M328" s="193"/>
      <c r="N328" s="193"/>
      <c r="O328" s="193"/>
      <c r="P328" s="193"/>
      <c r="Q328" s="256"/>
      <c r="R328" s="193"/>
    </row>
    <row r="329" spans="2:18" hidden="1" outlineLevel="1">
      <c r="B329" s="209" t="str">
        <f>'2017 Determination - Revenue'!B$38</f>
        <v>Macquarie</v>
      </c>
      <c r="C329" s="190" t="str">
        <f>'2017 Determination - Revenue'!C$33</f>
        <v>$'000</v>
      </c>
      <c r="D329" s="190"/>
      <c r="E329" s="190"/>
      <c r="F329" s="211"/>
      <c r="G329" s="211"/>
      <c r="H329" s="154">
        <f>('MDB calcs'!I50*'2017 Determination - charges'!I57)/1000</f>
        <v>576.93309046506226</v>
      </c>
      <c r="I329" s="154">
        <f>('MDB calcs'!I50*ROUND(I95,2))/1000</f>
        <v>610.05439000000001</v>
      </c>
      <c r="J329" s="227" t="s">
        <v>131</v>
      </c>
      <c r="K329" s="281" t="s">
        <v>131</v>
      </c>
      <c r="L329" s="193"/>
      <c r="M329" s="193"/>
      <c r="N329" s="193"/>
      <c r="O329" s="193"/>
      <c r="P329" s="193"/>
      <c r="Q329" s="256"/>
      <c r="R329" s="193"/>
    </row>
    <row r="330" spans="2:18" hidden="1" outlineLevel="1">
      <c r="B330" s="209" t="str">
        <f>'2017 Determination - Revenue'!B$39</f>
        <v>Murray</v>
      </c>
      <c r="C330" s="190" t="str">
        <f>'2017 Determination - Revenue'!C$33</f>
        <v>$'000</v>
      </c>
      <c r="D330" s="190"/>
      <c r="E330" s="190"/>
      <c r="F330" s="211"/>
      <c r="G330" s="211"/>
      <c r="H330" s="154">
        <f>('MDB calcs'!I51*'2017 Determination - charges'!I58)/1000</f>
        <v>405.30888191929341</v>
      </c>
      <c r="I330" s="154">
        <f>('MDB calcs'!I51*ROUND(I96,2))/1000</f>
        <v>440.17025000000001</v>
      </c>
      <c r="J330" s="227" t="s">
        <v>131</v>
      </c>
      <c r="K330" s="281" t="s">
        <v>131</v>
      </c>
      <c r="L330" s="193"/>
      <c r="M330" s="193"/>
      <c r="N330" s="193"/>
      <c r="O330" s="193"/>
      <c r="P330" s="193"/>
      <c r="Q330" s="256"/>
      <c r="R330" s="193"/>
    </row>
    <row r="331" spans="2:18" hidden="1" outlineLevel="1">
      <c r="B331" s="209" t="str">
        <f>'2017 Determination - Revenue'!B$40</f>
        <v>Murrumbidgee</v>
      </c>
      <c r="C331" s="190" t="str">
        <f>'2017 Determination - Revenue'!C$33</f>
        <v>$'000</v>
      </c>
      <c r="D331" s="190"/>
      <c r="E331" s="190"/>
      <c r="F331" s="211"/>
      <c r="G331" s="211"/>
      <c r="H331" s="154">
        <f>('MDB calcs'!I52*'2017 Determination - charges'!I59)/1000</f>
        <v>1294.5029119376584</v>
      </c>
      <c r="I331" s="154">
        <f>('MDB calcs'!I52*ROUND(I97,2))/1000</f>
        <v>1376.3499200000001</v>
      </c>
      <c r="J331" s="227" t="s">
        <v>131</v>
      </c>
      <c r="K331" s="281" t="s">
        <v>131</v>
      </c>
      <c r="L331" s="193"/>
      <c r="M331" s="193"/>
      <c r="N331" s="193"/>
      <c r="O331" s="193"/>
      <c r="P331" s="193"/>
      <c r="Q331" s="256"/>
      <c r="R331" s="193"/>
    </row>
    <row r="332" spans="2:18" hidden="1" outlineLevel="1">
      <c r="B332" s="209" t="str">
        <f>'2017 Determination - Revenue'!B$41</f>
        <v>Lowbidgee</v>
      </c>
      <c r="C332" s="190" t="str">
        <f>'2017 Determination - Revenue'!C$33</f>
        <v>$'000</v>
      </c>
      <c r="D332" s="190"/>
      <c r="E332" s="190"/>
      <c r="F332" s="211"/>
      <c r="G332" s="211"/>
      <c r="H332" s="154">
        <f>('MDB calcs'!I53*'2017 Determination - charges'!I60)/1000</f>
        <v>0</v>
      </c>
      <c r="I332" s="154">
        <f>('MDB calcs'!I53*ROUND(I98,2))/1000</f>
        <v>0</v>
      </c>
      <c r="J332" s="227" t="s">
        <v>131</v>
      </c>
      <c r="K332" s="281" t="s">
        <v>131</v>
      </c>
      <c r="L332" s="193"/>
      <c r="M332" s="193"/>
      <c r="N332" s="193"/>
      <c r="O332" s="193"/>
      <c r="P332" s="193"/>
      <c r="Q332" s="256"/>
      <c r="R332" s="193"/>
    </row>
    <row r="333" spans="2:18" hidden="1" outlineLevel="1">
      <c r="B333" s="209"/>
      <c r="C333" s="190"/>
      <c r="D333" s="190"/>
      <c r="E333" s="190"/>
      <c r="F333" s="211"/>
      <c r="G333" s="211"/>
      <c r="H333" s="154"/>
      <c r="I333" s="154"/>
      <c r="J333" s="211"/>
      <c r="K333" s="234"/>
      <c r="L333" s="193"/>
      <c r="M333" s="193"/>
      <c r="N333" s="193"/>
      <c r="O333" s="193"/>
      <c r="P333" s="193"/>
      <c r="Q333" s="256"/>
      <c r="R333" s="193"/>
    </row>
    <row r="334" spans="2:18" hidden="1" outlineLevel="1">
      <c r="B334" s="209"/>
      <c r="C334" s="190"/>
      <c r="D334" s="190"/>
      <c r="E334" s="190"/>
      <c r="F334" s="211"/>
      <c r="G334" s="211"/>
      <c r="H334" s="154"/>
      <c r="I334" s="154"/>
      <c r="J334" s="211"/>
      <c r="K334" s="234"/>
      <c r="L334" s="193"/>
      <c r="M334" s="193"/>
      <c r="N334" s="193"/>
      <c r="O334" s="193"/>
      <c r="P334" s="193"/>
      <c r="Q334" s="256"/>
      <c r="R334" s="193"/>
    </row>
    <row r="335" spans="2:18" collapsed="1">
      <c r="B335" s="239" t="s">
        <v>190</v>
      </c>
      <c r="C335" s="190"/>
      <c r="D335" s="190"/>
      <c r="E335" s="190"/>
      <c r="F335" s="211"/>
      <c r="G335" s="211"/>
      <c r="H335" s="154"/>
      <c r="I335" s="154"/>
      <c r="J335" s="211"/>
      <c r="K335" s="282"/>
      <c r="L335" s="193"/>
      <c r="M335" s="193"/>
      <c r="N335" s="193"/>
      <c r="O335" s="193"/>
      <c r="P335" s="193"/>
      <c r="Q335" s="256"/>
      <c r="R335" s="193"/>
    </row>
    <row r="336" spans="2:18">
      <c r="B336" s="209" t="str">
        <f>'2017 Determination - Revenue'!B$33</f>
        <v>Border</v>
      </c>
      <c r="C336" s="190" t="str">
        <f>'2017 Determination - Revenue'!C$33</f>
        <v>$'000</v>
      </c>
      <c r="D336" s="190"/>
      <c r="E336" s="190"/>
      <c r="F336" s="223"/>
      <c r="G336" s="225">
        <f>'2017 Determination - Revenue'!I33</f>
        <v>1344.7697650285472</v>
      </c>
      <c r="H336" s="225">
        <f>H302+H313+H324</f>
        <v>1343.1874340336965</v>
      </c>
      <c r="I336" s="225">
        <f>I302+I313+I324</f>
        <v>1344.4504466000001</v>
      </c>
      <c r="J336" s="223">
        <f>H336/G336-1</f>
        <v>-1.1766556893232361E-3</v>
      </c>
      <c r="K336" s="282">
        <f>I336/G336-1</f>
        <v>-2.3745211771653008E-4</v>
      </c>
      <c r="L336" s="193"/>
      <c r="M336" s="193"/>
      <c r="N336" s="193"/>
      <c r="O336" s="193"/>
      <c r="P336" s="193"/>
      <c r="Q336" s="256"/>
      <c r="R336" s="193"/>
    </row>
    <row r="337" spans="2:19">
      <c r="B337" s="209" t="str">
        <f>'2017 Determination - Revenue'!B$34</f>
        <v>Gwydir</v>
      </c>
      <c r="C337" s="190" t="str">
        <f>'2017 Determination - Revenue'!C$33</f>
        <v>$'000</v>
      </c>
      <c r="D337" s="190"/>
      <c r="E337" s="190"/>
      <c r="F337" s="223"/>
      <c r="G337" s="225">
        <f>'2017 Determination - Revenue'!I34</f>
        <v>5187.1886948974634</v>
      </c>
      <c r="H337" s="225">
        <f t="shared" ref="H337:H344" si="101">H303+H314+H325</f>
        <v>4913.8785867061442</v>
      </c>
      <c r="I337" s="225">
        <f t="shared" ref="I337:I344" si="102">I303+I314+I325</f>
        <v>5182.8855899999999</v>
      </c>
      <c r="J337" s="223">
        <f>H337/G337-1</f>
        <v>-5.2689447842946047E-2</v>
      </c>
      <c r="K337" s="282">
        <f t="shared" ref="K337:K369" si="103">I337/G337-1</f>
        <v>-8.2956397975197937E-4</v>
      </c>
      <c r="L337" s="193"/>
      <c r="M337" s="193"/>
      <c r="N337" s="193"/>
      <c r="O337" s="193"/>
      <c r="P337" s="193"/>
      <c r="Q337" s="256"/>
      <c r="R337" s="193"/>
    </row>
    <row r="338" spans="2:19">
      <c r="B338" s="209" t="str">
        <f>'2017 Determination - Revenue'!B$35</f>
        <v>Namoi</v>
      </c>
      <c r="C338" s="190" t="str">
        <f>'2017 Determination - Revenue'!C$33</f>
        <v>$'000</v>
      </c>
      <c r="D338" s="190"/>
      <c r="E338" s="190"/>
      <c r="F338" s="223"/>
      <c r="G338" s="225">
        <f>'2017 Determination - Revenue'!I35</f>
        <v>5486.6491176172922</v>
      </c>
      <c r="H338" s="225">
        <f t="shared" si="101"/>
        <v>5188.7392755424889</v>
      </c>
      <c r="I338" s="225">
        <f t="shared" si="102"/>
        <v>5484.4350933449987</v>
      </c>
      <c r="J338" s="223">
        <f>H338/G338-1</f>
        <v>-5.4297228725313063E-2</v>
      </c>
      <c r="K338" s="282">
        <f t="shared" si="103"/>
        <v>-4.0352940835686191E-4</v>
      </c>
      <c r="L338" s="193"/>
      <c r="M338" s="193"/>
      <c r="N338" s="193"/>
      <c r="O338" s="193"/>
      <c r="P338" s="193"/>
      <c r="Q338" s="256"/>
      <c r="R338" s="193"/>
    </row>
    <row r="339" spans="2:19">
      <c r="B339" s="209" t="str">
        <f>'2017 Determination - Revenue'!B$36</f>
        <v>Peel</v>
      </c>
      <c r="C339" s="190" t="str">
        <f>'2017 Determination - Revenue'!C$33</f>
        <v>$'000</v>
      </c>
      <c r="D339" s="190"/>
      <c r="E339" s="190"/>
      <c r="F339" s="223"/>
      <c r="G339" s="225">
        <f>'2017 Determination - Revenue'!I36</f>
        <v>1055.9400280129389</v>
      </c>
      <c r="H339" s="225">
        <f t="shared" si="101"/>
        <v>1073.9417818573347</v>
      </c>
      <c r="I339" s="225">
        <f t="shared" si="102"/>
        <v>1055.3867528800001</v>
      </c>
      <c r="J339" s="223">
        <f t="shared" ref="J339:J344" si="104">H339/G339-1</f>
        <v>1.7048083571821193E-2</v>
      </c>
      <c r="K339" s="282">
        <f t="shared" si="103"/>
        <v>-5.2396454179304275E-4</v>
      </c>
      <c r="L339" s="193"/>
      <c r="M339" s="193"/>
      <c r="N339" s="193"/>
      <c r="O339" s="193"/>
      <c r="P339" s="193"/>
      <c r="Q339" s="256"/>
      <c r="R339" s="193"/>
    </row>
    <row r="340" spans="2:19">
      <c r="B340" s="209" t="str">
        <f>'2017 Determination - Revenue'!B$37</f>
        <v>Lachlan</v>
      </c>
      <c r="C340" s="190" t="str">
        <f>'2017 Determination - Revenue'!C$33</f>
        <v>$'000</v>
      </c>
      <c r="D340" s="190"/>
      <c r="E340" s="190"/>
      <c r="F340" s="223"/>
      <c r="G340" s="225">
        <f>'2017 Determination - Revenue'!I37</f>
        <v>6536.1319155625815</v>
      </c>
      <c r="H340" s="225">
        <f t="shared" si="101"/>
        <v>6249.1006192134282</v>
      </c>
      <c r="I340" s="225">
        <f t="shared" si="102"/>
        <v>6533.1727859299999</v>
      </c>
      <c r="J340" s="223">
        <f t="shared" si="104"/>
        <v>-4.3914550694077903E-2</v>
      </c>
      <c r="K340" s="282">
        <f t="shared" si="103"/>
        <v>-4.5273407434387458E-4</v>
      </c>
      <c r="L340" s="193"/>
      <c r="M340" s="193"/>
      <c r="N340" s="193"/>
      <c r="O340" s="193"/>
      <c r="P340" s="193"/>
      <c r="Q340" s="256"/>
      <c r="R340" s="193"/>
    </row>
    <row r="341" spans="2:19">
      <c r="B341" s="209" t="str">
        <f>'2017 Determination - Revenue'!B$38</f>
        <v>Macquarie</v>
      </c>
      <c r="C341" s="190" t="str">
        <f>'2017 Determination - Revenue'!C$33</f>
        <v>$'000</v>
      </c>
      <c r="D341" s="190"/>
      <c r="E341" s="190"/>
      <c r="F341" s="223"/>
      <c r="G341" s="225">
        <f>'2017 Determination - Revenue'!I38</f>
        <v>5952.9292820896098</v>
      </c>
      <c r="H341" s="225">
        <f t="shared" si="101"/>
        <v>5810.2997843885432</v>
      </c>
      <c r="I341" s="225">
        <f t="shared" si="102"/>
        <v>5945.8913034400002</v>
      </c>
      <c r="J341" s="223">
        <f t="shared" si="104"/>
        <v>-2.3959548474763781E-2</v>
      </c>
      <c r="K341" s="282">
        <f t="shared" si="103"/>
        <v>-1.1822715030035402E-3</v>
      </c>
      <c r="L341" s="193"/>
      <c r="M341" s="193"/>
      <c r="N341" s="193"/>
      <c r="O341" s="193"/>
      <c r="P341" s="193"/>
      <c r="Q341" s="256"/>
      <c r="R341" s="193"/>
    </row>
    <row r="342" spans="2:19">
      <c r="B342" s="209" t="str">
        <f>'2017 Determination - Revenue'!B$39</f>
        <v>Murray</v>
      </c>
      <c r="C342" s="190" t="str">
        <f>'2017 Determination - Revenue'!C$33</f>
        <v>$'000</v>
      </c>
      <c r="D342" s="190"/>
      <c r="E342" s="190"/>
      <c r="F342" s="223"/>
      <c r="G342" s="225">
        <f>'2017 Determination - Revenue'!I39</f>
        <v>4947.1990109016042</v>
      </c>
      <c r="H342" s="225">
        <f t="shared" si="101"/>
        <v>4689.1843106709393</v>
      </c>
      <c r="I342" s="225">
        <f t="shared" si="102"/>
        <v>4957.3879808307693</v>
      </c>
      <c r="J342" s="223">
        <f t="shared" si="104"/>
        <v>-5.2153693365095233E-2</v>
      </c>
      <c r="K342" s="282">
        <f t="shared" si="103"/>
        <v>2.0595431691170507E-3</v>
      </c>
      <c r="L342" s="193"/>
      <c r="M342" s="193"/>
      <c r="N342" s="193"/>
      <c r="O342" s="193"/>
      <c r="P342" s="193"/>
      <c r="Q342" s="256"/>
      <c r="R342" s="193"/>
    </row>
    <row r="343" spans="2:19">
      <c r="B343" s="209" t="str">
        <f>'2017 Determination - Revenue'!B$40</f>
        <v>Murrumbidgee</v>
      </c>
      <c r="C343" s="190" t="str">
        <f>'2017 Determination - Revenue'!C$33</f>
        <v>$'000</v>
      </c>
      <c r="D343" s="190"/>
      <c r="E343" s="190"/>
      <c r="F343" s="223"/>
      <c r="G343" s="225">
        <f>'2017 Determination - Revenue'!I40</f>
        <v>9568.6577255460525</v>
      </c>
      <c r="H343" s="225">
        <f t="shared" si="101"/>
        <v>9097.3619510302997</v>
      </c>
      <c r="I343" s="225">
        <f t="shared" si="102"/>
        <v>9568.9373549230768</v>
      </c>
      <c r="J343" s="223">
        <f t="shared" si="104"/>
        <v>-4.9254115679935428E-2</v>
      </c>
      <c r="K343" s="282">
        <f t="shared" si="103"/>
        <v>2.9223469481864939E-5</v>
      </c>
      <c r="L343" s="193"/>
      <c r="M343" s="193"/>
      <c r="N343" s="193"/>
      <c r="O343" s="193"/>
      <c r="P343" s="193"/>
      <c r="Q343" s="256"/>
      <c r="R343" s="193"/>
    </row>
    <row r="344" spans="2:19">
      <c r="B344" s="209" t="str">
        <f>'2017 Determination - Revenue'!B$41</f>
        <v>Lowbidgee</v>
      </c>
      <c r="C344" s="190" t="str">
        <f>'2017 Determination - Revenue'!C$33</f>
        <v>$'000</v>
      </c>
      <c r="D344" s="190"/>
      <c r="E344" s="190"/>
      <c r="F344" s="223"/>
      <c r="G344" s="225">
        <f>'2017 Determination - Revenue'!I41</f>
        <v>585.59474030538888</v>
      </c>
      <c r="H344" s="225">
        <f t="shared" si="101"/>
        <v>585.01639329709701</v>
      </c>
      <c r="I344" s="225">
        <f t="shared" si="102"/>
        <v>582.66</v>
      </c>
      <c r="J344" s="223">
        <f t="shared" si="104"/>
        <v>-9.87623297282747E-4</v>
      </c>
      <c r="K344" s="282">
        <f t="shared" si="103"/>
        <v>-5.0115550967183564E-3</v>
      </c>
      <c r="L344" s="193"/>
      <c r="M344" s="193"/>
      <c r="N344" s="193"/>
      <c r="O344" s="193"/>
      <c r="P344" s="193"/>
      <c r="Q344" s="256"/>
      <c r="R344" s="193"/>
    </row>
    <row r="345" spans="2:19">
      <c r="B345" s="209"/>
      <c r="C345" s="190"/>
      <c r="D345" s="190"/>
      <c r="E345" s="190"/>
      <c r="F345" s="223"/>
      <c r="G345" s="223"/>
      <c r="H345" s="154"/>
      <c r="I345" s="154"/>
      <c r="J345" s="223"/>
      <c r="K345" s="282"/>
      <c r="L345" s="193"/>
      <c r="M345" s="193"/>
      <c r="N345" s="193"/>
      <c r="O345" s="193"/>
      <c r="P345" s="193"/>
      <c r="Q345" s="256"/>
      <c r="R345" s="193"/>
    </row>
    <row r="346" spans="2:19" s="106" customFormat="1">
      <c r="B346" s="209"/>
      <c r="C346" s="190"/>
      <c r="D346" s="190"/>
      <c r="E346" s="190"/>
      <c r="F346" s="223"/>
      <c r="G346" s="223"/>
      <c r="H346" s="154"/>
      <c r="I346" s="154"/>
      <c r="J346" s="223"/>
      <c r="K346" s="282"/>
      <c r="L346" s="193"/>
      <c r="M346" s="193"/>
      <c r="N346" s="193"/>
      <c r="O346" s="193"/>
      <c r="P346" s="193"/>
      <c r="Q346" s="256"/>
      <c r="R346" s="193"/>
      <c r="S346" s="193"/>
    </row>
    <row r="347" spans="2:19" s="106" customFormat="1">
      <c r="B347" s="280" t="s">
        <v>193</v>
      </c>
      <c r="C347" s="190"/>
      <c r="D347" s="190"/>
      <c r="E347" s="190"/>
      <c r="F347" s="223"/>
      <c r="G347" s="223"/>
      <c r="H347" s="154"/>
      <c r="I347" s="154"/>
      <c r="J347" s="223"/>
      <c r="K347" s="282"/>
      <c r="L347" s="193"/>
      <c r="M347" s="193"/>
      <c r="N347" s="193"/>
      <c r="O347" s="193"/>
      <c r="P347" s="193"/>
      <c r="Q347" s="256"/>
      <c r="R347" s="193"/>
      <c r="S347" s="193"/>
    </row>
    <row r="348" spans="2:19" s="106" customFormat="1" hidden="1" outlineLevel="1">
      <c r="B348" s="239" t="s">
        <v>83</v>
      </c>
      <c r="C348" s="190"/>
      <c r="D348" s="190"/>
      <c r="E348" s="190"/>
      <c r="F348" s="223"/>
      <c r="G348" s="223"/>
      <c r="H348" s="154"/>
      <c r="I348" s="154"/>
      <c r="J348" s="223"/>
      <c r="K348" s="282"/>
      <c r="L348" s="193"/>
      <c r="M348" s="193"/>
      <c r="N348" s="193"/>
      <c r="O348" s="193"/>
      <c r="P348" s="193"/>
      <c r="Q348" s="256"/>
      <c r="R348" s="193"/>
      <c r="S348" s="193"/>
    </row>
    <row r="349" spans="2:19" s="106" customFormat="1" hidden="1" outlineLevel="1">
      <c r="B349" s="209" t="str">
        <f>'Updated Volumes'!B$31</f>
        <v xml:space="preserve">Energy Australia </v>
      </c>
      <c r="C349" s="190" t="str">
        <f>'2017 Determination - Revenue'!C$33</f>
        <v>$'000</v>
      </c>
      <c r="D349" s="190"/>
      <c r="E349" s="190"/>
      <c r="F349" s="211"/>
      <c r="G349" s="211"/>
      <c r="H349" s="154">
        <f>'FRWS calcs'!I14*ROUND('2017 Determination - charges'!I91,2)</f>
        <v>3191.76</v>
      </c>
      <c r="I349" s="154">
        <f>'FRWS calcs'!I14*ROUND(Outputs!I148,2)</f>
        <v>3191.76</v>
      </c>
      <c r="J349" s="227" t="s">
        <v>131</v>
      </c>
      <c r="K349" s="282"/>
      <c r="L349" s="193"/>
      <c r="M349" s="193"/>
      <c r="N349" s="193"/>
      <c r="O349" s="193"/>
      <c r="P349" s="193"/>
      <c r="Q349" s="256"/>
      <c r="R349" s="193"/>
      <c r="S349" s="193"/>
    </row>
    <row r="350" spans="2:19" s="106" customFormat="1" hidden="1" outlineLevel="1">
      <c r="B350" s="209" t="str">
        <f>'Updated Volumes'!B$32</f>
        <v xml:space="preserve">Minor customers (raw) </v>
      </c>
      <c r="C350" s="190" t="str">
        <f>'2017 Determination - Revenue'!C$33</f>
        <v>$'000</v>
      </c>
      <c r="D350" s="190"/>
      <c r="E350" s="190"/>
      <c r="F350" s="211"/>
      <c r="G350" s="211"/>
      <c r="H350" s="154">
        <f>'FRWS calcs'!I15*ROUND('2017 Determination - charges'!I92,2)</f>
        <v>6.5520000000000005</v>
      </c>
      <c r="I350" s="154">
        <f>'FRWS calcs'!I15*ROUND(Outputs!I149,2)</f>
        <v>6.5520000000000005</v>
      </c>
      <c r="J350" s="227" t="s">
        <v>131</v>
      </c>
      <c r="K350" s="282"/>
      <c r="L350" s="193"/>
      <c r="M350" s="193"/>
      <c r="N350" s="193"/>
      <c r="O350" s="193"/>
      <c r="P350" s="193"/>
      <c r="Q350" s="256"/>
      <c r="R350" s="193"/>
      <c r="S350" s="193"/>
    </row>
    <row r="351" spans="2:19" s="106" customFormat="1" hidden="1" outlineLevel="1">
      <c r="B351" s="209" t="str">
        <f>'Updated Volumes'!B$33</f>
        <v xml:space="preserve">Minor customers (filtered) </v>
      </c>
      <c r="C351" s="190" t="str">
        <f>'2017 Determination - Revenue'!C$33</f>
        <v>$'000</v>
      </c>
      <c r="D351" s="190"/>
      <c r="E351" s="190"/>
      <c r="F351" s="211"/>
      <c r="G351" s="211"/>
      <c r="H351" s="154">
        <f>'FRWS calcs'!I16*ROUND('2017 Determination - charges'!I93,2)</f>
        <v>35.112000000000002</v>
      </c>
      <c r="I351" s="154">
        <f>'FRWS calcs'!I16*ROUND(Outputs!I150,2)</f>
        <v>34.650000000000006</v>
      </c>
      <c r="J351" s="227" t="s">
        <v>131</v>
      </c>
      <c r="K351" s="282"/>
      <c r="L351" s="193"/>
      <c r="M351" s="193"/>
      <c r="N351" s="193"/>
      <c r="O351" s="193"/>
      <c r="P351" s="193"/>
      <c r="Q351" s="256"/>
      <c r="R351" s="193"/>
      <c r="S351" s="193"/>
    </row>
    <row r="352" spans="2:19" s="106" customFormat="1" hidden="1" outlineLevel="1">
      <c r="B352" s="209"/>
      <c r="C352" s="190"/>
      <c r="D352" s="190"/>
      <c r="E352" s="190"/>
      <c r="F352" s="211"/>
      <c r="G352" s="211"/>
      <c r="H352" s="154"/>
      <c r="I352" s="154"/>
      <c r="J352" s="211"/>
      <c r="K352" s="282"/>
      <c r="L352" s="193"/>
      <c r="M352" s="193"/>
      <c r="N352" s="193"/>
      <c r="O352" s="193"/>
      <c r="P352" s="193"/>
      <c r="Q352" s="256"/>
      <c r="R352" s="193"/>
      <c r="S352" s="193"/>
    </row>
    <row r="353" spans="2:19" s="106" customFormat="1" hidden="1" outlineLevel="1">
      <c r="B353" s="239" t="s">
        <v>84</v>
      </c>
      <c r="C353" s="190"/>
      <c r="D353" s="190"/>
      <c r="E353" s="190"/>
      <c r="F353" s="211"/>
      <c r="G353" s="211"/>
      <c r="H353" s="154"/>
      <c r="I353" s="154"/>
      <c r="J353" s="211"/>
      <c r="K353" s="282"/>
      <c r="L353" s="193"/>
      <c r="M353" s="193"/>
      <c r="N353" s="193"/>
      <c r="O353" s="193"/>
      <c r="P353" s="193"/>
      <c r="Q353" s="256"/>
      <c r="R353" s="193"/>
      <c r="S353" s="193"/>
    </row>
    <row r="354" spans="2:19" s="106" customFormat="1" hidden="1" outlineLevel="1">
      <c r="B354" s="209" t="str">
        <f>'Updated Volumes'!B$31</f>
        <v xml:space="preserve">Energy Australia </v>
      </c>
      <c r="C354" s="190" t="str">
        <f>'2017 Determination - Revenue'!C$33</f>
        <v>$'000</v>
      </c>
      <c r="D354" s="190"/>
      <c r="E354" s="190"/>
      <c r="F354" s="211"/>
      <c r="G354" s="211"/>
      <c r="H354" s="154">
        <f>'FRWS calcs'!I25*ROUND('2017 Determination - charges'!I96,2)</f>
        <v>452.10013894736835</v>
      </c>
      <c r="I354" s="154">
        <f>'FRWS calcs'!I25*ROUND(Outputs!I153,2)</f>
        <v>376.75011578947368</v>
      </c>
      <c r="J354" s="227" t="s">
        <v>131</v>
      </c>
      <c r="K354" s="282"/>
      <c r="L354" s="193"/>
      <c r="M354" s="193"/>
      <c r="N354" s="193"/>
      <c r="O354" s="193"/>
      <c r="P354" s="193"/>
      <c r="Q354" s="256"/>
      <c r="R354" s="193"/>
      <c r="S354" s="193"/>
    </row>
    <row r="355" spans="2:19" s="106" customFormat="1" hidden="1" outlineLevel="1">
      <c r="B355" s="209" t="str">
        <f>'Updated Volumes'!B$32</f>
        <v xml:space="preserve">Minor customers (raw) </v>
      </c>
      <c r="C355" s="190" t="str">
        <f>'2017 Determination - Revenue'!C$33</f>
        <v>$'000</v>
      </c>
      <c r="D355" s="190"/>
      <c r="E355" s="190"/>
      <c r="F355" s="211"/>
      <c r="G355" s="211"/>
      <c r="H355" s="154">
        <f>'FRWS calcs'!I26*ROUND('2017 Determination - charges'!I97,2)</f>
        <v>4.032</v>
      </c>
      <c r="I355" s="154">
        <f>'FRWS calcs'!I26*ROUND(Outputs!I154,2)</f>
        <v>4.032</v>
      </c>
      <c r="J355" s="227" t="s">
        <v>131</v>
      </c>
      <c r="K355" s="282"/>
      <c r="L355" s="193"/>
      <c r="M355" s="193"/>
      <c r="N355" s="193"/>
      <c r="O355" s="193"/>
      <c r="P355" s="193"/>
      <c r="Q355" s="256"/>
      <c r="R355" s="193"/>
      <c r="S355" s="193"/>
    </row>
    <row r="356" spans="2:19" s="106" customFormat="1" hidden="1" outlineLevel="1">
      <c r="B356" s="209" t="str">
        <f>'Updated Volumes'!B$33</f>
        <v xml:space="preserve">Minor customers (filtered) </v>
      </c>
      <c r="C356" s="190" t="str">
        <f>'2017 Determination - Revenue'!C$33</f>
        <v>$'000</v>
      </c>
      <c r="D356" s="190"/>
      <c r="E356" s="190"/>
      <c r="F356" s="211"/>
      <c r="G356" s="211"/>
      <c r="H356" s="154">
        <f>'FRWS calcs'!I27*ROUND('2017 Determination - charges'!I98,2)</f>
        <v>21.252000000000002</v>
      </c>
      <c r="I356" s="154">
        <f>'FRWS calcs'!I27*ROUND(Outputs!I155,2)</f>
        <v>28.182000000000002</v>
      </c>
      <c r="J356" s="227" t="s">
        <v>131</v>
      </c>
      <c r="K356" s="282"/>
      <c r="L356" s="193"/>
      <c r="M356" s="193"/>
      <c r="N356" s="193"/>
      <c r="O356" s="193"/>
      <c r="P356" s="193"/>
      <c r="Q356" s="256"/>
      <c r="R356" s="193"/>
      <c r="S356" s="193"/>
    </row>
    <row r="357" spans="2:19" s="106" customFormat="1" hidden="1" outlineLevel="1">
      <c r="B357" s="209"/>
      <c r="C357" s="190"/>
      <c r="D357" s="190"/>
      <c r="E357" s="190"/>
      <c r="F357" s="211"/>
      <c r="G357" s="211"/>
      <c r="H357" s="154"/>
      <c r="I357" s="154"/>
      <c r="J357" s="211"/>
      <c r="K357" s="282"/>
      <c r="L357" s="193"/>
      <c r="M357" s="193"/>
      <c r="N357" s="193"/>
      <c r="O357" s="193"/>
      <c r="P357" s="193"/>
      <c r="Q357" s="256"/>
      <c r="R357" s="193"/>
      <c r="S357" s="193"/>
    </row>
    <row r="358" spans="2:19" s="106" customFormat="1" hidden="1" outlineLevel="1">
      <c r="B358" s="239" t="s">
        <v>85</v>
      </c>
      <c r="C358" s="190"/>
      <c r="D358" s="190"/>
      <c r="E358" s="190"/>
      <c r="F358" s="211"/>
      <c r="G358" s="211"/>
      <c r="H358" s="154"/>
      <c r="I358" s="154"/>
      <c r="J358" s="211"/>
      <c r="K358" s="282"/>
      <c r="L358" s="193"/>
      <c r="M358" s="193"/>
      <c r="N358" s="193"/>
      <c r="O358" s="193"/>
      <c r="P358" s="193"/>
      <c r="Q358" s="256"/>
      <c r="R358" s="193"/>
      <c r="S358" s="193"/>
    </row>
    <row r="359" spans="2:19" s="106" customFormat="1" hidden="1" outlineLevel="1">
      <c r="B359" s="209" t="str">
        <f>'Updated Volumes'!B$31</f>
        <v xml:space="preserve">Energy Australia </v>
      </c>
      <c r="C359" s="190" t="str">
        <f>'2017 Determination - Revenue'!C$33</f>
        <v>$'000</v>
      </c>
      <c r="D359" s="190"/>
      <c r="E359" s="190"/>
      <c r="F359" s="211"/>
      <c r="G359" s="211"/>
      <c r="H359" s="154">
        <f>'FRWS calcs'!I30*ROUND('2017 Determination - charges'!I101,2)</f>
        <v>0</v>
      </c>
      <c r="I359" s="154">
        <f>'FRWS calcs'!I30*ROUND(Outputs!I158,2)</f>
        <v>0</v>
      </c>
      <c r="J359" s="227" t="s">
        <v>131</v>
      </c>
      <c r="K359" s="282"/>
      <c r="L359" s="193"/>
      <c r="M359" s="193"/>
      <c r="N359" s="193"/>
      <c r="O359" s="193"/>
      <c r="P359" s="193"/>
      <c r="Q359" s="256"/>
      <c r="R359" s="193"/>
      <c r="S359" s="193"/>
    </row>
    <row r="360" spans="2:19" s="106" customFormat="1" hidden="1" outlineLevel="1">
      <c r="B360" s="209" t="str">
        <f>'Updated Volumes'!B$32</f>
        <v xml:space="preserve">Minor customers (raw) </v>
      </c>
      <c r="C360" s="190" t="str">
        <f>'2017 Determination - Revenue'!C$33</f>
        <v>$'000</v>
      </c>
      <c r="D360" s="190"/>
      <c r="E360" s="190"/>
      <c r="F360" s="211"/>
      <c r="G360" s="211"/>
      <c r="H360" s="154">
        <f>'FRWS calcs'!I31*ROUND('2017 Determination - charges'!I102,2)</f>
        <v>21.886623999999994</v>
      </c>
      <c r="I360" s="154">
        <f>'FRWS calcs'!I31*ROUND(Outputs!I159,2)</f>
        <v>21.202666999999991</v>
      </c>
      <c r="J360" s="227" t="s">
        <v>131</v>
      </c>
      <c r="K360" s="282"/>
      <c r="L360" s="193"/>
      <c r="M360" s="193"/>
      <c r="N360" s="193"/>
      <c r="O360" s="193"/>
      <c r="P360" s="193"/>
      <c r="Q360" s="256"/>
      <c r="R360" s="193"/>
      <c r="S360" s="193"/>
    </row>
    <row r="361" spans="2:19" s="106" customFormat="1" hidden="1" outlineLevel="1">
      <c r="B361" s="209" t="str">
        <f>'Updated Volumes'!B$33</f>
        <v xml:space="preserve">Minor customers (filtered) </v>
      </c>
      <c r="C361" s="190" t="str">
        <f>'2017 Determination - Revenue'!C$33</f>
        <v>$'000</v>
      </c>
      <c r="D361" s="190"/>
      <c r="E361" s="190"/>
      <c r="F361" s="211"/>
      <c r="G361" s="211"/>
      <c r="H361" s="154">
        <f>'FRWS calcs'!I32*ROUND('2017 Determination - charges'!I103,2)</f>
        <v>70.746038000000013</v>
      </c>
      <c r="I361" s="154">
        <f>'FRWS calcs'!I32*ROUND(Outputs!I160,2)</f>
        <v>78.931530000000024</v>
      </c>
      <c r="J361" s="227" t="s">
        <v>131</v>
      </c>
      <c r="K361" s="282"/>
      <c r="L361" s="193"/>
      <c r="M361" s="193"/>
      <c r="N361" s="193"/>
      <c r="O361" s="193"/>
      <c r="P361" s="193"/>
      <c r="Q361" s="256"/>
      <c r="R361" s="193"/>
      <c r="S361" s="193"/>
    </row>
    <row r="362" spans="2:19" s="106" customFormat="1" hidden="1" outlineLevel="1">
      <c r="B362" s="209"/>
      <c r="C362" s="190"/>
      <c r="D362" s="190"/>
      <c r="E362" s="190"/>
      <c r="F362" s="223"/>
      <c r="G362" s="223"/>
      <c r="H362" s="154"/>
      <c r="I362" s="154"/>
      <c r="J362" s="223"/>
      <c r="K362" s="282"/>
      <c r="L362" s="193"/>
      <c r="M362" s="193"/>
      <c r="N362" s="193"/>
      <c r="O362" s="193"/>
      <c r="P362" s="193"/>
      <c r="Q362" s="256"/>
      <c r="R362" s="193"/>
      <c r="S362" s="193"/>
    </row>
    <row r="363" spans="2:19" s="106" customFormat="1" collapsed="1">
      <c r="B363" s="239" t="s">
        <v>190</v>
      </c>
      <c r="C363" s="190"/>
      <c r="D363" s="190"/>
      <c r="E363" s="190"/>
      <c r="F363" s="223"/>
      <c r="G363" s="223"/>
      <c r="H363" s="154"/>
      <c r="I363" s="154"/>
      <c r="J363" s="223"/>
      <c r="K363" s="282"/>
      <c r="L363" s="193"/>
      <c r="M363" s="193"/>
      <c r="N363" s="193"/>
      <c r="O363" s="193"/>
      <c r="P363" s="193"/>
      <c r="Q363" s="256"/>
      <c r="R363" s="193"/>
      <c r="S363" s="193"/>
    </row>
    <row r="364" spans="2:19" s="106" customFormat="1">
      <c r="B364" s="209" t="str">
        <f>'Updated Volumes'!B$31</f>
        <v xml:space="preserve">Energy Australia </v>
      </c>
      <c r="C364" s="190" t="str">
        <f>'2017 Determination - Revenue'!C$33</f>
        <v>$'000</v>
      </c>
      <c r="D364" s="190"/>
      <c r="E364" s="190"/>
      <c r="F364" s="223"/>
      <c r="G364" s="225">
        <f>'2017 Determination - Revenue'!I69</f>
        <v>3582.3064354548201</v>
      </c>
      <c r="H364" s="225">
        <f>H349+H354+H359</f>
        <v>3643.8601389473688</v>
      </c>
      <c r="I364" s="225">
        <f t="shared" ref="I364" si="105">I349+I354+I359</f>
        <v>3568.5101157894737</v>
      </c>
      <c r="J364" s="223">
        <f>H364/G364-1</f>
        <v>1.7182701871436556E-2</v>
      </c>
      <c r="K364" s="282">
        <f t="shared" si="103"/>
        <v>-3.8512393939282852E-3</v>
      </c>
      <c r="L364" s="193"/>
      <c r="M364" s="193"/>
      <c r="N364" s="193"/>
      <c r="O364" s="193"/>
      <c r="P364" s="193"/>
      <c r="Q364" s="256"/>
      <c r="R364" s="193"/>
      <c r="S364" s="193"/>
    </row>
    <row r="365" spans="2:19" s="106" customFormat="1">
      <c r="B365" s="209" t="str">
        <f>'Updated Volumes'!B$32</f>
        <v xml:space="preserve">Minor customers (raw) </v>
      </c>
      <c r="C365" s="190" t="str">
        <f>'2017 Determination - Revenue'!C$33</f>
        <v>$'000</v>
      </c>
      <c r="D365" s="190"/>
      <c r="E365" s="190"/>
      <c r="F365" s="223"/>
      <c r="G365" s="225">
        <f>'2017 Determination - Revenue'!I70</f>
        <v>31.820077004246794</v>
      </c>
      <c r="H365" s="225">
        <f>H350+H355+H360</f>
        <v>32.470623999999994</v>
      </c>
      <c r="I365" s="225">
        <f t="shared" ref="I365" si="106">I350+I355+I360</f>
        <v>31.786666999999991</v>
      </c>
      <c r="J365" s="223">
        <f t="shared" ref="J365:J366" si="107">H365/G365-1</f>
        <v>2.0444544985430912E-2</v>
      </c>
      <c r="K365" s="282">
        <f t="shared" si="103"/>
        <v>-1.049966165774685E-3</v>
      </c>
      <c r="L365" s="193"/>
      <c r="M365" s="193"/>
      <c r="N365" s="193"/>
      <c r="O365" s="193"/>
      <c r="P365" s="193"/>
      <c r="Q365" s="256"/>
      <c r="R365" s="193"/>
      <c r="S365" s="193"/>
    </row>
    <row r="366" spans="2:19" s="106" customFormat="1">
      <c r="B366" s="209" t="str">
        <f>'Updated Volumes'!B$33</f>
        <v xml:space="preserve">Minor customers (filtered) </v>
      </c>
      <c r="C366" s="190" t="str">
        <f>'2017 Determination - Revenue'!C$33</f>
        <v>$'000</v>
      </c>
      <c r="D366" s="190"/>
      <c r="E366" s="190"/>
      <c r="F366" s="223"/>
      <c r="G366" s="225">
        <f>'2017 Determination - Revenue'!I71</f>
        <v>140.89264543944256</v>
      </c>
      <c r="H366" s="225">
        <f t="shared" ref="H366:I366" si="108">H351+H356+H361</f>
        <v>127.11003800000002</v>
      </c>
      <c r="I366" s="225">
        <f t="shared" si="108"/>
        <v>141.76353000000003</v>
      </c>
      <c r="J366" s="223">
        <f t="shared" si="107"/>
        <v>-9.7823469752127523E-2</v>
      </c>
      <c r="K366" s="282">
        <f t="shared" si="103"/>
        <v>6.1811924805670326E-3</v>
      </c>
      <c r="L366" s="193"/>
      <c r="M366" s="193"/>
      <c r="N366" s="193"/>
      <c r="O366" s="193"/>
      <c r="P366" s="193"/>
      <c r="Q366" s="256"/>
      <c r="R366" s="193"/>
      <c r="S366" s="193"/>
    </row>
    <row r="367" spans="2:19" s="106" customFormat="1">
      <c r="B367" s="209"/>
      <c r="C367" s="190"/>
      <c r="D367" s="190"/>
      <c r="E367" s="190"/>
      <c r="F367" s="223"/>
      <c r="G367" s="223"/>
      <c r="H367" s="154"/>
      <c r="I367" s="154"/>
      <c r="J367" s="223"/>
      <c r="K367" s="282"/>
      <c r="L367" s="193"/>
      <c r="M367" s="193"/>
      <c r="N367" s="193"/>
      <c r="O367" s="193"/>
      <c r="P367" s="193"/>
      <c r="Q367" s="256"/>
      <c r="R367" s="193"/>
      <c r="S367" s="193"/>
    </row>
    <row r="368" spans="2:19" s="106" customFormat="1">
      <c r="B368" s="209"/>
      <c r="C368" s="190"/>
      <c r="D368" s="190"/>
      <c r="E368" s="190"/>
      <c r="F368" s="223"/>
      <c r="G368" s="223"/>
      <c r="H368" s="154"/>
      <c r="I368" s="154"/>
      <c r="J368" s="223"/>
      <c r="K368" s="282"/>
      <c r="L368" s="193"/>
      <c r="M368" s="193"/>
      <c r="N368" s="193"/>
      <c r="O368" s="193"/>
      <c r="P368" s="193"/>
      <c r="Q368" s="256"/>
      <c r="R368" s="193"/>
      <c r="S368" s="193"/>
    </row>
    <row r="369" spans="2:19" s="106" customFormat="1">
      <c r="B369" s="280" t="s">
        <v>191</v>
      </c>
      <c r="C369" s="190"/>
      <c r="D369" s="190"/>
      <c r="E369" s="190"/>
      <c r="F369" s="223"/>
      <c r="G369" s="225">
        <f>SUM(G336:G344)+SUM(G364:G366)</f>
        <v>44420.079437859982</v>
      </c>
      <c r="H369" s="225">
        <f>SUM(H336:H344)+SUM(H364:H366)</f>
        <v>42754.150937687336</v>
      </c>
      <c r="I369" s="225">
        <f>SUM(I336:I344)+SUM(I364:I366)</f>
        <v>44397.267620738319</v>
      </c>
      <c r="J369" s="223">
        <f>H369/G369-1</f>
        <v>-3.7503951394394552E-2</v>
      </c>
      <c r="K369" s="282">
        <f t="shared" si="103"/>
        <v>-5.1354741842757345E-4</v>
      </c>
      <c r="L369" s="193"/>
      <c r="M369" s="193"/>
      <c r="N369" s="193"/>
      <c r="O369" s="193"/>
      <c r="P369" s="193"/>
      <c r="Q369" s="256"/>
      <c r="R369" s="193"/>
      <c r="S369" s="193"/>
    </row>
    <row r="370" spans="2:19">
      <c r="B370" s="44"/>
      <c r="C370" s="35"/>
      <c r="D370" s="35"/>
      <c r="E370" s="35"/>
      <c r="F370" s="35"/>
      <c r="G370" s="35"/>
      <c r="H370" s="35"/>
      <c r="I370" s="35"/>
      <c r="J370" s="35"/>
      <c r="K370" s="45"/>
      <c r="L370" s="193"/>
      <c r="M370" s="193"/>
      <c r="Q370" s="79"/>
      <c r="R370" s="31"/>
    </row>
    <row r="377" spans="2:19">
      <c r="F377" s="83"/>
      <c r="G377" s="83"/>
      <c r="H377" s="83"/>
    </row>
    <row r="378" spans="2:19">
      <c r="F378" s="83"/>
      <c r="G378" s="83"/>
      <c r="H378" s="83"/>
    </row>
    <row r="379" spans="2:19">
      <c r="F379" s="83"/>
      <c r="G379" s="83"/>
      <c r="H379" s="83"/>
    </row>
  </sheetData>
  <mergeCells count="8">
    <mergeCell ref="O23:Q23"/>
    <mergeCell ref="O64:Q64"/>
    <mergeCell ref="O104:Q104"/>
    <mergeCell ref="O144:Q144"/>
    <mergeCell ref="K23:M23"/>
    <mergeCell ref="K64:M64"/>
    <mergeCell ref="K104:M104"/>
    <mergeCell ref="K144:M1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R213"/>
  <sheetViews>
    <sheetView showGridLines="0" topLeftCell="A8" workbookViewId="0">
      <selection activeCell="I21" sqref="I21"/>
    </sheetView>
  </sheetViews>
  <sheetFormatPr defaultColWidth="9.09765625" defaultRowHeight="11.5"/>
  <cols>
    <col min="1" max="1" width="3.8984375" style="31" customWidth="1"/>
    <col min="2" max="2" width="50.69921875" style="31" customWidth="1"/>
    <col min="3" max="3" width="9" style="31" customWidth="1"/>
    <col min="4" max="4" width="5.69921875" style="31" customWidth="1"/>
    <col min="5" max="5" width="12.09765625" style="31" customWidth="1"/>
    <col min="6" max="6" width="16.09765625" style="53" bestFit="1" customWidth="1"/>
    <col min="7" max="7" width="12.8984375" style="31" customWidth="1"/>
    <col min="8" max="8" width="12.8984375" style="131" customWidth="1"/>
    <col min="9" max="9" width="12.8984375" style="227" customWidth="1"/>
    <col min="10" max="10" width="5.69921875" style="31" customWidth="1"/>
    <col min="11" max="11" width="2.8984375" style="31" customWidth="1"/>
    <col min="12" max="12" width="9.09765625" style="31" customWidth="1"/>
    <col min="13" max="13" width="9.09765625" style="193" customWidth="1"/>
    <col min="14" max="17" width="9.09765625" style="31" customWidth="1"/>
    <col min="18" max="16384" width="9.09765625" style="31"/>
  </cols>
  <sheetData>
    <row r="2" spans="2:11" ht="18">
      <c r="B2" s="34" t="s">
        <v>151</v>
      </c>
    </row>
    <row r="3" spans="2:11">
      <c r="B3" s="31" t="s">
        <v>155</v>
      </c>
    </row>
    <row r="5" spans="2:11">
      <c r="B5" s="114" t="s">
        <v>28</v>
      </c>
      <c r="C5" s="114"/>
      <c r="D5" s="114"/>
      <c r="G5" s="147" t="s">
        <v>29</v>
      </c>
      <c r="H5" s="147"/>
      <c r="I5" s="71"/>
    </row>
    <row r="6" spans="2:11">
      <c r="B6" s="215" t="str">
        <f>B16</f>
        <v>TABLE 5.1 - USAGE AND ENTITLEMENT VOLUMES FOR CALCULATIONS</v>
      </c>
      <c r="C6" s="215"/>
      <c r="D6" s="215"/>
      <c r="E6" s="238"/>
      <c r="F6" s="215"/>
      <c r="G6" s="215">
        <f>ROW(B16)</f>
        <v>16</v>
      </c>
      <c r="H6" s="211"/>
      <c r="I6" s="211"/>
      <c r="J6" s="256"/>
      <c r="K6" s="193"/>
    </row>
    <row r="7" spans="2:11">
      <c r="B7" s="216" t="str">
        <f>B57</f>
        <v xml:space="preserve">TABLE 5.2 - TWENTY YEAR AVERAGE ACTUAL ALLOCATIONS </v>
      </c>
      <c r="C7" s="216"/>
      <c r="D7" s="216"/>
      <c r="E7" s="190"/>
      <c r="F7" s="216"/>
      <c r="G7" s="216">
        <f>ROW(B57)</f>
        <v>57</v>
      </c>
      <c r="H7" s="211"/>
      <c r="I7" s="211"/>
      <c r="J7" s="256"/>
      <c r="K7" s="193"/>
    </row>
    <row r="8" spans="2:11">
      <c r="B8" s="216" t="str">
        <f>B97</f>
        <v>TABLE 5.3 - RELIABILITY RATIO AND HIGH SECURITY ENTITLEMENT PREMIUM</v>
      </c>
      <c r="C8" s="216"/>
      <c r="D8" s="216"/>
      <c r="E8" s="190"/>
      <c r="F8" s="216"/>
      <c r="G8" s="216">
        <f>ROW(B97)</f>
        <v>97</v>
      </c>
      <c r="H8" s="211"/>
      <c r="I8" s="211"/>
      <c r="J8" s="256"/>
      <c r="K8" s="193"/>
    </row>
    <row r="9" spans="2:11">
      <c r="B9" s="216" t="str">
        <f>B127</f>
        <v>TABLE 5.4 - TOTAL NUMBER OF 'GS ENTITLEMENT EQUIVALENTS'</v>
      </c>
      <c r="C9" s="216"/>
      <c r="D9" s="216"/>
      <c r="E9" s="190"/>
      <c r="F9" s="216"/>
      <c r="G9" s="216">
        <f>ROW(B127)</f>
        <v>127</v>
      </c>
      <c r="H9" s="211"/>
      <c r="I9" s="211"/>
      <c r="J9" s="256"/>
      <c r="K9" s="193"/>
    </row>
    <row r="10" spans="2:11">
      <c r="B10" s="216" t="str">
        <f>B144</f>
        <v>TABLE 5.5 - REVENUE TO BE RECOVERED FROM CHARGES (EXCLUDING MDBA/BRC REVENUE)</v>
      </c>
      <c r="C10" s="216"/>
      <c r="D10" s="216"/>
      <c r="E10" s="190"/>
      <c r="F10" s="216"/>
      <c r="G10" s="216">
        <f>ROW(B144)</f>
        <v>144</v>
      </c>
      <c r="H10" s="211"/>
      <c r="I10" s="211"/>
      <c r="J10" s="256"/>
      <c r="K10" s="193"/>
    </row>
    <row r="11" spans="2:11">
      <c r="B11" s="151" t="str">
        <f>B186</f>
        <v>TABLE 5.6 - REVENUE TO BE RECOVERED FROM CHARGES (ONLY MDBA/BRC REVENUE)</v>
      </c>
      <c r="C11" s="151"/>
      <c r="D11" s="151"/>
      <c r="E11" s="54"/>
      <c r="F11" s="151"/>
      <c r="G11" s="151">
        <f>ROW(B186)</f>
        <v>186</v>
      </c>
      <c r="H11" s="211"/>
      <c r="I11" s="211"/>
      <c r="J11" s="256"/>
      <c r="K11" s="193"/>
    </row>
    <row r="12" spans="2:11">
      <c r="B12" s="193"/>
      <c r="C12" s="190"/>
      <c r="D12" s="190"/>
      <c r="E12" s="190"/>
      <c r="F12" s="193"/>
      <c r="G12" s="193"/>
      <c r="H12" s="227"/>
      <c r="J12" s="193"/>
      <c r="K12" s="193"/>
    </row>
    <row r="13" spans="2:11">
      <c r="B13" s="193"/>
      <c r="C13" s="190"/>
      <c r="D13" s="190"/>
      <c r="E13" s="190"/>
      <c r="F13" s="193"/>
      <c r="G13" s="193"/>
      <c r="H13" s="227"/>
      <c r="J13" s="193"/>
      <c r="K13" s="193"/>
    </row>
    <row r="14" spans="2:11">
      <c r="B14" s="257"/>
      <c r="C14" s="190"/>
      <c r="D14" s="190"/>
      <c r="E14" s="190"/>
      <c r="F14" s="193"/>
      <c r="G14" s="193"/>
      <c r="H14" s="227"/>
      <c r="J14" s="193"/>
      <c r="K14" s="193"/>
    </row>
    <row r="15" spans="2:11">
      <c r="B15" s="193"/>
      <c r="C15" s="193"/>
      <c r="D15" s="193"/>
      <c r="E15" s="193"/>
      <c r="F15" s="193"/>
      <c r="G15" s="193"/>
      <c r="H15" s="227"/>
      <c r="J15" s="193"/>
      <c r="K15" s="193"/>
    </row>
    <row r="16" spans="2:11">
      <c r="B16" s="244" t="s">
        <v>168</v>
      </c>
      <c r="C16" s="193"/>
      <c r="D16" s="193"/>
      <c r="E16" s="193"/>
      <c r="F16" s="200"/>
      <c r="G16" s="193"/>
      <c r="H16" s="193"/>
      <c r="I16" s="193"/>
      <c r="J16" s="193"/>
      <c r="K16" s="193"/>
    </row>
    <row r="17" spans="2:13">
      <c r="B17" s="237" t="str">
        <f>'2017 Determination - Revenue'!B$16</f>
        <v>Financial year</v>
      </c>
      <c r="C17" s="238" t="str">
        <f>'2017 Determination - Revenue'!C$28</f>
        <v>Units</v>
      </c>
      <c r="D17" s="238"/>
      <c r="E17" s="210"/>
      <c r="F17" s="210" t="str">
        <f>'2017 Determination - Revenue'!F$16</f>
        <v>2017-18</v>
      </c>
      <c r="G17" s="210" t="str">
        <f>'2017 Determination - Revenue'!G$16</f>
        <v>2018-19</v>
      </c>
      <c r="H17" s="210" t="str">
        <f>'2017 Determination - Revenue'!H$16</f>
        <v>2019-20</v>
      </c>
      <c r="I17" s="210" t="str">
        <f>'2017 Determination - Revenue'!I$16</f>
        <v>2020-21</v>
      </c>
      <c r="J17" s="258"/>
      <c r="K17" s="193"/>
    </row>
    <row r="18" spans="2:13">
      <c r="B18" s="209"/>
      <c r="C18" s="190"/>
      <c r="D18" s="190"/>
      <c r="E18" s="190"/>
      <c r="F18" s="195"/>
      <c r="G18" s="195"/>
      <c r="H18" s="214"/>
      <c r="I18" s="214"/>
      <c r="J18" s="259"/>
      <c r="K18" s="193"/>
    </row>
    <row r="19" spans="2:13" ht="12">
      <c r="B19" s="254" t="s">
        <v>142</v>
      </c>
      <c r="C19" s="190"/>
      <c r="D19" s="190"/>
      <c r="E19" s="190"/>
      <c r="F19" s="190"/>
      <c r="G19" s="190"/>
      <c r="H19" s="211"/>
      <c r="I19" s="211"/>
      <c r="J19" s="234"/>
      <c r="K19" s="193"/>
    </row>
    <row r="20" spans="2:13">
      <c r="B20" s="239" t="s">
        <v>55</v>
      </c>
      <c r="C20" s="190"/>
      <c r="D20" s="190"/>
      <c r="E20" s="190"/>
      <c r="F20" s="190"/>
      <c r="G20" s="190"/>
      <c r="H20" s="211"/>
      <c r="I20" s="211"/>
      <c r="J20" s="234"/>
      <c r="K20" s="193"/>
    </row>
    <row r="21" spans="2:13">
      <c r="B21" s="209" t="str">
        <f>'2017 Determination - Revenue'!B$33</f>
        <v>Border</v>
      </c>
      <c r="C21" s="190" t="str">
        <f>'Updated Volumes'!$C$20</f>
        <v>ML</v>
      </c>
      <c r="D21" s="190"/>
      <c r="E21" s="190"/>
      <c r="F21" s="88">
        <f>AVERAGE('Updated Volumes'!F20:Y20)</f>
        <v>148174.473</v>
      </c>
      <c r="G21" s="88">
        <f>AVERAGE('Updated Volumes'!G20:Z20)</f>
        <v>151299.038</v>
      </c>
      <c r="H21" s="166">
        <f>AVERAGE('Updated Volumes'!H20:AA20)</f>
        <v>148885.13299999997</v>
      </c>
      <c r="I21" s="166">
        <f>AVERAGE('Updated Volumes'!I20:AB20)</f>
        <v>147948.14799999999</v>
      </c>
      <c r="J21" s="234"/>
      <c r="K21" s="193"/>
    </row>
    <row r="22" spans="2:13">
      <c r="B22" s="209" t="str">
        <f>'2017 Determination - Revenue'!B$34</f>
        <v>Gwydir</v>
      </c>
      <c r="C22" s="190" t="str">
        <f>'Updated Volumes'!$C$20</f>
        <v>ML</v>
      </c>
      <c r="D22" s="190"/>
      <c r="E22" s="190"/>
      <c r="F22" s="88">
        <f>AVERAGE('Updated Volumes'!F21:Y21)</f>
        <v>262135.2</v>
      </c>
      <c r="G22" s="88">
        <f>AVERAGE('Updated Volumes'!G21:Z21)</f>
        <v>259040.05</v>
      </c>
      <c r="H22" s="166">
        <f>AVERAGE('Updated Volumes'!H21:AA21)</f>
        <v>252046.685</v>
      </c>
      <c r="I22" s="166">
        <f>AVERAGE('Updated Volumes'!I21:AB21)</f>
        <v>239365.08000000002</v>
      </c>
      <c r="J22" s="234"/>
      <c r="K22" s="193"/>
    </row>
    <row r="23" spans="2:13">
      <c r="B23" s="209" t="str">
        <f>'2017 Determination - Revenue'!B$35</f>
        <v>Namoi</v>
      </c>
      <c r="C23" s="190" t="str">
        <f>'Updated Volumes'!$C$20</f>
        <v>ML</v>
      </c>
      <c r="D23" s="190"/>
      <c r="E23" s="190"/>
      <c r="F23" s="88">
        <f>AVERAGE('Updated Volumes'!F22:Y22)</f>
        <v>164798.92549999998</v>
      </c>
      <c r="G23" s="88">
        <f>AVERAGE('Updated Volumes'!G22:Z22)</f>
        <v>165530.56050000002</v>
      </c>
      <c r="H23" s="166">
        <f>AVERAGE('Updated Volumes'!H22:AA22)</f>
        <v>158374.63900000002</v>
      </c>
      <c r="I23" s="166">
        <f>AVERAGE('Updated Volumes'!I22:AB22)</f>
        <v>149924.7885</v>
      </c>
      <c r="J23" s="234"/>
      <c r="K23" s="193"/>
    </row>
    <row r="24" spans="2:13">
      <c r="B24" s="209" t="str">
        <f>'2017 Determination - Revenue'!B$36</f>
        <v>Peel</v>
      </c>
      <c r="C24" s="190" t="str">
        <f>'Updated Volumes'!$C$20</f>
        <v>ML</v>
      </c>
      <c r="D24" s="190"/>
      <c r="E24" s="190"/>
      <c r="F24" s="88">
        <f>AVERAGE('Updated Volumes'!F23:Y23)</f>
        <v>11495.845000000001</v>
      </c>
      <c r="G24" s="88">
        <f>AVERAGE('Updated Volumes'!G23:Z23)</f>
        <v>11732.09</v>
      </c>
      <c r="H24" s="166">
        <f>AVERAGE('Updated Volumes'!H23:AA23)</f>
        <v>12035.289500000001</v>
      </c>
      <c r="I24" s="166">
        <f>AVERAGE('Updated Volumes'!I23:AB23)</f>
        <v>12686.329500000002</v>
      </c>
      <c r="J24" s="234"/>
      <c r="K24" s="193"/>
    </row>
    <row r="25" spans="2:13">
      <c r="B25" s="209" t="str">
        <f>'2017 Determination - Revenue'!B$37</f>
        <v>Lachlan</v>
      </c>
      <c r="C25" s="190" t="str">
        <f>'Updated Volumes'!$C$20</f>
        <v>ML</v>
      </c>
      <c r="D25" s="190"/>
      <c r="E25" s="190"/>
      <c r="F25" s="88">
        <f>AVERAGE('Updated Volumes'!F24:Y24)</f>
        <v>206000.69800000003</v>
      </c>
      <c r="G25" s="88">
        <f>AVERAGE('Updated Volumes'!G24:Z24)</f>
        <v>194538.59300000005</v>
      </c>
      <c r="H25" s="166">
        <f>AVERAGE('Updated Volumes'!H24:AA24)</f>
        <v>191208.87799999997</v>
      </c>
      <c r="I25" s="166">
        <f>AVERAGE('Updated Volumes'!I24:AB24)</f>
        <v>191214.44299999997</v>
      </c>
      <c r="J25" s="234"/>
      <c r="K25" s="193"/>
    </row>
    <row r="26" spans="2:13">
      <c r="B26" s="209" t="str">
        <f>'2017 Determination - Revenue'!B$38</f>
        <v>Macquarie</v>
      </c>
      <c r="C26" s="190" t="str">
        <f>'Updated Volumes'!$C$20</f>
        <v>ML</v>
      </c>
      <c r="D26" s="190"/>
      <c r="E26" s="190"/>
      <c r="F26" s="88">
        <f>AVERAGE('Updated Volumes'!F25:Y25)</f>
        <v>259098.571</v>
      </c>
      <c r="G26" s="88">
        <f>AVERAGE('Updated Volumes'!G25:Z25)</f>
        <v>253261.421</v>
      </c>
      <c r="H26" s="166">
        <f>AVERAGE('Updated Volumes'!H25:AA25)</f>
        <v>253053.20099999997</v>
      </c>
      <c r="I26" s="166">
        <f>AVERAGE('Updated Volumes'!I25:AB25)</f>
        <v>249041.61599999998</v>
      </c>
      <c r="J26" s="234"/>
      <c r="K26" s="193"/>
    </row>
    <row r="27" spans="2:13">
      <c r="B27" s="209" t="str">
        <f>'2017 Determination - Revenue'!B$39</f>
        <v>Murray</v>
      </c>
      <c r="C27" s="190" t="str">
        <f>'Updated Volumes'!$C$20</f>
        <v>ML</v>
      </c>
      <c r="D27" s="190"/>
      <c r="E27" s="190"/>
      <c r="F27" s="88">
        <f>AVERAGE('Updated Volumes'!F26:Y26)</f>
        <v>1556610.1219230772</v>
      </c>
      <c r="G27" s="88">
        <f>AVERAGE('Updated Volumes'!G26:Z26)</f>
        <v>1521876.7223076925</v>
      </c>
      <c r="H27" s="166">
        <f>AVERAGE('Updated Volumes'!H26:AA26)</f>
        <v>1498366.9876923079</v>
      </c>
      <c r="I27" s="166">
        <f>AVERAGE('Updated Volumes'!I26:AB26)</f>
        <v>1423613.1630769235</v>
      </c>
      <c r="J27" s="234"/>
      <c r="K27" s="193"/>
    </row>
    <row r="28" spans="2:13">
      <c r="B28" s="209" t="str">
        <f>'2017 Determination - Revenue'!B$40</f>
        <v>Murrumbidgee</v>
      </c>
      <c r="C28" s="190" t="str">
        <f>'Updated Volumes'!$C$20</f>
        <v>ML</v>
      </c>
      <c r="D28" s="190"/>
      <c r="E28" s="190"/>
      <c r="F28" s="88">
        <f>AVERAGE('Updated Volumes'!F27:Y27)</f>
        <v>1733642.2380769234</v>
      </c>
      <c r="G28" s="88">
        <f>AVERAGE('Updated Volumes'!G27:Z27)</f>
        <v>1694482.087692308</v>
      </c>
      <c r="H28" s="166">
        <f>AVERAGE('Updated Volumes'!H27:AA27)</f>
        <v>1654408.0123076923</v>
      </c>
      <c r="I28" s="166">
        <f>AVERAGE('Updated Volumes'!I27:AB27)</f>
        <v>1595329.8319230769</v>
      </c>
      <c r="J28" s="234"/>
      <c r="K28" s="193"/>
    </row>
    <row r="29" spans="2:13">
      <c r="B29" s="209" t="str">
        <f>'2017 Determination - Revenue'!B$41</f>
        <v>Lowbidgee</v>
      </c>
      <c r="C29" s="190" t="str">
        <f>'Updated Volumes'!$C$20</f>
        <v>ML</v>
      </c>
      <c r="D29" s="190"/>
      <c r="E29" s="190"/>
      <c r="F29" s="88">
        <f>AVERAGE('Updated Volumes'!F28:Y28)</f>
        <v>49090.75</v>
      </c>
      <c r="G29" s="88">
        <f>AVERAGE('Updated Volumes'!G28:Z28)</f>
        <v>51142.6</v>
      </c>
      <c r="H29" s="166">
        <f>AVERAGE('Updated Volumes'!H28:AA28)</f>
        <v>42618.833333333336</v>
      </c>
      <c r="I29" s="166">
        <f>AVERAGE('Updated Volumes'!I28:AB28)</f>
        <v>42618.833333333336</v>
      </c>
      <c r="J29" s="234"/>
      <c r="K29" s="193"/>
    </row>
    <row r="30" spans="2:13">
      <c r="B30" s="240"/>
      <c r="C30" s="190"/>
      <c r="D30" s="190"/>
      <c r="E30" s="190"/>
      <c r="F30" s="199"/>
      <c r="G30" s="199"/>
      <c r="H30" s="224"/>
      <c r="I30" s="224"/>
      <c r="J30" s="234"/>
      <c r="K30" s="193"/>
    </row>
    <row r="31" spans="2:13">
      <c r="B31" s="239" t="s">
        <v>65</v>
      </c>
      <c r="C31" s="190"/>
      <c r="D31" s="190"/>
      <c r="E31" s="190"/>
      <c r="F31" s="190"/>
      <c r="G31" s="190"/>
      <c r="H31" s="211"/>
      <c r="I31" s="211"/>
      <c r="J31" s="234"/>
      <c r="K31" s="193"/>
    </row>
    <row r="32" spans="2:13" s="106" customFormat="1" ht="12">
      <c r="B32" s="254" t="s">
        <v>95</v>
      </c>
      <c r="C32" s="190"/>
      <c r="D32" s="190"/>
      <c r="E32" s="190"/>
      <c r="F32" s="190"/>
      <c r="G32" s="190"/>
      <c r="H32" s="211"/>
      <c r="I32" s="211"/>
      <c r="J32" s="234"/>
      <c r="K32" s="193"/>
      <c r="M32" s="193"/>
    </row>
    <row r="33" spans="2:18">
      <c r="B33" s="209" t="str">
        <f>'2017 Determination - Revenue'!B$33</f>
        <v>Border</v>
      </c>
      <c r="C33" s="190" t="str">
        <f>'Updated Volumes'!$C$20</f>
        <v>ML</v>
      </c>
      <c r="D33" s="190"/>
      <c r="E33" s="190"/>
      <c r="F33" s="207">
        <f>ROUND(('Updated Volumes'!Y41+'Updated Volumes'!Y63),0)</f>
        <v>263238</v>
      </c>
      <c r="G33" s="207">
        <f>ROUND(('Updated Volumes'!Z41+'Updated Volumes'!Z63),0)</f>
        <v>263218</v>
      </c>
      <c r="H33" s="225">
        <f>ROUND(('Updated Volumes'!AA41+'Updated Volumes'!AA63),0)</f>
        <v>263281</v>
      </c>
      <c r="I33" s="225">
        <f>ROUND(('Updated Volumes'!AB41+'Updated Volumes'!AB63),0)</f>
        <v>263218</v>
      </c>
      <c r="J33" s="234"/>
      <c r="K33" s="260"/>
    </row>
    <row r="34" spans="2:18">
      <c r="B34" s="209" t="str">
        <f>'2017 Determination - Revenue'!B$34</f>
        <v>Gwydir</v>
      </c>
      <c r="C34" s="190" t="str">
        <f>'Updated Volumes'!$C$20</f>
        <v>ML</v>
      </c>
      <c r="D34" s="190"/>
      <c r="E34" s="190"/>
      <c r="F34" s="207">
        <f>ROUND(('Updated Volumes'!Y42+'Updated Volumes'!Y64),0)</f>
        <v>509665</v>
      </c>
      <c r="G34" s="207">
        <f>ROUND(('Updated Volumes'!Z42+'Updated Volumes'!Z64),0)</f>
        <v>509665</v>
      </c>
      <c r="H34" s="225">
        <f>ROUND(('Updated Volumes'!AA42+'Updated Volumes'!AA64),0)</f>
        <v>509665</v>
      </c>
      <c r="I34" s="225">
        <f>ROUND(('Updated Volumes'!AB42+'Updated Volumes'!AB64),0)</f>
        <v>509665</v>
      </c>
      <c r="J34" s="234"/>
      <c r="K34" s="260"/>
    </row>
    <row r="35" spans="2:18">
      <c r="B35" s="209" t="str">
        <f>'2017 Determination - Revenue'!B$35</f>
        <v>Namoi</v>
      </c>
      <c r="C35" s="190" t="str">
        <f>'Updated Volumes'!$C$20</f>
        <v>ML</v>
      </c>
      <c r="D35" s="190"/>
      <c r="E35" s="190"/>
      <c r="F35" s="207">
        <f>ROUND(('Updated Volumes'!Y43+'Updated Volumes'!Y65),0)</f>
        <v>256212</v>
      </c>
      <c r="G35" s="207">
        <f>ROUND(('Updated Volumes'!Z43+'Updated Volumes'!Z65),0)</f>
        <v>256212</v>
      </c>
      <c r="H35" s="225">
        <f>ROUND(('Updated Volumes'!AA43+'Updated Volumes'!AA65),0)</f>
        <v>256529</v>
      </c>
      <c r="I35" s="225">
        <f>ROUND(('Updated Volumes'!AB43+'Updated Volumes'!AB65),0)</f>
        <v>256529</v>
      </c>
      <c r="J35" s="234"/>
      <c r="K35" s="260"/>
    </row>
    <row r="36" spans="2:18">
      <c r="B36" s="209" t="str">
        <f>'2017 Determination - Revenue'!B$36</f>
        <v>Peel</v>
      </c>
      <c r="C36" s="190" t="str">
        <f>'Updated Volumes'!$C$20</f>
        <v>ML</v>
      </c>
      <c r="D36" s="190"/>
      <c r="E36" s="190"/>
      <c r="F36" s="207">
        <f>ROUND(('Updated Volumes'!Y44+'Updated Volumes'!Y66),0)</f>
        <v>30428</v>
      </c>
      <c r="G36" s="207">
        <f>ROUND(('Updated Volumes'!Z44+'Updated Volumes'!Z66),0)</f>
        <v>30428</v>
      </c>
      <c r="H36" s="225">
        <f>ROUND(('Updated Volumes'!AA44+'Updated Volumes'!AA66),0)</f>
        <v>29635</v>
      </c>
      <c r="I36" s="225">
        <f>ROUND(('Updated Volumes'!AB44+'Updated Volumes'!AB66),0)</f>
        <v>29635</v>
      </c>
      <c r="J36" s="234"/>
      <c r="K36" s="260"/>
    </row>
    <row r="37" spans="2:18">
      <c r="B37" s="209" t="str">
        <f>'2017 Determination - Revenue'!B$37</f>
        <v>Lachlan</v>
      </c>
      <c r="C37" s="190" t="str">
        <f>'Updated Volumes'!$C$20</f>
        <v>ML</v>
      </c>
      <c r="D37" s="190"/>
      <c r="E37" s="190"/>
      <c r="F37" s="207">
        <f>ROUND(('Updated Volumes'!Y45+'Updated Volumes'!Y67),0)</f>
        <v>633166</v>
      </c>
      <c r="G37" s="207">
        <f>ROUND(('Updated Volumes'!Z45+'Updated Volumes'!Z67),0)</f>
        <v>633166</v>
      </c>
      <c r="H37" s="225">
        <f>ROUND(('Updated Volumes'!AA45+'Updated Volumes'!AA67),0)</f>
        <v>633166</v>
      </c>
      <c r="I37" s="225">
        <f>ROUND(('Updated Volumes'!AB45+'Updated Volumes'!AB67),0)</f>
        <v>633166</v>
      </c>
      <c r="J37" s="234"/>
      <c r="K37" s="260"/>
    </row>
    <row r="38" spans="2:18">
      <c r="B38" s="209" t="str">
        <f>'2017 Determination - Revenue'!B$38</f>
        <v>Macquarie</v>
      </c>
      <c r="C38" s="190" t="str">
        <f>'Updated Volumes'!$C$20</f>
        <v>ML</v>
      </c>
      <c r="D38" s="190"/>
      <c r="E38" s="190"/>
      <c r="F38" s="207">
        <f>ROUND(('Updated Volumes'!Y46+'Updated Volumes'!Y68),0)</f>
        <v>632466</v>
      </c>
      <c r="G38" s="207">
        <f>ROUND(('Updated Volumes'!Z46+'Updated Volumes'!Z68),0)</f>
        <v>632466</v>
      </c>
      <c r="H38" s="225">
        <f>ROUND(('Updated Volumes'!AA46+'Updated Volumes'!AA68),0)</f>
        <v>632466</v>
      </c>
      <c r="I38" s="225">
        <f>ROUND(('Updated Volumes'!AB46+'Updated Volumes'!AB68),0)</f>
        <v>632466</v>
      </c>
      <c r="J38" s="234"/>
      <c r="K38" s="260"/>
    </row>
    <row r="39" spans="2:18">
      <c r="B39" s="209" t="str">
        <f>'2017 Determination - Revenue'!B$39</f>
        <v>Murray</v>
      </c>
      <c r="C39" s="190" t="str">
        <f>'Updated Volumes'!$C$20</f>
        <v>ML</v>
      </c>
      <c r="D39" s="190"/>
      <c r="E39" s="190"/>
      <c r="F39" s="207">
        <f>ROUND(('Updated Volumes'!Y47+'Updated Volumes'!Y69),0)</f>
        <v>2083271</v>
      </c>
      <c r="G39" s="207">
        <f>ROUND(('Updated Volumes'!Z47+'Updated Volumes'!Z69),0)</f>
        <v>2083271</v>
      </c>
      <c r="H39" s="225">
        <f>ROUND(('Updated Volumes'!AA47+'Updated Volumes'!AA69),0)</f>
        <v>2083271</v>
      </c>
      <c r="I39" s="225">
        <f>ROUND(('Updated Volumes'!AB47+'Updated Volumes'!AB69),0)</f>
        <v>2083603</v>
      </c>
      <c r="J39" s="234"/>
      <c r="K39" s="260"/>
    </row>
    <row r="40" spans="2:18">
      <c r="B40" s="209" t="str">
        <f>'2017 Determination - Revenue'!B$40</f>
        <v>Murrumbidgee</v>
      </c>
      <c r="C40" s="190" t="str">
        <f>'Updated Volumes'!$C$20</f>
        <v>ML</v>
      </c>
      <c r="D40" s="190"/>
      <c r="E40" s="190"/>
      <c r="F40" s="207">
        <f>ROUND(('Updated Volumes'!Y48+'Updated Volumes'!Y70),0)</f>
        <v>2267963</v>
      </c>
      <c r="G40" s="207">
        <f>ROUND(('Updated Volumes'!Z48+'Updated Volumes'!Z70),0)</f>
        <v>2267963</v>
      </c>
      <c r="H40" s="225">
        <f>ROUND(('Updated Volumes'!AA48+'Updated Volumes'!AA70),0)</f>
        <v>2267963</v>
      </c>
      <c r="I40" s="225">
        <f>ROUND(('Updated Volumes'!AB48+'Updated Volumes'!AB70),0)</f>
        <v>2267963</v>
      </c>
      <c r="J40" s="234"/>
      <c r="K40" s="260"/>
    </row>
    <row r="41" spans="2:18">
      <c r="B41" s="209" t="str">
        <f>'2017 Determination - Revenue'!B$41</f>
        <v>Lowbidgee</v>
      </c>
      <c r="C41" s="190" t="str">
        <f>'Updated Volumes'!$C$20</f>
        <v>ML</v>
      </c>
      <c r="D41" s="190"/>
      <c r="E41" s="190"/>
      <c r="F41" s="207">
        <f>ROUND(('Updated Volumes'!Y49+'Updated Volumes'!Y71),0)</f>
        <v>747000</v>
      </c>
      <c r="G41" s="207">
        <f>ROUND(('Updated Volumes'!Z49+'Updated Volumes'!Z71),0)</f>
        <v>747000</v>
      </c>
      <c r="H41" s="225">
        <f>ROUND(('Updated Volumes'!AA49+'Updated Volumes'!AA71),0)</f>
        <v>747000</v>
      </c>
      <c r="I41" s="225">
        <f>ROUND(('Updated Volumes'!AB49+'Updated Volumes'!AB71),0)</f>
        <v>747000</v>
      </c>
      <c r="J41" s="234"/>
      <c r="K41" s="193"/>
    </row>
    <row r="42" spans="2:18">
      <c r="B42" s="240"/>
      <c r="C42" s="190"/>
      <c r="D42" s="190"/>
      <c r="E42" s="190"/>
      <c r="F42" s="199"/>
      <c r="G42" s="199"/>
      <c r="H42" s="224"/>
      <c r="I42" s="224"/>
      <c r="J42" s="234"/>
      <c r="K42" s="193"/>
    </row>
    <row r="43" spans="2:18">
      <c r="B43" s="239" t="str">
        <f>'Updated Volumes'!B51</f>
        <v>High security entitlements</v>
      </c>
      <c r="C43" s="190"/>
      <c r="D43" s="190"/>
      <c r="E43" s="190"/>
      <c r="F43" s="190"/>
      <c r="G43" s="190"/>
      <c r="H43" s="211"/>
      <c r="I43" s="211"/>
      <c r="J43" s="234"/>
      <c r="K43" s="193"/>
    </row>
    <row r="44" spans="2:18" s="106" customFormat="1" ht="12">
      <c r="B44" s="254" t="s">
        <v>95</v>
      </c>
      <c r="C44" s="190"/>
      <c r="D44" s="190"/>
      <c r="E44" s="190"/>
      <c r="F44" s="190"/>
      <c r="G44" s="190"/>
      <c r="H44" s="211"/>
      <c r="I44" s="211"/>
      <c r="J44" s="234"/>
      <c r="K44" s="193"/>
      <c r="M44" s="193"/>
    </row>
    <row r="45" spans="2:18">
      <c r="B45" s="209" t="str">
        <f>'2017 Determination - Revenue'!B$33</f>
        <v>Border</v>
      </c>
      <c r="C45" s="190" t="str">
        <f>'Updated Volumes'!$C$20</f>
        <v>ML</v>
      </c>
      <c r="D45" s="190"/>
      <c r="E45" s="190"/>
      <c r="F45" s="207">
        <f>ROUND('Updated Volumes'!Y52,0)</f>
        <v>3121</v>
      </c>
      <c r="G45" s="207">
        <f>ROUND('Updated Volumes'!Z52,0)</f>
        <v>3141</v>
      </c>
      <c r="H45" s="225">
        <f>ROUND('Updated Volumes'!AA52,0)</f>
        <v>3141</v>
      </c>
      <c r="I45" s="225">
        <f>ROUND('Updated Volumes'!AB52,0)</f>
        <v>3141</v>
      </c>
      <c r="J45" s="234"/>
      <c r="K45" s="261"/>
      <c r="R45" s="106"/>
    </row>
    <row r="46" spans="2:18">
      <c r="B46" s="209" t="str">
        <f>'2017 Determination - Revenue'!B$34</f>
        <v>Gwydir</v>
      </c>
      <c r="C46" s="190" t="str">
        <f>'Updated Volumes'!$C$20</f>
        <v>ML</v>
      </c>
      <c r="D46" s="190"/>
      <c r="E46" s="190"/>
      <c r="F46" s="207">
        <f>ROUND('Updated Volumes'!Y53,0)</f>
        <v>26920</v>
      </c>
      <c r="G46" s="207">
        <f>ROUND('Updated Volumes'!Z53,0)</f>
        <v>26920</v>
      </c>
      <c r="H46" s="225">
        <f>ROUND('Updated Volumes'!AA53,0)</f>
        <v>26920</v>
      </c>
      <c r="I46" s="225">
        <f>ROUND('Updated Volumes'!AB53,0)</f>
        <v>26920</v>
      </c>
      <c r="J46" s="234"/>
      <c r="K46" s="261"/>
    </row>
    <row r="47" spans="2:18">
      <c r="B47" s="209" t="str">
        <f>'2017 Determination - Revenue'!B$35</f>
        <v>Namoi</v>
      </c>
      <c r="C47" s="190" t="str">
        <f>'Updated Volumes'!$C$20</f>
        <v>ML</v>
      </c>
      <c r="D47" s="190"/>
      <c r="E47" s="190"/>
      <c r="F47" s="207">
        <f>ROUND('Updated Volumes'!Y54,0)</f>
        <v>8866</v>
      </c>
      <c r="G47" s="207">
        <f>ROUND('Updated Volumes'!Z54,0)</f>
        <v>8866</v>
      </c>
      <c r="H47" s="225">
        <f>ROUND('Updated Volumes'!AA54,0)</f>
        <v>8866</v>
      </c>
      <c r="I47" s="225">
        <f>ROUND('Updated Volumes'!AB54,0)</f>
        <v>8866</v>
      </c>
      <c r="J47" s="234"/>
      <c r="K47" s="261"/>
    </row>
    <row r="48" spans="2:18">
      <c r="B48" s="209" t="str">
        <f>'2017 Determination - Revenue'!B$36</f>
        <v>Peel</v>
      </c>
      <c r="C48" s="190" t="str">
        <f>'Updated Volumes'!$C$20</f>
        <v>ML</v>
      </c>
      <c r="D48" s="190"/>
      <c r="E48" s="190"/>
      <c r="F48" s="207">
        <f>ROUND('Updated Volumes'!Y55,0)</f>
        <v>17367</v>
      </c>
      <c r="G48" s="207">
        <f>ROUND('Updated Volumes'!Z55,0)</f>
        <v>17367</v>
      </c>
      <c r="H48" s="225">
        <f>ROUND('Updated Volumes'!AA55,0)</f>
        <v>17367</v>
      </c>
      <c r="I48" s="225">
        <f>ROUND('Updated Volumes'!AB55,0)</f>
        <v>17367</v>
      </c>
      <c r="J48" s="234"/>
      <c r="K48" s="261"/>
    </row>
    <row r="49" spans="2:11">
      <c r="B49" s="209" t="str">
        <f>'2017 Determination - Revenue'!B$37</f>
        <v>Lachlan</v>
      </c>
      <c r="C49" s="190" t="str">
        <f>'Updated Volumes'!$C$20</f>
        <v>ML</v>
      </c>
      <c r="D49" s="190"/>
      <c r="E49" s="190"/>
      <c r="F49" s="207">
        <f>ROUND('Updated Volumes'!Y56,0)</f>
        <v>57304</v>
      </c>
      <c r="G49" s="207">
        <f>ROUND('Updated Volumes'!Z56,0)</f>
        <v>57301</v>
      </c>
      <c r="H49" s="225">
        <f>ROUND('Updated Volumes'!AA56,0)</f>
        <v>57302</v>
      </c>
      <c r="I49" s="225">
        <f>ROUND('Updated Volumes'!AB56,0)</f>
        <v>57252</v>
      </c>
      <c r="J49" s="234"/>
      <c r="K49" s="261"/>
    </row>
    <row r="50" spans="2:11">
      <c r="B50" s="209" t="str">
        <f>'2017 Determination - Revenue'!B$38</f>
        <v>Macquarie</v>
      </c>
      <c r="C50" s="190" t="str">
        <f>'Updated Volumes'!$C$20</f>
        <v>ML</v>
      </c>
      <c r="D50" s="190"/>
      <c r="E50" s="190"/>
      <c r="F50" s="207">
        <f>ROUND('Updated Volumes'!Y57,0)</f>
        <v>42712</v>
      </c>
      <c r="G50" s="207">
        <f>ROUND('Updated Volumes'!Z57,0)</f>
        <v>42688</v>
      </c>
      <c r="H50" s="225">
        <f>ROUND('Updated Volumes'!AA57,0)</f>
        <v>42688</v>
      </c>
      <c r="I50" s="225">
        <f>ROUND('Updated Volumes'!AB57,0)</f>
        <v>42691</v>
      </c>
      <c r="J50" s="234"/>
      <c r="K50" s="261"/>
    </row>
    <row r="51" spans="2:11">
      <c r="B51" s="209" t="str">
        <f>'2017 Determination - Revenue'!B$39</f>
        <v>Murray</v>
      </c>
      <c r="C51" s="190" t="str">
        <f>'Updated Volumes'!$C$20</f>
        <v>ML</v>
      </c>
      <c r="D51" s="190"/>
      <c r="E51" s="190"/>
      <c r="F51" s="207">
        <f>ROUND('Updated Volumes'!Y58,0)</f>
        <v>263603</v>
      </c>
      <c r="G51" s="207">
        <f>ROUND('Updated Volumes'!Z58,0)</f>
        <v>263590</v>
      </c>
      <c r="H51" s="225">
        <f>ROUND('Updated Volumes'!AA58,0)</f>
        <v>263555</v>
      </c>
      <c r="I51" s="225">
        <f>ROUND('Updated Volumes'!AB58,0)</f>
        <v>263575</v>
      </c>
      <c r="J51" s="234"/>
      <c r="K51" s="261"/>
    </row>
    <row r="52" spans="2:11">
      <c r="B52" s="209" t="str">
        <f>'2017 Determination - Revenue'!B$40</f>
        <v>Murrumbidgee</v>
      </c>
      <c r="C52" s="190" t="str">
        <f>'Updated Volumes'!$C$20</f>
        <v>ML</v>
      </c>
      <c r="D52" s="190"/>
      <c r="E52" s="190"/>
      <c r="F52" s="207">
        <f>ROUND('Updated Volumes'!Y59,0)</f>
        <v>438328</v>
      </c>
      <c r="G52" s="207">
        <f>ROUND('Updated Volumes'!Z59,0)</f>
        <v>438328</v>
      </c>
      <c r="H52" s="225">
        <f>ROUND('Updated Volumes'!AA59,0)</f>
        <v>438328</v>
      </c>
      <c r="I52" s="225">
        <f>ROUND('Updated Volumes'!AB59,0)</f>
        <v>438328</v>
      </c>
      <c r="J52" s="234"/>
      <c r="K52" s="261"/>
    </row>
    <row r="53" spans="2:11">
      <c r="B53" s="209" t="str">
        <f>'2017 Determination - Revenue'!B$41</f>
        <v>Lowbidgee</v>
      </c>
      <c r="C53" s="190" t="str">
        <f>'Updated Volumes'!$C$20</f>
        <v>ML</v>
      </c>
      <c r="D53" s="190"/>
      <c r="E53" s="190"/>
      <c r="F53" s="207">
        <f>ROUND('Updated Volumes'!Y60,0)</f>
        <v>0</v>
      </c>
      <c r="G53" s="207">
        <f>ROUND('Updated Volumes'!Z60,0)</f>
        <v>0</v>
      </c>
      <c r="H53" s="225">
        <f>ROUND('Updated Volumes'!AA60,0)</f>
        <v>0</v>
      </c>
      <c r="I53" s="225">
        <f>ROUND('Updated Volumes'!AB60,0)</f>
        <v>0</v>
      </c>
      <c r="J53" s="234"/>
      <c r="K53" s="193"/>
    </row>
    <row r="54" spans="2:11">
      <c r="B54" s="243"/>
      <c r="C54" s="54"/>
      <c r="D54" s="54"/>
      <c r="E54" s="54"/>
      <c r="F54" s="54"/>
      <c r="G54" s="54"/>
      <c r="H54" s="167"/>
      <c r="I54" s="226"/>
      <c r="J54" s="235"/>
      <c r="K54" s="193"/>
    </row>
    <row r="55" spans="2:11">
      <c r="B55" s="193"/>
      <c r="C55" s="193"/>
      <c r="D55" s="193"/>
      <c r="E55" s="193"/>
      <c r="F55" s="193"/>
      <c r="G55" s="193"/>
      <c r="H55" s="227"/>
      <c r="J55" s="193"/>
      <c r="K55" s="193"/>
    </row>
    <row r="56" spans="2:11">
      <c r="B56" s="193"/>
      <c r="C56" s="193"/>
      <c r="D56" s="193"/>
      <c r="E56" s="193"/>
      <c r="F56" s="193"/>
      <c r="G56" s="193"/>
      <c r="H56" s="227"/>
      <c r="J56" s="193"/>
      <c r="K56" s="193"/>
    </row>
    <row r="57" spans="2:11">
      <c r="B57" s="244" t="s">
        <v>129</v>
      </c>
      <c r="C57" s="193"/>
      <c r="D57" s="193"/>
      <c r="E57" s="193"/>
      <c r="F57" s="193"/>
      <c r="G57" s="193"/>
      <c r="H57" s="193"/>
      <c r="I57" s="193"/>
      <c r="J57" s="193"/>
      <c r="K57" s="193"/>
    </row>
    <row r="58" spans="2:11">
      <c r="B58" s="237" t="str">
        <f>'2017 Determination - Revenue'!B$16</f>
        <v>Financial year</v>
      </c>
      <c r="C58" s="238" t="str">
        <f>'2017 Determination - Revenue'!C$28</f>
        <v>Units</v>
      </c>
      <c r="D58" s="238"/>
      <c r="E58" s="238"/>
      <c r="F58" s="194" t="str">
        <f>'2017 Determination - Revenue'!F$16</f>
        <v>2017-18</v>
      </c>
      <c r="G58" s="194" t="str">
        <f>'2017 Determination - Revenue'!G$16</f>
        <v>2018-19</v>
      </c>
      <c r="H58" s="210" t="str">
        <f>'2017 Determination - Revenue'!H$16</f>
        <v>2019-20</v>
      </c>
      <c r="I58" s="210" t="str">
        <f>'2017 Determination - Revenue'!I$16</f>
        <v>2020-21</v>
      </c>
      <c r="J58" s="236"/>
      <c r="K58" s="193"/>
    </row>
    <row r="59" spans="2:11">
      <c r="B59" s="209"/>
      <c r="C59" s="190"/>
      <c r="D59" s="190"/>
      <c r="E59" s="190"/>
      <c r="F59" s="195"/>
      <c r="G59" s="195"/>
      <c r="H59" s="214"/>
      <c r="I59" s="214"/>
      <c r="J59" s="234"/>
      <c r="K59" s="193"/>
    </row>
    <row r="60" spans="2:11" ht="12">
      <c r="B60" s="254" t="s">
        <v>143</v>
      </c>
      <c r="C60" s="190"/>
      <c r="D60" s="190"/>
      <c r="E60" s="190"/>
      <c r="F60" s="190"/>
      <c r="G60" s="190"/>
      <c r="H60" s="211"/>
      <c r="I60" s="211"/>
      <c r="J60" s="234"/>
      <c r="K60" s="193"/>
    </row>
    <row r="61" spans="2:11">
      <c r="B61" s="239" t="str">
        <f>'Updated Volumes'!B79</f>
        <v>General security entitlements</v>
      </c>
      <c r="C61" s="190"/>
      <c r="D61" s="190"/>
      <c r="E61" s="190"/>
      <c r="F61" s="190"/>
      <c r="G61" s="190"/>
      <c r="H61" s="211"/>
      <c r="I61" s="211"/>
      <c r="J61" s="234"/>
      <c r="K61" s="193"/>
    </row>
    <row r="62" spans="2:11">
      <c r="B62" s="209" t="str">
        <f>'2017 Determination - Revenue'!B$33</f>
        <v>Border</v>
      </c>
      <c r="C62" s="190" t="str">
        <f>'Updated Volumes'!$C$80</f>
        <v>%</v>
      </c>
      <c r="D62" s="190"/>
      <c r="E62" s="190"/>
      <c r="F62" s="202">
        <f>AVERAGE('Updated Volumes'!F80:Y80)</f>
        <v>0.4642611013938393</v>
      </c>
      <c r="G62" s="202">
        <f>AVERAGE('Updated Volumes'!G80:Z80)</f>
        <v>0.4879513315452727</v>
      </c>
      <c r="H62" s="228">
        <f>AVERAGE('Updated Volumes'!H80:AA80)</f>
        <v>0.47360133154527267</v>
      </c>
      <c r="I62" s="228">
        <f>AVERAGE('Updated Volumes'!I80:AB80)</f>
        <v>0.4576013315452726</v>
      </c>
      <c r="J62" s="234"/>
      <c r="K62" s="193"/>
    </row>
    <row r="63" spans="2:11">
      <c r="B63" s="209" t="str">
        <f>'2017 Determination - Revenue'!B$34</f>
        <v>Gwydir</v>
      </c>
      <c r="C63" s="190" t="str">
        <f>'Updated Volumes'!$C$80</f>
        <v>%</v>
      </c>
      <c r="D63" s="190"/>
      <c r="E63" s="190"/>
      <c r="F63" s="202">
        <f>AVERAGE('Updated Volumes'!F81:Y81)</f>
        <v>0.43874779714841683</v>
      </c>
      <c r="G63" s="202">
        <f>AVERAGE('Updated Volumes'!G81:Z81)</f>
        <v>0.44056288647179587</v>
      </c>
      <c r="H63" s="228">
        <f>AVERAGE('Updated Volumes'!H81:AA81)</f>
        <v>0.40836288647179597</v>
      </c>
      <c r="I63" s="228">
        <f>AVERAGE('Updated Volumes'!I81:AB81)</f>
        <v>0.32427022237913189</v>
      </c>
      <c r="J63" s="234"/>
      <c r="K63" s="193"/>
    </row>
    <row r="64" spans="2:11">
      <c r="B64" s="209" t="str">
        <f>'2017 Determination - Revenue'!B$35</f>
        <v>Namoi</v>
      </c>
      <c r="C64" s="190" t="str">
        <f>'Updated Volumes'!$C$80</f>
        <v>%</v>
      </c>
      <c r="D64" s="190"/>
      <c r="E64" s="190"/>
      <c r="F64" s="202">
        <f>AVERAGE('Updated Volumes'!F82:Y82)</f>
        <v>0.58245197620959044</v>
      </c>
      <c r="G64" s="202">
        <f>AVERAGE('Updated Volumes'!G82:Z82)</f>
        <v>0.59429539463538317</v>
      </c>
      <c r="H64" s="228">
        <f>AVERAGE('Updated Volumes'!H82:AA82)</f>
        <v>0.54979539463538318</v>
      </c>
      <c r="I64" s="228">
        <f>AVERAGE('Updated Volumes'!I82:AB82)</f>
        <v>0.43632765269989926</v>
      </c>
      <c r="J64" s="234"/>
      <c r="K64" s="193"/>
    </row>
    <row r="65" spans="2:11">
      <c r="B65" s="209" t="str">
        <f>'2017 Determination - Revenue'!B$36</f>
        <v>Peel</v>
      </c>
      <c r="C65" s="190" t="str">
        <f>'Updated Volumes'!$C$80</f>
        <v>%</v>
      </c>
      <c r="D65" s="190"/>
      <c r="E65" s="190"/>
      <c r="F65" s="202">
        <f>AVERAGE('Updated Volumes'!F83:Y83)</f>
        <v>0.62250023005126853</v>
      </c>
      <c r="G65" s="202">
        <f>AVERAGE('Updated Volumes'!G83:Z83)</f>
        <v>0.64000006572893386</v>
      </c>
      <c r="H65" s="228">
        <f>AVERAGE('Updated Volumes'!H83:AA83)</f>
        <v>0.64135006572893383</v>
      </c>
      <c r="I65" s="228">
        <f>AVERAGE('Updated Volumes'!I83:AB83)</f>
        <v>0.61035006572893402</v>
      </c>
      <c r="J65" s="234"/>
      <c r="K65" s="193"/>
    </row>
    <row r="66" spans="2:11">
      <c r="B66" s="209" t="str">
        <f>'2017 Determination - Revenue'!B$37</f>
        <v>Lachlan</v>
      </c>
      <c r="C66" s="190" t="str">
        <f>'Updated Volumes'!$C$80</f>
        <v>%</v>
      </c>
      <c r="D66" s="190"/>
      <c r="E66" s="190"/>
      <c r="F66" s="202">
        <f>AVERAGE('Updated Volumes'!F84:Y84)</f>
        <v>0.3654321138961259</v>
      </c>
      <c r="G66" s="202">
        <f>AVERAGE('Updated Volumes'!G84:Z84)</f>
        <v>0.38443211389612586</v>
      </c>
      <c r="H66" s="228">
        <f>AVERAGE('Updated Volumes'!H84:AA84)</f>
        <v>0.35443211389612583</v>
      </c>
      <c r="I66" s="228">
        <f>AVERAGE('Updated Volumes'!I84:AB84)</f>
        <v>0.30443211389612584</v>
      </c>
      <c r="J66" s="234"/>
      <c r="K66" s="193"/>
    </row>
    <row r="67" spans="2:11">
      <c r="B67" s="209" t="str">
        <f>'2017 Determination - Revenue'!B$38</f>
        <v>Macquarie</v>
      </c>
      <c r="C67" s="190" t="str">
        <f>'Updated Volumes'!$C$80</f>
        <v>%</v>
      </c>
      <c r="D67" s="190"/>
      <c r="E67" s="190"/>
      <c r="F67" s="202">
        <f>AVERAGE('Updated Volumes'!F85:Y85)</f>
        <v>0.39703018759898756</v>
      </c>
      <c r="G67" s="202">
        <f>AVERAGE('Updated Volumes'!G85:Z85)</f>
        <v>0.40453018759898746</v>
      </c>
      <c r="H67" s="228">
        <f>AVERAGE('Updated Volumes'!H85:AA85)</f>
        <v>0.41853018759898752</v>
      </c>
      <c r="I67" s="228">
        <f>AVERAGE('Updated Volumes'!I85:AB85)</f>
        <v>0.36853018759898748</v>
      </c>
      <c r="J67" s="234"/>
      <c r="K67" s="193"/>
    </row>
    <row r="68" spans="2:11">
      <c r="B68" s="209" t="str">
        <f>'2017 Determination - Revenue'!B$39</f>
        <v>Murray</v>
      </c>
      <c r="C68" s="190" t="str">
        <f>'Updated Volumes'!$C$80</f>
        <v>%</v>
      </c>
      <c r="D68" s="190"/>
      <c r="E68" s="190"/>
      <c r="F68" s="202">
        <f>AVERAGE('Updated Volumes'!F86:Y86)</f>
        <v>0.60890439295202625</v>
      </c>
      <c r="G68" s="202">
        <f>AVERAGE('Updated Volumes'!G86:Z86)</f>
        <v>0.60890439295202625</v>
      </c>
      <c r="H68" s="228">
        <f>AVERAGE('Updated Volumes'!H86:AA86)</f>
        <v>0.59240439295202629</v>
      </c>
      <c r="I68" s="228">
        <f>AVERAGE('Updated Volumes'!I86:AB86)</f>
        <v>0.54590439295202631</v>
      </c>
      <c r="J68" s="234"/>
      <c r="K68" s="193"/>
    </row>
    <row r="69" spans="2:11">
      <c r="B69" s="209" t="str">
        <f>'2017 Determination - Revenue'!B$40</f>
        <v>Murrumbidgee</v>
      </c>
      <c r="C69" s="190" t="str">
        <f>'Updated Volumes'!$C$80</f>
        <v>%</v>
      </c>
      <c r="D69" s="190"/>
      <c r="E69" s="190"/>
      <c r="F69" s="202">
        <f>AVERAGE('Updated Volumes'!F87:Y87)</f>
        <v>0.62111301031771859</v>
      </c>
      <c r="G69" s="202">
        <f>AVERAGE('Updated Volumes'!G87:Z87)</f>
        <v>0.62111303236490956</v>
      </c>
      <c r="H69" s="228">
        <f>AVERAGE('Updated Volumes'!H87:AA87)</f>
        <v>0.60196303236490956</v>
      </c>
      <c r="I69" s="228">
        <f>AVERAGE('Updated Volumes'!I87:AB87)</f>
        <v>0.56296303236490952</v>
      </c>
      <c r="J69" s="234"/>
      <c r="K69" s="193"/>
    </row>
    <row r="70" spans="2:11">
      <c r="B70" s="209" t="str">
        <f>'2017 Determination - Revenue'!B$41</f>
        <v>Lowbidgee</v>
      </c>
      <c r="C70" s="190" t="str">
        <f>'Updated Volumes'!$C$80</f>
        <v>%</v>
      </c>
      <c r="D70" s="190"/>
      <c r="E70" s="190"/>
      <c r="F70" s="202"/>
      <c r="G70" s="202"/>
      <c r="H70" s="228"/>
      <c r="I70" s="228"/>
      <c r="J70" s="234"/>
      <c r="K70" s="193"/>
    </row>
    <row r="71" spans="2:11">
      <c r="B71" s="240"/>
      <c r="C71" s="190"/>
      <c r="D71" s="190"/>
      <c r="E71" s="190"/>
      <c r="F71" s="201"/>
      <c r="G71" s="199"/>
      <c r="H71" s="224"/>
      <c r="I71" s="224"/>
      <c r="J71" s="234"/>
      <c r="K71" s="193"/>
    </row>
    <row r="72" spans="2:11">
      <c r="B72" s="239" t="str">
        <f>'Updated Volumes'!B90</f>
        <v>High security entitlements</v>
      </c>
      <c r="C72" s="190"/>
      <c r="D72" s="190"/>
      <c r="E72" s="190"/>
      <c r="F72" s="201"/>
      <c r="G72" s="190"/>
      <c r="H72" s="211"/>
      <c r="I72" s="211"/>
      <c r="J72" s="234"/>
      <c r="K72" s="193"/>
    </row>
    <row r="73" spans="2:11">
      <c r="B73" s="209" t="str">
        <f>'2017 Determination - Revenue'!B$33</f>
        <v>Border</v>
      </c>
      <c r="C73" s="190" t="str">
        <f>'Updated Volumes'!$C$80</f>
        <v>%</v>
      </c>
      <c r="D73" s="190"/>
      <c r="E73" s="190"/>
      <c r="F73" s="202">
        <f>AVERAGE('Updated Volumes'!F91:Y91)</f>
        <v>1.000016020506248</v>
      </c>
      <c r="G73" s="202">
        <f>AVERAGE('Updated Volumes'!G91:Z91)</f>
        <v>1.000016020506248</v>
      </c>
      <c r="H73" s="228">
        <f>AVERAGE('Updated Volumes'!H91:AA91)</f>
        <v>1.000016020506248</v>
      </c>
      <c r="I73" s="228">
        <f>AVERAGE('Updated Volumes'!I91:AB91)</f>
        <v>1.000016020506248</v>
      </c>
      <c r="J73" s="234"/>
      <c r="K73" s="193"/>
    </row>
    <row r="74" spans="2:11">
      <c r="B74" s="209" t="str">
        <f>'2017 Determination - Revenue'!B$34</f>
        <v>Gwydir</v>
      </c>
      <c r="C74" s="190" t="str">
        <f>'Updated Volumes'!$C$80</f>
        <v>%</v>
      </c>
      <c r="D74" s="190"/>
      <c r="E74" s="190"/>
      <c r="F74" s="202">
        <f>AVERAGE('Updated Volumes'!F92:Y92)</f>
        <v>0.99987741410629316</v>
      </c>
      <c r="G74" s="202">
        <f>AVERAGE('Updated Volumes'!G92:Z92)</f>
        <v>0.99987741410629316</v>
      </c>
      <c r="H74" s="228">
        <f>AVERAGE('Updated Volumes'!H92:AA92)</f>
        <v>0.99987741410629316</v>
      </c>
      <c r="I74" s="228">
        <f>AVERAGE('Updated Volumes'!I92:AB92)</f>
        <v>0.99987741410629316</v>
      </c>
      <c r="J74" s="234"/>
      <c r="K74" s="193"/>
    </row>
    <row r="75" spans="2:11">
      <c r="B75" s="209" t="str">
        <f>'2017 Determination - Revenue'!B$35</f>
        <v>Namoi</v>
      </c>
      <c r="C75" s="190" t="str">
        <f>'Updated Volumes'!$C$80</f>
        <v>%</v>
      </c>
      <c r="D75" s="190"/>
      <c r="E75" s="190"/>
      <c r="F75" s="202">
        <f>AVERAGE('Updated Volumes'!F93:Y93)</f>
        <v>1.0000902323482967</v>
      </c>
      <c r="G75" s="202">
        <f>AVERAGE('Updated Volumes'!G93:Z93)</f>
        <v>1.0000902323482967</v>
      </c>
      <c r="H75" s="228">
        <f>AVERAGE('Updated Volumes'!H93:AA93)</f>
        <v>1.0000902323482967</v>
      </c>
      <c r="I75" s="228">
        <f>AVERAGE('Updated Volumes'!I93:AB93)</f>
        <v>1.0000902323482967</v>
      </c>
      <c r="J75" s="234"/>
      <c r="K75" s="193"/>
    </row>
    <row r="76" spans="2:11">
      <c r="B76" s="209" t="str">
        <f>'2017 Determination - Revenue'!B$36</f>
        <v>Peel</v>
      </c>
      <c r="C76" s="190" t="str">
        <f>'Updated Volumes'!$C$80</f>
        <v>%</v>
      </c>
      <c r="D76" s="190"/>
      <c r="E76" s="190"/>
      <c r="F76" s="202">
        <f>AVERAGE('Updated Volumes'!F94:Y94)</f>
        <v>0.98450000000000004</v>
      </c>
      <c r="G76" s="202">
        <f>AVERAGE('Updated Volumes'!G94:Z94)</f>
        <v>0.98450000000000004</v>
      </c>
      <c r="H76" s="228">
        <f>AVERAGE('Updated Volumes'!H94:AA94)</f>
        <v>0.98450000000000004</v>
      </c>
      <c r="I76" s="228">
        <f>AVERAGE('Updated Volumes'!I94:AB94)</f>
        <v>0.98449999999999993</v>
      </c>
      <c r="J76" s="234"/>
      <c r="K76" s="193"/>
    </row>
    <row r="77" spans="2:11">
      <c r="B77" s="209" t="str">
        <f>'2017 Determination - Revenue'!B$37</f>
        <v>Lachlan</v>
      </c>
      <c r="C77" s="190" t="str">
        <f>'Updated Volumes'!$C$80</f>
        <v>%</v>
      </c>
      <c r="D77" s="190"/>
      <c r="E77" s="190"/>
      <c r="F77" s="202">
        <f>AVERAGE('Updated Volumes'!F95:Y95)</f>
        <v>0.82518297152031272</v>
      </c>
      <c r="G77" s="202">
        <f>AVERAGE('Updated Volumes'!G95:Z95)</f>
        <v>0.82518759622145232</v>
      </c>
      <c r="H77" s="228">
        <f>AVERAGE('Updated Volumes'!H95:AA95)</f>
        <v>0.82518759622145232</v>
      </c>
      <c r="I77" s="228">
        <f>AVERAGE('Updated Volumes'!I95:AB95)</f>
        <v>0.82518759622145232</v>
      </c>
      <c r="J77" s="234"/>
      <c r="K77" s="193"/>
    </row>
    <row r="78" spans="2:11">
      <c r="B78" s="209" t="str">
        <f>'2017 Determination - Revenue'!B$38</f>
        <v>Macquarie</v>
      </c>
      <c r="C78" s="190" t="str">
        <f>'Updated Volumes'!$C$80</f>
        <v>%</v>
      </c>
      <c r="D78" s="190"/>
      <c r="E78" s="190"/>
      <c r="F78" s="202">
        <f>AVERAGE('Updated Volumes'!F96:Y96)</f>
        <v>0.99996616875819444</v>
      </c>
      <c r="G78" s="202">
        <f>AVERAGE('Updated Volumes'!G96:Z96)</f>
        <v>0.9999946310895288</v>
      </c>
      <c r="H78" s="228">
        <f>AVERAGE('Updated Volumes'!H96:AA96)</f>
        <v>0.9999946310895288</v>
      </c>
      <c r="I78" s="228">
        <f>AVERAGE('Updated Volumes'!I96:AB96)</f>
        <v>0.9999946310895288</v>
      </c>
      <c r="J78" s="234"/>
      <c r="K78" s="193"/>
    </row>
    <row r="79" spans="2:11">
      <c r="B79" s="209" t="str">
        <f>'2017 Determination - Revenue'!B$39</f>
        <v>Murray</v>
      </c>
      <c r="C79" s="190" t="str">
        <f>'Updated Volumes'!$C$80</f>
        <v>%</v>
      </c>
      <c r="D79" s="190"/>
      <c r="E79" s="190"/>
      <c r="F79" s="202">
        <f>AVERAGE('Updated Volumes'!F97:Y97)</f>
        <v>0.94931241191776583</v>
      </c>
      <c r="G79" s="202">
        <f>AVERAGE('Updated Volumes'!G97:Z97)</f>
        <v>0.94931241191776561</v>
      </c>
      <c r="H79" s="228">
        <f>AVERAGE('Updated Volumes'!H97:AA97)</f>
        <v>0.94881241191776555</v>
      </c>
      <c r="I79" s="228">
        <f>AVERAGE('Updated Volumes'!I97:AB97)</f>
        <v>0.94731241191776561</v>
      </c>
      <c r="J79" s="234"/>
      <c r="K79" s="193"/>
    </row>
    <row r="80" spans="2:11">
      <c r="B80" s="209" t="str">
        <f>'2017 Determination - Revenue'!B$40</f>
        <v>Murrumbidgee</v>
      </c>
      <c r="C80" s="190" t="str">
        <f>'Updated Volumes'!$C$80</f>
        <v>%</v>
      </c>
      <c r="D80" s="190"/>
      <c r="E80" s="190"/>
      <c r="F80" s="202">
        <f>AVERAGE('Updated Volumes'!F98:Y98)</f>
        <v>0.97218156636269304</v>
      </c>
      <c r="G80" s="202">
        <f>AVERAGE('Updated Volumes'!G98:Z98)</f>
        <v>0.97218488094668098</v>
      </c>
      <c r="H80" s="228">
        <f>AVERAGE('Updated Volumes'!H98:AA98)</f>
        <v>0.97018488094668087</v>
      </c>
      <c r="I80" s="228">
        <f>AVERAGE('Updated Volumes'!I98:AB98)</f>
        <v>0.96768488094668081</v>
      </c>
      <c r="J80" s="234"/>
      <c r="K80" s="193"/>
    </row>
    <row r="81" spans="2:11">
      <c r="B81" s="209" t="str">
        <f>'2017 Determination - Revenue'!B$41</f>
        <v>Lowbidgee</v>
      </c>
      <c r="C81" s="190" t="str">
        <f>'Updated Volumes'!$C$80</f>
        <v>%</v>
      </c>
      <c r="D81" s="190"/>
      <c r="E81" s="190"/>
      <c r="F81" s="202">
        <f>AVERAGE('Updated Volumes'!F99:Y99)</f>
        <v>0</v>
      </c>
      <c r="G81" s="202">
        <f>AVERAGE('Updated Volumes'!G99:Z99)</f>
        <v>0</v>
      </c>
      <c r="H81" s="228">
        <f>AVERAGE('Updated Volumes'!H99:AA99)</f>
        <v>0</v>
      </c>
      <c r="I81" s="228">
        <f>AVERAGE('Updated Volumes'!I99:AB99)</f>
        <v>0</v>
      </c>
      <c r="J81" s="234"/>
      <c r="K81" s="193"/>
    </row>
    <row r="82" spans="2:11">
      <c r="B82" s="240"/>
      <c r="C82" s="190"/>
      <c r="D82" s="190"/>
      <c r="E82" s="190"/>
      <c r="F82" s="201"/>
      <c r="G82" s="199"/>
      <c r="H82" s="224"/>
      <c r="I82" s="224"/>
      <c r="J82" s="234"/>
      <c r="K82" s="193"/>
    </row>
    <row r="83" spans="2:11">
      <c r="B83" s="239" t="str">
        <f>'Updated Volumes'!B101</f>
        <v>Supplementary entitlements</v>
      </c>
      <c r="C83" s="190"/>
      <c r="D83" s="190"/>
      <c r="E83" s="190"/>
      <c r="F83" s="201"/>
      <c r="G83" s="190"/>
      <c r="H83" s="211"/>
      <c r="I83" s="211"/>
      <c r="J83" s="234"/>
      <c r="K83" s="193"/>
    </row>
    <row r="84" spans="2:11">
      <c r="B84" s="209" t="str">
        <f>'2017 Determination - Revenue'!B$33</f>
        <v>Border</v>
      </c>
      <c r="C84" s="190" t="str">
        <f>'Updated Volumes'!$C$80</f>
        <v>%</v>
      </c>
      <c r="D84" s="190"/>
      <c r="E84" s="190"/>
      <c r="F84" s="202">
        <f>AVERAGE('Updated Volumes'!F102:Y102)</f>
        <v>0</v>
      </c>
      <c r="G84" s="202">
        <f>AVERAGE('Updated Volumes'!G102:Z102)</f>
        <v>0</v>
      </c>
      <c r="H84" s="228">
        <f>AVERAGE('Updated Volumes'!H102:AA102)</f>
        <v>0</v>
      </c>
      <c r="I84" s="228">
        <f>AVERAGE('Updated Volumes'!I102:AB102)</f>
        <v>0</v>
      </c>
      <c r="J84" s="234"/>
      <c r="K84" s="193"/>
    </row>
    <row r="85" spans="2:11">
      <c r="B85" s="209" t="str">
        <f>'2017 Determination - Revenue'!B$34</f>
        <v>Gwydir</v>
      </c>
      <c r="C85" s="190" t="str">
        <f>'Updated Volumes'!$C$80</f>
        <v>%</v>
      </c>
      <c r="D85" s="190"/>
      <c r="E85" s="190"/>
      <c r="F85" s="202">
        <f>AVERAGE('Updated Volumes'!F103:Y103)</f>
        <v>0</v>
      </c>
      <c r="G85" s="202">
        <f>AVERAGE('Updated Volumes'!G103:Z103)</f>
        <v>0</v>
      </c>
      <c r="H85" s="228">
        <f>AVERAGE('Updated Volumes'!H103:AA103)</f>
        <v>0</v>
      </c>
      <c r="I85" s="228">
        <f>AVERAGE('Updated Volumes'!I103:AB103)</f>
        <v>0</v>
      </c>
      <c r="J85" s="234"/>
      <c r="K85" s="193"/>
    </row>
    <row r="86" spans="2:11">
      <c r="B86" s="209" t="str">
        <f>'2017 Determination - Revenue'!B$35</f>
        <v>Namoi</v>
      </c>
      <c r="C86" s="190" t="str">
        <f>'Updated Volumes'!$C$80</f>
        <v>%</v>
      </c>
      <c r="D86" s="190"/>
      <c r="E86" s="190"/>
      <c r="F86" s="202">
        <f>AVERAGE('Updated Volumes'!F104:Y104)</f>
        <v>0</v>
      </c>
      <c r="G86" s="202">
        <f>AVERAGE('Updated Volumes'!G104:Z104)</f>
        <v>0</v>
      </c>
      <c r="H86" s="228">
        <f>AVERAGE('Updated Volumes'!H104:AA104)</f>
        <v>0</v>
      </c>
      <c r="I86" s="228">
        <f>AVERAGE('Updated Volumes'!I104:AB104)</f>
        <v>0</v>
      </c>
      <c r="J86" s="234"/>
      <c r="K86" s="193"/>
    </row>
    <row r="87" spans="2:11">
      <c r="B87" s="209" t="str">
        <f>'2017 Determination - Revenue'!B$36</f>
        <v>Peel</v>
      </c>
      <c r="C87" s="190" t="str">
        <f>'Updated Volumes'!$C$80</f>
        <v>%</v>
      </c>
      <c r="D87" s="190"/>
      <c r="E87" s="190"/>
      <c r="F87" s="202">
        <f>AVERAGE('Updated Volumes'!F105:Y105)</f>
        <v>0</v>
      </c>
      <c r="G87" s="202">
        <f>AVERAGE('Updated Volumes'!G105:Z105)</f>
        <v>0</v>
      </c>
      <c r="H87" s="228">
        <f>AVERAGE('Updated Volumes'!H105:AA105)</f>
        <v>0</v>
      </c>
      <c r="I87" s="228">
        <f>AVERAGE('Updated Volumes'!I105:AB105)</f>
        <v>0</v>
      </c>
      <c r="J87" s="234"/>
      <c r="K87" s="193"/>
    </row>
    <row r="88" spans="2:11">
      <c r="B88" s="209" t="str">
        <f>'2017 Determination - Revenue'!B$37</f>
        <v>Lachlan</v>
      </c>
      <c r="C88" s="190" t="str">
        <f>'Updated Volumes'!$C$80</f>
        <v>%</v>
      </c>
      <c r="D88" s="190"/>
      <c r="E88" s="190"/>
      <c r="F88" s="202">
        <f>AVERAGE('Updated Volumes'!F106:Y106)</f>
        <v>0</v>
      </c>
      <c r="G88" s="202">
        <f>AVERAGE('Updated Volumes'!G106:Z106)</f>
        <v>0</v>
      </c>
      <c r="H88" s="228">
        <f>AVERAGE('Updated Volumes'!H106:AA106)</f>
        <v>0</v>
      </c>
      <c r="I88" s="228">
        <f>AVERAGE('Updated Volumes'!I106:AB106)</f>
        <v>0</v>
      </c>
      <c r="J88" s="234"/>
      <c r="K88" s="193"/>
    </row>
    <row r="89" spans="2:11">
      <c r="B89" s="209" t="str">
        <f>'2017 Determination - Revenue'!B$38</f>
        <v>Macquarie</v>
      </c>
      <c r="C89" s="190" t="str">
        <f>'Updated Volumes'!$C$80</f>
        <v>%</v>
      </c>
      <c r="D89" s="190"/>
      <c r="E89" s="190"/>
      <c r="F89" s="202">
        <f>AVERAGE('Updated Volumes'!F107:Y107)</f>
        <v>0</v>
      </c>
      <c r="G89" s="202">
        <f>AVERAGE('Updated Volumes'!G107:Z107)</f>
        <v>0</v>
      </c>
      <c r="H89" s="228">
        <f>AVERAGE('Updated Volumes'!H107:AA107)</f>
        <v>0</v>
      </c>
      <c r="I89" s="228">
        <f>AVERAGE('Updated Volumes'!I107:AB107)</f>
        <v>0</v>
      </c>
      <c r="J89" s="234"/>
      <c r="K89" s="193"/>
    </row>
    <row r="90" spans="2:11">
      <c r="B90" s="209" t="str">
        <f>'2017 Determination - Revenue'!B$39</f>
        <v>Murray</v>
      </c>
      <c r="C90" s="190" t="str">
        <f>'Updated Volumes'!$C$80</f>
        <v>%</v>
      </c>
      <c r="D90" s="190"/>
      <c r="E90" s="190"/>
      <c r="F90" s="202">
        <f>AVERAGE('Updated Volumes'!F108:Y108)</f>
        <v>0</v>
      </c>
      <c r="G90" s="202">
        <f>AVERAGE('Updated Volumes'!G108:Z108)</f>
        <v>0</v>
      </c>
      <c r="H90" s="228">
        <f>AVERAGE('Updated Volumes'!H108:AA108)</f>
        <v>0</v>
      </c>
      <c r="I90" s="228">
        <f>AVERAGE('Updated Volumes'!I108:AB108)</f>
        <v>0</v>
      </c>
      <c r="J90" s="234"/>
      <c r="K90" s="193"/>
    </row>
    <row r="91" spans="2:11">
      <c r="B91" s="209" t="str">
        <f>'2017 Determination - Revenue'!B$40</f>
        <v>Murrumbidgee</v>
      </c>
      <c r="C91" s="190" t="str">
        <f>'Updated Volumes'!$C$80</f>
        <v>%</v>
      </c>
      <c r="D91" s="190"/>
      <c r="E91" s="190"/>
      <c r="F91" s="202">
        <f>AVERAGE('Updated Volumes'!F109:Y109)</f>
        <v>0</v>
      </c>
      <c r="G91" s="202">
        <f>AVERAGE('Updated Volumes'!G109:Z109)</f>
        <v>0</v>
      </c>
      <c r="H91" s="228">
        <f>AVERAGE('Updated Volumes'!H109:AA109)</f>
        <v>0</v>
      </c>
      <c r="I91" s="228">
        <f>AVERAGE('Updated Volumes'!I109:AB109)</f>
        <v>0</v>
      </c>
      <c r="J91" s="234"/>
      <c r="K91" s="193"/>
    </row>
    <row r="92" spans="2:11">
      <c r="B92" s="209" t="str">
        <f>'2017 Determination - Revenue'!B$41</f>
        <v>Lowbidgee</v>
      </c>
      <c r="C92" s="190" t="str">
        <f>'Updated Volumes'!$C$80</f>
        <v>%</v>
      </c>
      <c r="D92" s="190"/>
      <c r="E92" s="190"/>
      <c r="F92" s="202">
        <f>AVERAGE('Updated Volumes'!F110:Y110)</f>
        <v>1</v>
      </c>
      <c r="G92" s="202">
        <f>AVERAGE('Updated Volumes'!G110:Z110)</f>
        <v>1</v>
      </c>
      <c r="H92" s="228">
        <f>AVERAGE('Updated Volumes'!H110:AA110)</f>
        <v>1</v>
      </c>
      <c r="I92" s="228">
        <f>AVERAGE('Updated Volumes'!I110:AB110)</f>
        <v>1</v>
      </c>
      <c r="J92" s="234"/>
      <c r="K92" s="193"/>
    </row>
    <row r="93" spans="2:11">
      <c r="B93" s="240"/>
      <c r="C93" s="190"/>
      <c r="D93" s="190"/>
      <c r="E93" s="190"/>
      <c r="F93" s="201"/>
      <c r="G93" s="199"/>
      <c r="H93" s="224"/>
      <c r="I93" s="224"/>
      <c r="J93" s="234"/>
      <c r="K93" s="193"/>
    </row>
    <row r="94" spans="2:11">
      <c r="B94" s="243"/>
      <c r="C94" s="54"/>
      <c r="D94" s="54"/>
      <c r="E94" s="54"/>
      <c r="F94" s="84"/>
      <c r="G94" s="54"/>
      <c r="H94" s="167"/>
      <c r="I94" s="226"/>
      <c r="J94" s="235"/>
      <c r="K94" s="193"/>
    </row>
    <row r="95" spans="2:11">
      <c r="B95" s="193"/>
      <c r="C95" s="193"/>
      <c r="D95" s="193"/>
      <c r="E95" s="193"/>
      <c r="F95" s="193"/>
      <c r="G95" s="193"/>
      <c r="H95" s="227"/>
      <c r="J95" s="193"/>
      <c r="K95" s="193"/>
    </row>
    <row r="96" spans="2:11">
      <c r="B96" s="193"/>
      <c r="C96" s="193"/>
      <c r="D96" s="193"/>
      <c r="E96" s="193"/>
      <c r="F96" s="193"/>
      <c r="G96" s="193"/>
      <c r="H96" s="227"/>
      <c r="J96" s="193"/>
      <c r="K96" s="193"/>
    </row>
    <row r="97" spans="2:13">
      <c r="B97" s="244" t="s">
        <v>130</v>
      </c>
      <c r="C97" s="193"/>
      <c r="D97" s="193"/>
      <c r="E97" s="193"/>
      <c r="F97" s="193"/>
      <c r="G97" s="193"/>
      <c r="H97" s="193"/>
      <c r="I97" s="193"/>
      <c r="J97" s="193"/>
      <c r="K97" s="193"/>
    </row>
    <row r="98" spans="2:13">
      <c r="B98" s="237" t="str">
        <f>'2017 Determination - Revenue'!B$16</f>
        <v>Financial year</v>
      </c>
      <c r="C98" s="238" t="str">
        <f>'2017 Determination - Revenue'!C$28</f>
        <v>Units</v>
      </c>
      <c r="D98" s="238"/>
      <c r="E98" s="238"/>
      <c r="F98" s="194" t="str">
        <f>'2017 Determination - Revenue'!F$16</f>
        <v>2017-18</v>
      </c>
      <c r="G98" s="194" t="str">
        <f>'2017 Determination - Revenue'!G$16</f>
        <v>2018-19</v>
      </c>
      <c r="H98" s="210" t="str">
        <f>'2017 Determination - Revenue'!H$16</f>
        <v>2019-20</v>
      </c>
      <c r="I98" s="210" t="str">
        <f>'2017 Determination - Revenue'!I$16</f>
        <v>2020-21</v>
      </c>
      <c r="J98" s="236"/>
      <c r="K98" s="193"/>
    </row>
    <row r="99" spans="2:13">
      <c r="B99" s="209"/>
      <c r="C99" s="190"/>
      <c r="D99" s="190"/>
      <c r="E99" s="190"/>
      <c r="F99" s="195"/>
      <c r="G99" s="195"/>
      <c r="H99" s="195"/>
      <c r="I99" s="195"/>
      <c r="J99" s="234"/>
      <c r="K99" s="193"/>
    </row>
    <row r="100" spans="2:13">
      <c r="B100" s="239" t="s">
        <v>135</v>
      </c>
      <c r="C100" s="193"/>
      <c r="D100" s="190"/>
      <c r="E100" s="190"/>
      <c r="F100" s="201"/>
      <c r="G100" s="190"/>
      <c r="H100" s="211"/>
      <c r="I100" s="211"/>
      <c r="J100" s="234"/>
      <c r="K100" s="193"/>
    </row>
    <row r="101" spans="2:13" s="106" customFormat="1" ht="12">
      <c r="B101" s="254" t="s">
        <v>136</v>
      </c>
      <c r="C101" s="190"/>
      <c r="D101" s="190"/>
      <c r="E101" s="190"/>
      <c r="F101" s="201"/>
      <c r="G101" s="190"/>
      <c r="H101" s="211"/>
      <c r="I101" s="211"/>
      <c r="J101" s="234"/>
      <c r="K101" s="193"/>
      <c r="M101" s="193"/>
    </row>
    <row r="102" spans="2:13">
      <c r="B102" s="209" t="str">
        <f>'2017 Determination - Revenue'!B$33</f>
        <v>Border</v>
      </c>
      <c r="C102" s="250" t="s">
        <v>16</v>
      </c>
      <c r="D102" s="190"/>
      <c r="E102" s="190"/>
      <c r="F102" s="201">
        <f>F73/F62</f>
        <v>2.1539948479507012</v>
      </c>
      <c r="G102" s="263">
        <f t="shared" ref="F102:H109" si="0">G73/G62</f>
        <v>2.049417546088744</v>
      </c>
      <c r="H102" s="229">
        <f t="shared" si="0"/>
        <v>2.1115143769621225</v>
      </c>
      <c r="I102" s="229">
        <f t="shared" ref="I102" si="1">I73/I62</f>
        <v>2.1853433361509174</v>
      </c>
      <c r="J102" s="234"/>
      <c r="K102" s="193"/>
    </row>
    <row r="103" spans="2:13">
      <c r="B103" s="209" t="str">
        <f>'2017 Determination - Revenue'!B$34</f>
        <v>Gwydir</v>
      </c>
      <c r="C103" s="190" t="str">
        <f t="shared" ref="C103:C110" si="2">C$102</f>
        <v>#</v>
      </c>
      <c r="D103" s="190"/>
      <c r="E103" s="190"/>
      <c r="F103" s="201">
        <f t="shared" si="0"/>
        <v>2.2789343231005694</v>
      </c>
      <c r="G103" s="263">
        <f t="shared" si="0"/>
        <v>2.2695452676772483</v>
      </c>
      <c r="H103" s="229">
        <f t="shared" ref="H103:I109" si="3">H74/H63</f>
        <v>2.4485021710594426</v>
      </c>
      <c r="I103" s="229">
        <f t="shared" si="3"/>
        <v>3.0834697271007867</v>
      </c>
      <c r="J103" s="234"/>
      <c r="K103" s="193"/>
    </row>
    <row r="104" spans="2:13">
      <c r="B104" s="209" t="str">
        <f>'2017 Determination - Revenue'!B$35</f>
        <v>Namoi</v>
      </c>
      <c r="C104" s="190" t="str">
        <f t="shared" si="2"/>
        <v>#</v>
      </c>
      <c r="D104" s="190"/>
      <c r="E104" s="190"/>
      <c r="F104" s="201">
        <f t="shared" si="0"/>
        <v>1.7170346624224049</v>
      </c>
      <c r="G104" s="263">
        <f t="shared" si="0"/>
        <v>1.6828167294849727</v>
      </c>
      <c r="H104" s="229">
        <f t="shared" si="3"/>
        <v>1.8190225711358368</v>
      </c>
      <c r="I104" s="229">
        <f t="shared" si="3"/>
        <v>2.2920624584757783</v>
      </c>
      <c r="J104" s="234"/>
      <c r="K104" s="193"/>
    </row>
    <row r="105" spans="2:13">
      <c r="B105" s="209" t="str">
        <f>'2017 Determination - Revenue'!B$36</f>
        <v>Peel</v>
      </c>
      <c r="C105" s="190" t="str">
        <f t="shared" si="2"/>
        <v>#</v>
      </c>
      <c r="D105" s="190"/>
      <c r="E105" s="190"/>
      <c r="F105" s="201">
        <f t="shared" si="0"/>
        <v>1.5815255199486715</v>
      </c>
      <c r="G105" s="263">
        <f t="shared" si="0"/>
        <v>1.5382810920162873</v>
      </c>
      <c r="H105" s="229">
        <f t="shared" si="3"/>
        <v>1.5350431107870164</v>
      </c>
      <c r="I105" s="229">
        <f t="shared" si="3"/>
        <v>1.6130087555970407</v>
      </c>
      <c r="J105" s="234"/>
      <c r="K105" s="193"/>
    </row>
    <row r="106" spans="2:13">
      <c r="B106" s="209" t="str">
        <f>'2017 Determination - Revenue'!B$37</f>
        <v>Lachlan</v>
      </c>
      <c r="C106" s="190" t="str">
        <f t="shared" si="2"/>
        <v>#</v>
      </c>
      <c r="D106" s="190"/>
      <c r="E106" s="190"/>
      <c r="F106" s="201">
        <f t="shared" si="0"/>
        <v>2.2581019569475251</v>
      </c>
      <c r="G106" s="263">
        <f t="shared" si="0"/>
        <v>2.1465105707698999</v>
      </c>
      <c r="H106" s="229">
        <f t="shared" si="3"/>
        <v>2.3281964694183772</v>
      </c>
      <c r="I106" s="229">
        <f t="shared" si="3"/>
        <v>2.7105799899382874</v>
      </c>
      <c r="J106" s="234"/>
      <c r="K106" s="193"/>
    </row>
    <row r="107" spans="2:13">
      <c r="B107" s="209" t="str">
        <f>'2017 Determination - Revenue'!B$38</f>
        <v>Macquarie</v>
      </c>
      <c r="C107" s="190" t="str">
        <f t="shared" si="2"/>
        <v>#</v>
      </c>
      <c r="D107" s="190"/>
      <c r="E107" s="190"/>
      <c r="F107" s="201">
        <f t="shared" si="0"/>
        <v>2.5186149567251301</v>
      </c>
      <c r="G107" s="263">
        <f t="shared" si="0"/>
        <v>2.4719901301428409</v>
      </c>
      <c r="H107" s="229">
        <f t="shared" si="3"/>
        <v>2.3893010844122631</v>
      </c>
      <c r="I107" s="229">
        <f t="shared" si="3"/>
        <v>2.7134673487797509</v>
      </c>
      <c r="J107" s="234"/>
      <c r="K107" s="193"/>
    </row>
    <row r="108" spans="2:13">
      <c r="B108" s="209" t="str">
        <f>'2017 Determination - Revenue'!B$39</f>
        <v>Murray</v>
      </c>
      <c r="C108" s="190" t="str">
        <f t="shared" si="2"/>
        <v>#</v>
      </c>
      <c r="D108" s="190"/>
      <c r="E108" s="190"/>
      <c r="F108" s="201">
        <f t="shared" si="0"/>
        <v>1.5590500297023795</v>
      </c>
      <c r="G108" s="263">
        <f t="shared" si="0"/>
        <v>1.559050029702379</v>
      </c>
      <c r="H108" s="229">
        <f t="shared" si="3"/>
        <v>1.6016296016808937</v>
      </c>
      <c r="I108" s="229">
        <f t="shared" si="3"/>
        <v>1.7353082776914286</v>
      </c>
      <c r="J108" s="234"/>
      <c r="K108" s="193"/>
    </row>
    <row r="109" spans="2:13">
      <c r="B109" s="209" t="str">
        <f>'2017 Determination - Revenue'!B$40</f>
        <v>Murrumbidgee</v>
      </c>
      <c r="C109" s="190" t="str">
        <f t="shared" si="2"/>
        <v>#</v>
      </c>
      <c r="D109" s="190"/>
      <c r="E109" s="190"/>
      <c r="F109" s="201">
        <f t="shared" si="0"/>
        <v>1.5652249272083223</v>
      </c>
      <c r="G109" s="263">
        <f t="shared" si="0"/>
        <v>1.5652302081716964</v>
      </c>
      <c r="H109" s="229">
        <f t="shared" si="3"/>
        <v>1.6117017637032494</v>
      </c>
      <c r="I109" s="229">
        <f t="shared" si="3"/>
        <v>1.7189137213532573</v>
      </c>
      <c r="J109" s="234"/>
      <c r="K109" s="193"/>
    </row>
    <row r="110" spans="2:13">
      <c r="B110" s="209" t="str">
        <f>'2017 Determination - Revenue'!B$41</f>
        <v>Lowbidgee</v>
      </c>
      <c r="C110" s="190" t="str">
        <f t="shared" si="2"/>
        <v>#</v>
      </c>
      <c r="D110" s="262"/>
      <c r="E110" s="190"/>
      <c r="F110" s="186">
        <v>0</v>
      </c>
      <c r="G110" s="187">
        <v>0</v>
      </c>
      <c r="H110" s="230">
        <v>0</v>
      </c>
      <c r="I110" s="230">
        <v>1</v>
      </c>
      <c r="J110" s="234"/>
      <c r="K110" s="193"/>
    </row>
    <row r="111" spans="2:13">
      <c r="B111" s="240"/>
      <c r="C111" s="190"/>
      <c r="D111" s="190"/>
      <c r="E111" s="190"/>
      <c r="F111" s="201"/>
      <c r="G111" s="78"/>
      <c r="H111" s="224"/>
      <c r="I111" s="224"/>
      <c r="J111" s="234"/>
      <c r="K111" s="193"/>
    </row>
    <row r="112" spans="2:13">
      <c r="B112" s="239" t="s">
        <v>37</v>
      </c>
      <c r="C112" s="193"/>
      <c r="D112" s="190"/>
      <c r="E112" s="190"/>
      <c r="F112" s="201"/>
      <c r="G112" s="37"/>
      <c r="H112" s="211"/>
      <c r="I112" s="211"/>
      <c r="J112" s="234"/>
      <c r="K112" s="193"/>
    </row>
    <row r="113" spans="2:13" s="106" customFormat="1" ht="12">
      <c r="B113" s="254" t="s">
        <v>156</v>
      </c>
      <c r="C113" s="190"/>
      <c r="D113" s="190"/>
      <c r="E113" s="190"/>
      <c r="F113" s="201"/>
      <c r="G113" s="37"/>
      <c r="H113" s="211"/>
      <c r="I113" s="211"/>
      <c r="J113" s="234"/>
      <c r="K113" s="193"/>
      <c r="M113" s="193"/>
    </row>
    <row r="114" spans="2:13">
      <c r="B114" s="209" t="str">
        <f>'2017 Determination - Revenue'!B$33</f>
        <v>Border</v>
      </c>
      <c r="C114" s="190" t="str">
        <f t="shared" ref="C114:C122" si="4">C$102</f>
        <v>#</v>
      </c>
      <c r="D114" s="190"/>
      <c r="E114" s="190"/>
      <c r="F114" s="201">
        <f>F102*'2017 Determination - Revenue'!F111</f>
        <v>2.6924935599383764</v>
      </c>
      <c r="G114" s="263">
        <f>G102*'2017 Determination - Revenue'!G111</f>
        <v>2.5617719326109301</v>
      </c>
      <c r="H114" s="229">
        <f>H102*'2017 Determination - Revenue'!H111</f>
        <v>2.6393929712026534</v>
      </c>
      <c r="I114" s="229">
        <f>I102*'2017 Determination - Revenue'!I111</f>
        <v>2.7316791701886469</v>
      </c>
      <c r="J114" s="234"/>
      <c r="K114" s="193"/>
    </row>
    <row r="115" spans="2:13">
      <c r="B115" s="209" t="str">
        <f>'2017 Determination - Revenue'!B$34</f>
        <v>Gwydir</v>
      </c>
      <c r="C115" s="190" t="str">
        <f t="shared" si="4"/>
        <v>#</v>
      </c>
      <c r="D115" s="190"/>
      <c r="E115" s="190"/>
      <c r="F115" s="201">
        <f>F103*'2017 Determination - Revenue'!F112</f>
        <v>3.1844054939026294</v>
      </c>
      <c r="G115" s="263">
        <f>G103*'2017 Determination - Revenue'!G112</f>
        <v>3.1712859584383946</v>
      </c>
      <c r="H115" s="229">
        <f>H103*'2017 Determination - Revenue'!H112</f>
        <v>3.4213464101703828</v>
      </c>
      <c r="I115" s="229">
        <f>I103*'2017 Determination - Revenue'!I112</f>
        <v>4.3086006646751764</v>
      </c>
      <c r="J115" s="234"/>
      <c r="K115" s="193"/>
    </row>
    <row r="116" spans="2:13">
      <c r="B116" s="209" t="str">
        <f>'2017 Determination - Revenue'!B$35</f>
        <v>Namoi</v>
      </c>
      <c r="C116" s="190" t="str">
        <f t="shared" si="4"/>
        <v>#</v>
      </c>
      <c r="D116" s="190"/>
      <c r="E116" s="190"/>
      <c r="F116" s="201">
        <f>F104*'2017 Determination - Revenue'!F113</f>
        <v>2.1462933280280061</v>
      </c>
      <c r="G116" s="263">
        <f>G104*'2017 Determination - Revenue'!G113</f>
        <v>2.1035209118562159</v>
      </c>
      <c r="H116" s="229">
        <f>H104*'2017 Determination - Revenue'!H113</f>
        <v>2.2737782139197957</v>
      </c>
      <c r="I116" s="229">
        <f>I104*'2017 Determination - Revenue'!I113</f>
        <v>2.8650780730947227</v>
      </c>
      <c r="J116" s="234"/>
      <c r="K116" s="193"/>
    </row>
    <row r="117" spans="2:13">
      <c r="B117" s="209" t="str">
        <f>'2017 Determination - Revenue'!B$36</f>
        <v>Peel</v>
      </c>
      <c r="C117" s="190" t="str">
        <f t="shared" si="4"/>
        <v>#</v>
      </c>
      <c r="D117" s="190"/>
      <c r="E117" s="190"/>
      <c r="F117" s="201">
        <f>F105*'2017 Determination - Revenue'!F114</f>
        <v>10.346253320604475</v>
      </c>
      <c r="G117" s="263">
        <f>G105*'2017 Determination - Revenue'!G114</f>
        <v>10.063350641861996</v>
      </c>
      <c r="H117" s="229">
        <f>H105*'2017 Determination - Revenue'!H114</f>
        <v>10.042167946026341</v>
      </c>
      <c r="I117" s="229">
        <f>I105*'2017 Determination - Revenue'!I114</f>
        <v>10.552214923665352</v>
      </c>
      <c r="J117" s="234"/>
      <c r="K117" s="193"/>
    </row>
    <row r="118" spans="2:13">
      <c r="B118" s="209" t="str">
        <f>'2017 Determination - Revenue'!B$37</f>
        <v>Lachlan</v>
      </c>
      <c r="C118" s="190" t="str">
        <f t="shared" si="4"/>
        <v>#</v>
      </c>
      <c r="D118" s="190"/>
      <c r="E118" s="190"/>
      <c r="F118" s="201">
        <f>F106*'2017 Determination - Revenue'!F115</f>
        <v>5.634456108916158</v>
      </c>
      <c r="G118" s="263">
        <f>G106*'2017 Determination - Revenue'!G115</f>
        <v>5.3560113001614251</v>
      </c>
      <c r="H118" s="229">
        <f>H106*'2017 Determination - Revenue'!H115</f>
        <v>5.8093571813756029</v>
      </c>
      <c r="I118" s="229">
        <f>I106*'2017 Determination - Revenue'!I115</f>
        <v>6.7634873332553402</v>
      </c>
      <c r="J118" s="234"/>
      <c r="K118" s="193"/>
    </row>
    <row r="119" spans="2:13">
      <c r="B119" s="209" t="str">
        <f>'2017 Determination - Revenue'!B$38</f>
        <v>Macquarie</v>
      </c>
      <c r="C119" s="190" t="str">
        <f t="shared" si="4"/>
        <v>#</v>
      </c>
      <c r="D119" s="190"/>
      <c r="E119" s="190"/>
      <c r="F119" s="201">
        <f>F107*'2017 Determination - Revenue'!F116</f>
        <v>4.7471727833214441</v>
      </c>
      <c r="G119" s="263">
        <f>G107*'2017 Determination - Revenue'!G116</f>
        <v>4.6592926938351491</v>
      </c>
      <c r="H119" s="229">
        <f>H107*'2017 Determination - Revenue'!H116</f>
        <v>4.5034375138589979</v>
      </c>
      <c r="I119" s="229">
        <f>I107*'2017 Determination - Revenue'!I116</f>
        <v>5.1144373268186047</v>
      </c>
      <c r="J119" s="234"/>
      <c r="K119" s="193"/>
    </row>
    <row r="120" spans="2:13">
      <c r="B120" s="209" t="str">
        <f>'2017 Determination - Revenue'!B$39</f>
        <v>Murray</v>
      </c>
      <c r="C120" s="190" t="str">
        <f t="shared" si="4"/>
        <v>#</v>
      </c>
      <c r="D120" s="190"/>
      <c r="E120" s="190"/>
      <c r="F120" s="201">
        <f>F108*'2017 Determination - Revenue'!F117</f>
        <v>2.0400047126005267</v>
      </c>
      <c r="G120" s="263">
        <f>G108*'2017 Determination - Revenue'!G117</f>
        <v>2.0400047126005263</v>
      </c>
      <c r="H120" s="229">
        <f>H108*'2017 Determination - Revenue'!H117</f>
        <v>2.0957197479373111</v>
      </c>
      <c r="I120" s="229">
        <f>I108*'2017 Determination - Revenue'!I117</f>
        <v>2.2706372450286323</v>
      </c>
      <c r="J120" s="234"/>
      <c r="K120" s="193"/>
    </row>
    <row r="121" spans="2:13">
      <c r="B121" s="209" t="str">
        <f>'2017 Determination - Revenue'!B$40</f>
        <v>Murrumbidgee</v>
      </c>
      <c r="C121" s="190" t="str">
        <f t="shared" si="4"/>
        <v>#</v>
      </c>
      <c r="D121" s="190"/>
      <c r="E121" s="190"/>
      <c r="F121" s="201">
        <f>F109*'2017 Determination - Revenue'!F118</f>
        <v>2.6498773911620734</v>
      </c>
      <c r="G121" s="263">
        <f>G109*'2017 Determination - Revenue'!G118</f>
        <v>2.6498863316697316</v>
      </c>
      <c r="H121" s="229">
        <f>H109*'2017 Determination - Revenue'!H118</f>
        <v>2.7285612378730399</v>
      </c>
      <c r="I121" s="229">
        <f>I109*'2017 Determination - Revenue'!I118</f>
        <v>2.9100677662323151</v>
      </c>
      <c r="J121" s="234"/>
      <c r="K121" s="193"/>
    </row>
    <row r="122" spans="2:13">
      <c r="B122" s="209" t="str">
        <f>'2017 Determination - Revenue'!B$41</f>
        <v>Lowbidgee</v>
      </c>
      <c r="C122" s="190" t="str">
        <f t="shared" si="4"/>
        <v>#</v>
      </c>
      <c r="D122" s="190"/>
      <c r="E122" s="190"/>
      <c r="F122" s="186">
        <v>0</v>
      </c>
      <c r="G122" s="187">
        <v>0</v>
      </c>
      <c r="H122" s="230">
        <v>0</v>
      </c>
      <c r="I122" s="230">
        <v>1</v>
      </c>
      <c r="J122" s="234"/>
      <c r="K122" s="193"/>
    </row>
    <row r="123" spans="2:13">
      <c r="B123" s="240"/>
      <c r="C123" s="190"/>
      <c r="D123" s="190"/>
      <c r="E123" s="190"/>
      <c r="F123" s="201"/>
      <c r="G123" s="78"/>
      <c r="H123" s="224"/>
      <c r="I123" s="224"/>
      <c r="J123" s="234"/>
      <c r="K123" s="193"/>
    </row>
    <row r="124" spans="2:13">
      <c r="B124" s="243"/>
      <c r="C124" s="54"/>
      <c r="D124" s="54"/>
      <c r="E124" s="54"/>
      <c r="F124" s="84"/>
      <c r="G124" s="35"/>
      <c r="H124" s="167"/>
      <c r="I124" s="226"/>
      <c r="J124" s="235"/>
      <c r="K124" s="193"/>
    </row>
    <row r="125" spans="2:13">
      <c r="B125" s="193"/>
      <c r="C125" s="193"/>
      <c r="D125" s="193"/>
      <c r="E125" s="193"/>
      <c r="F125" s="193"/>
      <c r="H125" s="227"/>
      <c r="J125" s="193"/>
      <c r="K125" s="193"/>
    </row>
    <row r="126" spans="2:13">
      <c r="B126" s="193"/>
      <c r="C126" s="193"/>
      <c r="D126" s="193"/>
      <c r="E126" s="193"/>
      <c r="F126" s="193"/>
      <c r="H126" s="227"/>
      <c r="J126" s="193"/>
      <c r="K126" s="193"/>
    </row>
    <row r="127" spans="2:13">
      <c r="B127" s="60" t="s">
        <v>140</v>
      </c>
      <c r="D127" s="59"/>
      <c r="E127" s="59"/>
      <c r="F127" s="193"/>
      <c r="G127" s="59"/>
      <c r="H127" s="103"/>
      <c r="I127" s="193"/>
      <c r="J127" s="103"/>
      <c r="K127" s="103"/>
    </row>
    <row r="128" spans="2:13">
      <c r="B128" s="264" t="str">
        <f>'2017 Determination - Revenue'!B$16</f>
        <v>Financial year</v>
      </c>
      <c r="C128" s="265" t="str">
        <f>'2017 Determination - Revenue'!C$28</f>
        <v>Units</v>
      </c>
      <c r="D128" s="191"/>
      <c r="E128" s="191"/>
      <c r="F128" s="194" t="str">
        <f>'2017 Determination - Revenue'!F$16</f>
        <v>2017-18</v>
      </c>
      <c r="G128" s="194" t="str">
        <f>'2017 Determination - Revenue'!G$16</f>
        <v>2018-19</v>
      </c>
      <c r="H128" s="210" t="str">
        <f>'2017 Determination - Revenue'!H$16</f>
        <v>2019-20</v>
      </c>
      <c r="I128" s="210" t="str">
        <f>'2017 Determination - Revenue'!I$16</f>
        <v>2020-21</v>
      </c>
      <c r="J128" s="63"/>
      <c r="K128" s="59"/>
    </row>
    <row r="129" spans="2:11">
      <c r="B129" s="197"/>
      <c r="C129" s="192"/>
      <c r="D129" s="192"/>
      <c r="E129" s="192"/>
      <c r="F129" s="195"/>
      <c r="G129" s="85"/>
      <c r="H129" s="85"/>
      <c r="I129" s="195"/>
      <c r="J129" s="66"/>
      <c r="K129" s="59"/>
    </row>
    <row r="130" spans="2:11">
      <c r="B130" s="212" t="s">
        <v>141</v>
      </c>
      <c r="C130" s="192"/>
      <c r="D130" s="192"/>
      <c r="E130" s="192"/>
      <c r="F130" s="190"/>
      <c r="G130" s="52"/>
      <c r="H130" s="132"/>
      <c r="I130" s="211"/>
      <c r="J130" s="66"/>
    </row>
    <row r="131" spans="2:11">
      <c r="B131" s="266" t="str">
        <f>'2017 Determination - Revenue'!B$33</f>
        <v>Border</v>
      </c>
      <c r="C131" s="267" t="str">
        <f t="shared" ref="C131:C139" si="5">C$102</f>
        <v>#</v>
      </c>
      <c r="D131" s="192"/>
      <c r="E131" s="192"/>
      <c r="F131" s="189">
        <f t="shared" ref="F131:H138" si="6">F33+(F45*F114)</f>
        <v>271641.27240056766</v>
      </c>
      <c r="G131" s="268">
        <f t="shared" si="6"/>
        <v>271264.52564033092</v>
      </c>
      <c r="H131" s="221">
        <f t="shared" si="6"/>
        <v>271571.33332254755</v>
      </c>
      <c r="I131" s="221">
        <f t="shared" ref="I131" si="7">I33+(I45*I114)</f>
        <v>271798.20427356253</v>
      </c>
      <c r="J131" s="66"/>
    </row>
    <row r="132" spans="2:11">
      <c r="B132" s="266" t="str">
        <f>'2017 Determination - Revenue'!B$34</f>
        <v>Gwydir</v>
      </c>
      <c r="C132" s="267" t="str">
        <f t="shared" si="5"/>
        <v>#</v>
      </c>
      <c r="D132" s="192"/>
      <c r="E132" s="192"/>
      <c r="F132" s="189">
        <f t="shared" si="6"/>
        <v>595389.19589585881</v>
      </c>
      <c r="G132" s="268">
        <f t="shared" si="6"/>
        <v>595036.01800116163</v>
      </c>
      <c r="H132" s="221">
        <f t="shared" ref="H132:I137" si="8">H34+(H46*H115)</f>
        <v>601767.64536178671</v>
      </c>
      <c r="I132" s="221">
        <f t="shared" si="8"/>
        <v>625652.52989305579</v>
      </c>
      <c r="J132" s="66"/>
    </row>
    <row r="133" spans="2:11">
      <c r="B133" s="266" t="str">
        <f>'2017 Determination - Revenue'!B$35</f>
        <v>Namoi</v>
      </c>
      <c r="C133" s="267" t="str">
        <f t="shared" si="5"/>
        <v>#</v>
      </c>
      <c r="D133" s="192"/>
      <c r="E133" s="192"/>
      <c r="F133" s="189">
        <f t="shared" si="6"/>
        <v>275241.03664629633</v>
      </c>
      <c r="G133" s="268">
        <f t="shared" si="6"/>
        <v>274861.81640451722</v>
      </c>
      <c r="H133" s="221">
        <f t="shared" si="8"/>
        <v>276688.31764461292</v>
      </c>
      <c r="I133" s="221">
        <f t="shared" si="8"/>
        <v>281930.78219605779</v>
      </c>
      <c r="J133" s="66"/>
    </row>
    <row r="134" spans="2:11">
      <c r="B134" s="266" t="str">
        <f>'2017 Determination - Revenue'!B$36</f>
        <v>Peel</v>
      </c>
      <c r="C134" s="267" t="str">
        <f t="shared" si="5"/>
        <v>#</v>
      </c>
      <c r="D134" s="192"/>
      <c r="E134" s="192"/>
      <c r="F134" s="189">
        <f t="shared" si="6"/>
        <v>210111.38141893793</v>
      </c>
      <c r="G134" s="268">
        <f t="shared" si="6"/>
        <v>205198.21059721729</v>
      </c>
      <c r="H134" s="221">
        <f t="shared" si="8"/>
        <v>204037.33071863945</v>
      </c>
      <c r="I134" s="221">
        <f t="shared" si="8"/>
        <v>212895.31657929617</v>
      </c>
      <c r="J134" s="66"/>
    </row>
    <row r="135" spans="2:11">
      <c r="B135" s="266" t="str">
        <f>'2017 Determination - Revenue'!B$37</f>
        <v>Lachlan</v>
      </c>
      <c r="C135" s="267" t="str">
        <f t="shared" si="5"/>
        <v>#</v>
      </c>
      <c r="D135" s="192"/>
      <c r="E135" s="192"/>
      <c r="F135" s="189">
        <f t="shared" si="6"/>
        <v>956042.87286533159</v>
      </c>
      <c r="G135" s="268">
        <f t="shared" si="6"/>
        <v>940070.80351054983</v>
      </c>
      <c r="H135" s="221">
        <f t="shared" si="8"/>
        <v>966053.78520718473</v>
      </c>
      <c r="I135" s="221">
        <f t="shared" si="8"/>
        <v>1020389.1768035347</v>
      </c>
      <c r="J135" s="66"/>
      <c r="K135" s="59"/>
    </row>
    <row r="136" spans="2:11">
      <c r="B136" s="266" t="str">
        <f>'2017 Determination - Revenue'!B$38</f>
        <v>Macquarie</v>
      </c>
      <c r="C136" s="267" t="str">
        <f t="shared" si="5"/>
        <v>#</v>
      </c>
      <c r="D136" s="192"/>
      <c r="E136" s="192"/>
      <c r="F136" s="189">
        <f t="shared" si="6"/>
        <v>835227.24392122554</v>
      </c>
      <c r="G136" s="268">
        <f t="shared" si="6"/>
        <v>831361.88651443482</v>
      </c>
      <c r="H136" s="221">
        <f t="shared" si="8"/>
        <v>824708.74059161288</v>
      </c>
      <c r="I136" s="221">
        <f t="shared" si="8"/>
        <v>850806.44391921302</v>
      </c>
      <c r="J136" s="66"/>
      <c r="K136" s="59"/>
    </row>
    <row r="137" spans="2:11">
      <c r="B137" s="266" t="str">
        <f>'2017 Determination - Revenue'!B$39</f>
        <v>Murray</v>
      </c>
      <c r="C137" s="267" t="str">
        <f t="shared" si="5"/>
        <v>#</v>
      </c>
      <c r="D137" s="192"/>
      <c r="E137" s="192"/>
      <c r="F137" s="189">
        <f t="shared" si="6"/>
        <v>2621022.3622556366</v>
      </c>
      <c r="G137" s="268">
        <f t="shared" si="6"/>
        <v>2620995.8421943728</v>
      </c>
      <c r="H137" s="221">
        <f t="shared" si="8"/>
        <v>2635608.4181676181</v>
      </c>
      <c r="I137" s="221">
        <f t="shared" si="8"/>
        <v>2682086.2118584216</v>
      </c>
      <c r="J137" s="66"/>
      <c r="K137" s="59"/>
    </row>
    <row r="138" spans="2:11" ht="12" thickBot="1">
      <c r="B138" s="266" t="str">
        <f>'2017 Determination - Revenue'!B$40</f>
        <v>Murrumbidgee</v>
      </c>
      <c r="C138" s="267" t="str">
        <f t="shared" si="5"/>
        <v>#</v>
      </c>
      <c r="D138" s="192"/>
      <c r="E138" s="192"/>
      <c r="F138" s="203">
        <f t="shared" si="6"/>
        <v>3429478.4571132893</v>
      </c>
      <c r="G138" s="269">
        <f t="shared" si="6"/>
        <v>3429482.3759881305</v>
      </c>
      <c r="H138" s="231">
        <f t="shared" si="6"/>
        <v>3463967.7902744138</v>
      </c>
      <c r="I138" s="231">
        <f t="shared" ref="I138" si="9">I40+(I52*I121)</f>
        <v>3543527.1838370785</v>
      </c>
      <c r="J138" s="66"/>
      <c r="K138" s="59"/>
    </row>
    <row r="139" spans="2:11" ht="12" thickTop="1">
      <c r="B139" s="266" t="str">
        <f>'2017 Determination - Revenue'!B$41</f>
        <v>Lowbidgee</v>
      </c>
      <c r="C139" s="267" t="str">
        <f t="shared" si="5"/>
        <v>#</v>
      </c>
      <c r="D139" s="192"/>
      <c r="E139" s="192"/>
      <c r="F139" s="189">
        <f>F41+F53</f>
        <v>747000</v>
      </c>
      <c r="G139" s="268">
        <f>G41+G53</f>
        <v>747000</v>
      </c>
      <c r="H139" s="221">
        <f>H41+H53</f>
        <v>747000</v>
      </c>
      <c r="I139" s="221">
        <f>I41+I53</f>
        <v>747000</v>
      </c>
      <c r="J139" s="66"/>
      <c r="K139" s="59"/>
    </row>
    <row r="140" spans="2:11">
      <c r="B140" s="204"/>
      <c r="C140" s="192"/>
      <c r="D140" s="192"/>
      <c r="E140" s="192"/>
      <c r="F140" s="199"/>
      <c r="G140" s="205"/>
      <c r="H140" s="224"/>
      <c r="I140" s="224"/>
      <c r="J140" s="66"/>
      <c r="K140" s="59"/>
    </row>
    <row r="141" spans="2:11">
      <c r="B141" s="198"/>
      <c r="C141" s="72"/>
      <c r="D141" s="72"/>
      <c r="E141" s="72"/>
      <c r="F141" s="54"/>
      <c r="G141" s="72"/>
      <c r="H141" s="167"/>
      <c r="I141" s="226"/>
      <c r="J141" s="70"/>
      <c r="K141" s="59"/>
    </row>
    <row r="142" spans="2:11">
      <c r="B142" s="196"/>
      <c r="C142" s="196"/>
      <c r="D142" s="196"/>
      <c r="E142" s="196"/>
      <c r="F142" s="193"/>
      <c r="G142" s="196"/>
      <c r="H142" s="227"/>
      <c r="J142" s="59"/>
      <c r="K142" s="59"/>
    </row>
    <row r="143" spans="2:11">
      <c r="B143" s="196"/>
      <c r="C143" s="196"/>
      <c r="D143" s="196"/>
      <c r="E143" s="196"/>
      <c r="F143" s="193"/>
      <c r="G143" s="196"/>
      <c r="H143" s="227"/>
      <c r="J143" s="59"/>
      <c r="K143" s="59"/>
    </row>
    <row r="144" spans="2:11">
      <c r="B144" s="32" t="s">
        <v>139</v>
      </c>
      <c r="F144" s="193"/>
      <c r="H144" s="193"/>
      <c r="I144" s="193"/>
      <c r="J144" s="106"/>
      <c r="K144" s="106"/>
    </row>
    <row r="145" spans="2:12">
      <c r="B145" s="237" t="str">
        <f>'2017 Determination - Revenue'!B$16</f>
        <v>Financial year</v>
      </c>
      <c r="C145" s="238" t="str">
        <f>'2017 Determination - Revenue'!C$28</f>
        <v>Units</v>
      </c>
      <c r="D145" s="238"/>
      <c r="E145" s="238"/>
      <c r="F145" s="194" t="str">
        <f>'2017 Determination - Revenue'!F$16</f>
        <v>2017-18</v>
      </c>
      <c r="G145" s="194" t="str">
        <f>'2017 Determination - Revenue'!G$16</f>
        <v>2018-19</v>
      </c>
      <c r="H145" s="210" t="str">
        <f>'2017 Determination - Revenue'!H$16</f>
        <v>2019-20</v>
      </c>
      <c r="I145" s="210" t="str">
        <f>'2017 Determination - Revenue'!I$16</f>
        <v>2020-21</v>
      </c>
      <c r="J145" s="236"/>
      <c r="K145" s="193"/>
    </row>
    <row r="146" spans="2:12">
      <c r="B146" s="209"/>
      <c r="C146" s="190"/>
      <c r="D146" s="190"/>
      <c r="E146" s="190"/>
      <c r="F146" s="195"/>
      <c r="G146" s="195"/>
      <c r="H146" s="195"/>
      <c r="I146" s="195"/>
      <c r="J146" s="234"/>
      <c r="K146" s="193"/>
    </row>
    <row r="147" spans="2:12">
      <c r="B147" s="239" t="s">
        <v>165</v>
      </c>
      <c r="C147" s="190"/>
      <c r="D147" s="190"/>
      <c r="E147" s="190"/>
      <c r="F147" s="190"/>
      <c r="G147" s="190"/>
      <c r="H147" s="211"/>
      <c r="I147" s="211"/>
      <c r="J147" s="234"/>
      <c r="K147" s="193"/>
    </row>
    <row r="148" spans="2:12">
      <c r="B148" s="209" t="str">
        <f>'2017 Determination - Revenue'!B$33</f>
        <v>Border</v>
      </c>
      <c r="C148" s="190" t="str">
        <f>'2017 Determination - Revenue'!C$33</f>
        <v>$'000</v>
      </c>
      <c r="D148" s="190"/>
      <c r="E148" s="190"/>
      <c r="F148" s="188">
        <f>'2017 Determination - Revenue'!F33-'2017 Determination - Revenue'!F45</f>
        <v>1344.3467612694878</v>
      </c>
      <c r="G148" s="188">
        <f>'2017 Determination - Revenue'!G33-'2017 Determination - Revenue'!G45</f>
        <v>1344.3469329256268</v>
      </c>
      <c r="H148" s="232">
        <f>'2017 Determination - Revenue'!H33-'2017 Determination - Revenue'!H45</f>
        <v>1344.3475838400896</v>
      </c>
      <c r="I148" s="232">
        <f>'2017 Determination - Revenue'!I33-'2017 Determination - Revenue'!I45</f>
        <v>1344.3447579119997</v>
      </c>
      <c r="J148" s="234"/>
      <c r="K148" s="193"/>
    </row>
    <row r="149" spans="2:12">
      <c r="B149" s="209" t="str">
        <f>'2017 Determination - Revenue'!B$34</f>
        <v>Gwydir</v>
      </c>
      <c r="C149" s="190" t="str">
        <f>'2017 Determination - Revenue'!C$33</f>
        <v>$'000</v>
      </c>
      <c r="D149" s="190"/>
      <c r="E149" s="190"/>
      <c r="F149" s="188">
        <f>'2017 Determination - Revenue'!F34-'2017 Determination - Revenue'!F46</f>
        <v>5184.4255985381451</v>
      </c>
      <c r="G149" s="188">
        <f>'2017 Determination - Revenue'!G34-'2017 Determination - Revenue'!G46</f>
        <v>5184.2641110126524</v>
      </c>
      <c r="H149" s="232">
        <f>'2017 Determination - Revenue'!H34-'2017 Determination - Revenue'!H46</f>
        <v>5184.1437099841169</v>
      </c>
      <c r="I149" s="232">
        <f>'2017 Determination - Revenue'!I34-'2017 Determination - Revenue'!I46</f>
        <v>5184.0658685804528</v>
      </c>
      <c r="J149" s="234"/>
      <c r="K149" s="193"/>
    </row>
    <row r="150" spans="2:12">
      <c r="B150" s="209" t="str">
        <f>'2017 Determination - Revenue'!B$35</f>
        <v>Namoi</v>
      </c>
      <c r="C150" s="190" t="str">
        <f>'2017 Determination - Revenue'!C$33</f>
        <v>$'000</v>
      </c>
      <c r="D150" s="190"/>
      <c r="E150" s="190"/>
      <c r="F150" s="188">
        <f>'2017 Determination - Revenue'!F35-'2017 Determination - Revenue'!F47</f>
        <v>5483.6824843548675</v>
      </c>
      <c r="G150" s="188">
        <f>'2017 Determination - Revenue'!G35-'2017 Determination - Revenue'!G47</f>
        <v>5483.4770138866979</v>
      </c>
      <c r="H150" s="232">
        <f>'2017 Determination - Revenue'!H35-'2017 Determination - Revenue'!H47</f>
        <v>5483.343243141574</v>
      </c>
      <c r="I150" s="232">
        <f>'2017 Determination - Revenue'!I35-'2017 Determination - Revenue'!I47</f>
        <v>5483.2746399729531</v>
      </c>
      <c r="J150" s="234"/>
      <c r="K150" s="193"/>
    </row>
    <row r="151" spans="2:12">
      <c r="B151" s="209" t="str">
        <f>'2017 Determination - Revenue'!B$36</f>
        <v>Peel</v>
      </c>
      <c r="C151" s="190" t="str">
        <f>'2017 Determination - Revenue'!C$33</f>
        <v>$'000</v>
      </c>
      <c r="D151" s="190"/>
      <c r="E151" s="190"/>
      <c r="F151" s="188">
        <f>'2017 Determination - Revenue'!F36-'2017 Determination - Revenue'!F48</f>
        <v>1055.3602151328339</v>
      </c>
      <c r="G151" s="188">
        <f>'2017 Determination - Revenue'!G36-'2017 Determination - Revenue'!G48</f>
        <v>1055.3110956572582</v>
      </c>
      <c r="H151" s="232">
        <f>'2017 Determination - Revenue'!H36-'2017 Determination - Revenue'!H48</f>
        <v>1055.2759491651839</v>
      </c>
      <c r="I151" s="232">
        <f>'2017 Determination - Revenue'!I36-'2017 Determination - Revenue'!I48</f>
        <v>1055.2508702192274</v>
      </c>
      <c r="J151" s="234"/>
      <c r="K151" s="193"/>
    </row>
    <row r="152" spans="2:12">
      <c r="B152" s="209" t="str">
        <f>'2017 Determination - Revenue'!B$37</f>
        <v>Lachlan</v>
      </c>
      <c r="C152" s="190" t="str">
        <f>'2017 Determination - Revenue'!C$33</f>
        <v>$'000</v>
      </c>
      <c r="D152" s="190"/>
      <c r="E152" s="190"/>
      <c r="F152" s="188">
        <f>'2017 Determination - Revenue'!F37-'2017 Determination - Revenue'!F49</f>
        <v>6531.7388709002353</v>
      </c>
      <c r="G152" s="188">
        <f>'2017 Determination - Revenue'!G37-'2017 Determination - Revenue'!G49</f>
        <v>6531.4856830712679</v>
      </c>
      <c r="H152" s="232">
        <f>'2017 Determination - Revenue'!H37-'2017 Determination - Revenue'!H49</f>
        <v>6531.2717752585822</v>
      </c>
      <c r="I152" s="232">
        <f>'2017 Determination - Revenue'!I37-'2017 Determination - Revenue'!I49</f>
        <v>6531.0820888427288</v>
      </c>
      <c r="J152" s="234"/>
      <c r="K152" s="193"/>
    </row>
    <row r="153" spans="2:12">
      <c r="B153" s="209" t="str">
        <f>'2017 Determination - Revenue'!B$38</f>
        <v>Macquarie</v>
      </c>
      <c r="C153" s="190" t="str">
        <f>'2017 Determination - Revenue'!C$33</f>
        <v>$'000</v>
      </c>
      <c r="D153" s="190"/>
      <c r="E153" s="190"/>
      <c r="F153" s="188">
        <f>'2017 Determination - Revenue'!F38-'2017 Determination - Revenue'!F50</f>
        <v>5949.422948107378</v>
      </c>
      <c r="G153" s="188">
        <f>'2017 Determination - Revenue'!G38-'2017 Determination - Revenue'!G50</f>
        <v>5949.2576777750628</v>
      </c>
      <c r="H153" s="232">
        <f>'2017 Determination - Revenue'!H38-'2017 Determination - Revenue'!H50</f>
        <v>5949.1329847411153</v>
      </c>
      <c r="I153" s="232">
        <f>'2017 Determination - Revenue'!I38-'2017 Determination - Revenue'!I50</f>
        <v>5949.0044684052109</v>
      </c>
      <c r="J153" s="234"/>
      <c r="K153" s="193"/>
    </row>
    <row r="154" spans="2:12">
      <c r="B154" s="209" t="str">
        <f>'2017 Determination - Revenue'!B$39</f>
        <v>Murray</v>
      </c>
      <c r="C154" s="190" t="str">
        <f>'2017 Determination - Revenue'!C$33</f>
        <v>$'000</v>
      </c>
      <c r="D154" s="190"/>
      <c r="E154" s="190"/>
      <c r="F154" s="188">
        <f>'2017 Determination - Revenue'!F39-'2017 Determination - Revenue'!F51</f>
        <v>4943.9466843093187</v>
      </c>
      <c r="G154" s="188">
        <f>'2017 Determination - Revenue'!G39-'2017 Determination - Revenue'!G51</f>
        <v>4943.9660416938113</v>
      </c>
      <c r="H154" s="232">
        <f>'2017 Determination - Revenue'!H39-'2017 Determination - Revenue'!H51</f>
        <v>4943.9622003160148</v>
      </c>
      <c r="I154" s="232">
        <f>'2017 Determination - Revenue'!I39-'2017 Determination - Revenue'!I51</f>
        <v>4943.9387306981725</v>
      </c>
      <c r="J154" s="234"/>
      <c r="K154" s="193"/>
    </row>
    <row r="155" spans="2:12">
      <c r="B155" s="209" t="str">
        <f>'2017 Determination - Revenue'!B$40</f>
        <v>Murrumbidgee</v>
      </c>
      <c r="C155" s="190" t="str">
        <f>'2017 Determination - Revenue'!C$33</f>
        <v>$'000</v>
      </c>
      <c r="D155" s="190"/>
      <c r="E155" s="190"/>
      <c r="F155" s="188">
        <f>'2017 Determination - Revenue'!F40-'2017 Determination - Revenue'!F52</f>
        <v>9563.8151755077615</v>
      </c>
      <c r="G155" s="188">
        <f>'2017 Determination - Revenue'!G40-'2017 Determination - Revenue'!G52</f>
        <v>9563.1681778822767</v>
      </c>
      <c r="H155" s="232">
        <f>'2017 Determination - Revenue'!H40-'2017 Determination - Revenue'!H52</f>
        <v>9562.6114731138387</v>
      </c>
      <c r="I155" s="232">
        <f>'2017 Determination - Revenue'!I40-'2017 Determination - Revenue'!I52</f>
        <v>9562.1025349760894</v>
      </c>
      <c r="J155" s="234"/>
      <c r="K155" s="193"/>
    </row>
    <row r="156" spans="2:12">
      <c r="B156" s="209" t="str">
        <f>'2017 Determination - Revenue'!B$41</f>
        <v>Lowbidgee</v>
      </c>
      <c r="C156" s="190" t="str">
        <f>'2017 Determination - Revenue'!C$33</f>
        <v>$'000</v>
      </c>
      <c r="D156" s="190"/>
      <c r="E156" s="190"/>
      <c r="F156" s="188">
        <f>'2017 Determination - Revenue'!F41-'2017 Determination - Revenue'!F53</f>
        <v>585.34287856328444</v>
      </c>
      <c r="G156" s="188">
        <f>'2017 Determination - Revenue'!G41-'2017 Determination - Revenue'!G53</f>
        <v>585.11330731714213</v>
      </c>
      <c r="H156" s="232">
        <f>'2017 Determination - Revenue'!H41-'2017 Determination - Revenue'!H53</f>
        <v>584.88924908127933</v>
      </c>
      <c r="I156" s="232">
        <f>'2017 Determination - Revenue'!I41-'2017 Determination - Revenue'!I53</f>
        <v>584.67881272809677</v>
      </c>
      <c r="J156" s="234"/>
      <c r="K156" s="193"/>
    </row>
    <row r="157" spans="2:12">
      <c r="B157" s="240" t="s">
        <v>34</v>
      </c>
      <c r="C157" s="206"/>
      <c r="D157" s="206"/>
      <c r="E157" s="206"/>
      <c r="F157" s="206">
        <f>SUM(F148:F156)+SUM('2017 Determination - Revenue'!F45:F53)-SUM('2017 Determination - Revenue'!F33:F41)</f>
        <v>0</v>
      </c>
      <c r="G157" s="206">
        <f>SUM(G148:G156)+SUM('2017 Determination - Revenue'!G45:G53)-SUM('2017 Determination - Revenue'!G33:G41)</f>
        <v>0</v>
      </c>
      <c r="H157" s="233">
        <f>SUM(H148:H156)+SUM('2017 Determination - Revenue'!H45:H53)-SUM('2017 Determination - Revenue'!H33:H41)</f>
        <v>0</v>
      </c>
      <c r="I157" s="233">
        <f>SUM(I148:I156)+SUM('2017 Determination - Revenue'!I45:I53)-SUM('2017 Determination - Revenue'!I33:I41)</f>
        <v>0</v>
      </c>
      <c r="J157" s="234"/>
      <c r="K157" s="193"/>
    </row>
    <row r="158" spans="2:12">
      <c r="B158" s="209"/>
      <c r="C158" s="190"/>
      <c r="D158" s="190"/>
      <c r="E158" s="190"/>
      <c r="F158" s="190"/>
      <c r="G158" s="190"/>
      <c r="H158" s="211"/>
      <c r="I158" s="211"/>
      <c r="J158" s="234"/>
      <c r="K158" s="193"/>
    </row>
    <row r="159" spans="2:12">
      <c r="B159" s="239" t="s">
        <v>33</v>
      </c>
      <c r="C159" s="190"/>
      <c r="D159" s="190"/>
      <c r="E159" s="190"/>
      <c r="F159" s="190"/>
      <c r="G159" s="190"/>
      <c r="H159" s="211"/>
      <c r="I159" s="211"/>
      <c r="J159" s="234"/>
      <c r="K159" s="193"/>
    </row>
    <row r="160" spans="2:12">
      <c r="B160" s="209" t="str">
        <f>'2017 Determination - Revenue'!B$33</f>
        <v>Border</v>
      </c>
      <c r="C160" s="190" t="str">
        <f>'2017 Determination - Revenue'!C$33</f>
        <v>$'000</v>
      </c>
      <c r="D160" s="190"/>
      <c r="E160" s="190"/>
      <c r="F160" s="188">
        <f>F148*'2017 Determination - Revenue'!F57</f>
        <v>537.54240713856984</v>
      </c>
      <c r="G160" s="188">
        <f>G148*'2017 Determination - Revenue'!G57</f>
        <v>537.54247577596072</v>
      </c>
      <c r="H160" s="232">
        <f>H148*'2017 Determination - Revenue'!H57</f>
        <v>537.54273604670129</v>
      </c>
      <c r="I160" s="232">
        <f>I148*'2017 Determination - Revenue'!I57</f>
        <v>537.54160608809866</v>
      </c>
      <c r="J160" s="234"/>
      <c r="K160" s="193"/>
      <c r="L160" s="106"/>
    </row>
    <row r="161" spans="2:12">
      <c r="B161" s="209" t="str">
        <f>'2017 Determination - Revenue'!B$34</f>
        <v>Gwydir</v>
      </c>
      <c r="C161" s="190" t="str">
        <f>'2017 Determination - Revenue'!C$33</f>
        <v>$'000</v>
      </c>
      <c r="D161" s="190"/>
      <c r="E161" s="190"/>
      <c r="F161" s="188">
        <f>F149*'2017 Determination - Revenue'!F58</f>
        <v>2071.9412061380795</v>
      </c>
      <c r="G161" s="188">
        <f>G149*'2017 Determination - Revenue'!G58</f>
        <v>2071.8766680996823</v>
      </c>
      <c r="H161" s="232">
        <f>H149*'2017 Determination - Revenue'!H58</f>
        <v>2071.8285501650062</v>
      </c>
      <c r="I161" s="232">
        <f>I149*'2017 Determination - Revenue'!I58</f>
        <v>2071.7974410655061</v>
      </c>
      <c r="J161" s="234"/>
      <c r="K161" s="193"/>
    </row>
    <row r="162" spans="2:12">
      <c r="B162" s="209" t="str">
        <f>'2017 Determination - Revenue'!B$35</f>
        <v>Namoi</v>
      </c>
      <c r="C162" s="190" t="str">
        <f>'2017 Determination - Revenue'!C$33</f>
        <v>$'000</v>
      </c>
      <c r="D162" s="190"/>
      <c r="E162" s="190"/>
      <c r="F162" s="188">
        <f>F150*'2017 Determination - Revenue'!F59</f>
        <v>2190.2777369830105</v>
      </c>
      <c r="G162" s="188">
        <f>G150*'2017 Determination - Revenue'!G59</f>
        <v>2190.1956685201985</v>
      </c>
      <c r="H162" s="232">
        <f>H150*'2017 Determination - Revenue'!H59</f>
        <v>2190.1422381682883</v>
      </c>
      <c r="I162" s="232">
        <f>I150*'2017 Determination - Revenue'!I59</f>
        <v>2190.1148368748422</v>
      </c>
      <c r="J162" s="234"/>
      <c r="K162" s="193"/>
    </row>
    <row r="163" spans="2:12">
      <c r="B163" s="209" t="str">
        <f>'2017 Determination - Revenue'!B$36</f>
        <v>Peel</v>
      </c>
      <c r="C163" s="190" t="str">
        <f>'2017 Determination - Revenue'!C$33</f>
        <v>$'000</v>
      </c>
      <c r="D163" s="190"/>
      <c r="E163" s="190"/>
      <c r="F163" s="188">
        <f>F151*'2017 Determination - Revenue'!F60</f>
        <v>422.0642499323414</v>
      </c>
      <c r="G163" s="188">
        <f>G151*'2017 Determination - Revenue'!G60</f>
        <v>844.19564821143376</v>
      </c>
      <c r="H163" s="232">
        <f>H151*'2017 Determination - Revenue'!H60</f>
        <v>844.16753279051079</v>
      </c>
      <c r="I163" s="232">
        <f>I151*'2017 Determination - Revenue'!I60</f>
        <v>844.14747089869024</v>
      </c>
      <c r="J163" s="234"/>
      <c r="K163" s="188"/>
    </row>
    <row r="164" spans="2:12">
      <c r="B164" s="209" t="str">
        <f>'2017 Determination - Revenue'!B$37</f>
        <v>Lachlan</v>
      </c>
      <c r="C164" s="190" t="str">
        <f>'2017 Determination - Revenue'!C$33</f>
        <v>$'000</v>
      </c>
      <c r="D164" s="190"/>
      <c r="E164" s="190"/>
      <c r="F164" s="188">
        <f>F152*'2017 Determination - Revenue'!F61</f>
        <v>2609.628567628743</v>
      </c>
      <c r="G164" s="188">
        <f>G152*'2017 Determination - Revenue'!G61</f>
        <v>2609.5274113816076</v>
      </c>
      <c r="H164" s="232">
        <f>H152*'2017 Determination - Revenue'!H61</f>
        <v>2609.4419486970364</v>
      </c>
      <c r="I164" s="232">
        <f>I152*'2017 Determination - Revenue'!I61</f>
        <v>2609.3661631980312</v>
      </c>
      <c r="J164" s="234"/>
      <c r="K164" s="193"/>
    </row>
    <row r="165" spans="2:12">
      <c r="B165" s="209" t="str">
        <f>'2017 Determination - Revenue'!B$38</f>
        <v>Macquarie</v>
      </c>
      <c r="C165" s="190" t="str">
        <f>'2017 Determination - Revenue'!C$33</f>
        <v>$'000</v>
      </c>
      <c r="D165" s="190"/>
      <c r="E165" s="190"/>
      <c r="F165" s="188">
        <f>F153*'2017 Determination - Revenue'!F62</f>
        <v>2377.7934570518369</v>
      </c>
      <c r="G165" s="188">
        <f>G153*'2017 Determination - Revenue'!G62</f>
        <v>2377.7274038029332</v>
      </c>
      <c r="H165" s="232">
        <f>H153*'2017 Determination - Revenue'!H62</f>
        <v>2377.6775679982097</v>
      </c>
      <c r="I165" s="232">
        <f>I153*'2017 Determination - Revenue'!I62</f>
        <v>2377.6262041423697</v>
      </c>
      <c r="J165" s="234"/>
      <c r="K165" s="193"/>
    </row>
    <row r="166" spans="2:12">
      <c r="B166" s="209" t="str">
        <f>'2017 Determination - Revenue'!B$39</f>
        <v>Murray</v>
      </c>
      <c r="C166" s="190" t="str">
        <f>'2017 Determination - Revenue'!C$33</f>
        <v>$'000</v>
      </c>
      <c r="D166" s="190"/>
      <c r="E166" s="190"/>
      <c r="F166" s="188">
        <f>F154*'2017 Determination - Revenue'!F63</f>
        <v>1975.6989913084071</v>
      </c>
      <c r="G166" s="188">
        <f>G154*'2017 Determination - Revenue'!G63</f>
        <v>1975.7067269025504</v>
      </c>
      <c r="H166" s="232">
        <f>H154*'2017 Determination - Revenue'!H63</f>
        <v>1975.7051918119189</v>
      </c>
      <c r="I166" s="232">
        <f>I154*'2017 Determination - Revenue'!I63</f>
        <v>1975.6958128879016</v>
      </c>
      <c r="J166" s="234"/>
      <c r="K166" s="193"/>
    </row>
    <row r="167" spans="2:12">
      <c r="B167" s="209" t="str">
        <f>'2017 Determination - Revenue'!B$40</f>
        <v>Murrumbidgee</v>
      </c>
      <c r="C167" s="190" t="str">
        <f>'2017 Determination - Revenue'!C$33</f>
        <v>$'000</v>
      </c>
      <c r="D167" s="190"/>
      <c r="E167" s="190"/>
      <c r="F167" s="188">
        <f>F155*'2017 Determination - Revenue'!F64</f>
        <v>3822.4812671489012</v>
      </c>
      <c r="G167" s="188">
        <f>G155*'2017 Determination - Revenue'!G64</f>
        <v>3822.222674081394</v>
      </c>
      <c r="H167" s="232">
        <f>H155*'2017 Determination - Revenue'!H64</f>
        <v>3822.0001694104403</v>
      </c>
      <c r="I167" s="232">
        <f>I155*'2017 Determination - Revenue'!I64</f>
        <v>3821.7967561844439</v>
      </c>
      <c r="J167" s="234"/>
      <c r="K167" s="193"/>
    </row>
    <row r="168" spans="2:12">
      <c r="B168" s="209" t="str">
        <f>'2017 Determination - Revenue'!B$41</f>
        <v>Lowbidgee</v>
      </c>
      <c r="C168" s="190" t="str">
        <f>'2017 Determination - Revenue'!C$33</f>
        <v>$'000</v>
      </c>
      <c r="D168" s="190"/>
      <c r="E168" s="190"/>
      <c r="F168" s="188">
        <f>F156*'2017 Determination - Revenue'!F65</f>
        <v>585.34287856328444</v>
      </c>
      <c r="G168" s="188">
        <f>G156*'2017 Determination - Revenue'!G65</f>
        <v>585.11330731714213</v>
      </c>
      <c r="H168" s="232">
        <f>H156*'2017 Determination - Revenue'!H65</f>
        <v>584.88924908127933</v>
      </c>
      <c r="I168" s="232">
        <f>I156*'2017 Determination - Revenue'!I65</f>
        <v>584.67881272809677</v>
      </c>
      <c r="J168" s="234"/>
      <c r="K168" s="193"/>
    </row>
    <row r="169" spans="2:12">
      <c r="B169" s="209"/>
      <c r="C169" s="190"/>
      <c r="D169" s="190"/>
      <c r="E169" s="190"/>
      <c r="F169" s="190"/>
      <c r="G169" s="190"/>
      <c r="H169" s="211"/>
      <c r="I169" s="211"/>
      <c r="J169" s="234"/>
      <c r="K169" s="193"/>
    </row>
    <row r="170" spans="2:12">
      <c r="B170" s="209"/>
      <c r="C170" s="190"/>
      <c r="D170" s="190"/>
      <c r="E170" s="190"/>
      <c r="F170" s="190"/>
      <c r="G170" s="190"/>
      <c r="H170" s="211"/>
      <c r="I170" s="211"/>
      <c r="J170" s="234"/>
      <c r="K170" s="193"/>
    </row>
    <row r="171" spans="2:12">
      <c r="B171" s="239" t="s">
        <v>166</v>
      </c>
      <c r="C171" s="190"/>
      <c r="D171" s="190"/>
      <c r="E171" s="190"/>
      <c r="F171" s="190"/>
      <c r="G171" s="190"/>
      <c r="H171" s="211"/>
      <c r="I171" s="211"/>
      <c r="J171" s="234"/>
      <c r="K171" s="193"/>
    </row>
    <row r="172" spans="2:12">
      <c r="B172" s="209" t="str">
        <f>'2017 Determination - Revenue'!B$33</f>
        <v>Border</v>
      </c>
      <c r="C172" s="190" t="str">
        <f>'2017 Determination - Revenue'!C$33</f>
        <v>$'000</v>
      </c>
      <c r="D172" s="190"/>
      <c r="E172" s="190"/>
      <c r="F172" s="188">
        <f>F148*(1-'2017 Determination - Revenue'!F57)</f>
        <v>806.804354130918</v>
      </c>
      <c r="G172" s="188">
        <f>G148*(1-'2017 Determination - Revenue'!G57)</f>
        <v>806.80445714966606</v>
      </c>
      <c r="H172" s="232">
        <f>H148*(1-'2017 Determination - Revenue'!H57)</f>
        <v>806.80484779338826</v>
      </c>
      <c r="I172" s="232">
        <f>I148*(1-'2017 Determination - Revenue'!I57)</f>
        <v>806.80315182390109</v>
      </c>
      <c r="J172" s="234"/>
      <c r="K172" s="193"/>
      <c r="L172" s="106"/>
    </row>
    <row r="173" spans="2:12">
      <c r="B173" s="209" t="str">
        <f>'2017 Determination - Revenue'!B$34</f>
        <v>Gwydir</v>
      </c>
      <c r="C173" s="190" t="str">
        <f>'2017 Determination - Revenue'!C$33</f>
        <v>$'000</v>
      </c>
      <c r="D173" s="190"/>
      <c r="E173" s="190"/>
      <c r="F173" s="188">
        <f>F149*(1-'2017 Determination - Revenue'!F58)</f>
        <v>3112.4843924000656</v>
      </c>
      <c r="G173" s="188">
        <f>G149*(1-'2017 Determination - Revenue'!G58)</f>
        <v>3112.3874429129701</v>
      </c>
      <c r="H173" s="232">
        <f>H149*(1-'2017 Determination - Revenue'!H58)</f>
        <v>3112.3151598191107</v>
      </c>
      <c r="I173" s="232">
        <f>I149*(1-'2017 Determination - Revenue'!I58)</f>
        <v>3112.2684275149468</v>
      </c>
      <c r="J173" s="234"/>
      <c r="K173" s="193"/>
    </row>
    <row r="174" spans="2:12">
      <c r="B174" s="209" t="str">
        <f>'2017 Determination - Revenue'!B$35</f>
        <v>Namoi</v>
      </c>
      <c r="C174" s="190" t="str">
        <f>'2017 Determination - Revenue'!C$33</f>
        <v>$'000</v>
      </c>
      <c r="D174" s="190"/>
      <c r="E174" s="190"/>
      <c r="F174" s="188">
        <f>F150*(1-'2017 Determination - Revenue'!F59)</f>
        <v>3293.4047473718574</v>
      </c>
      <c r="G174" s="188">
        <f>G150*(1-'2017 Determination - Revenue'!G59)</f>
        <v>3293.2813453664994</v>
      </c>
      <c r="H174" s="232">
        <f>H150*(1-'2017 Determination - Revenue'!H59)</f>
        <v>3293.2010049732862</v>
      </c>
      <c r="I174" s="232">
        <f>I150*(1-'2017 Determination - Revenue'!I59)</f>
        <v>3293.1598030981108</v>
      </c>
      <c r="J174" s="234"/>
      <c r="K174" s="193"/>
    </row>
    <row r="175" spans="2:12">
      <c r="B175" s="209" t="str">
        <f>'2017 Determination - Revenue'!B$36</f>
        <v>Peel</v>
      </c>
      <c r="C175" s="190" t="str">
        <f>'2017 Determination - Revenue'!C$33</f>
        <v>$'000</v>
      </c>
      <c r="D175" s="190"/>
      <c r="E175" s="190"/>
      <c r="F175" s="188">
        <f>F151*(1-'2017 Determination - Revenue'!F60)</f>
        <v>633.29596520049245</v>
      </c>
      <c r="G175" s="188">
        <f>G151*(1-'2017 Determination - Revenue'!G60)</f>
        <v>211.11544744582443</v>
      </c>
      <c r="H175" s="232">
        <f>H151*(1-'2017 Determination - Revenue'!H60)</f>
        <v>211.10841637467303</v>
      </c>
      <c r="I175" s="232">
        <f>I151*(1-'2017 Determination - Revenue'!I60)</f>
        <v>211.10339932053719</v>
      </c>
      <c r="J175" s="234"/>
      <c r="K175" s="193"/>
    </row>
    <row r="176" spans="2:12">
      <c r="B176" s="209" t="str">
        <f>'2017 Determination - Revenue'!B$37</f>
        <v>Lachlan</v>
      </c>
      <c r="C176" s="190" t="str">
        <f>'2017 Determination - Revenue'!C$33</f>
        <v>$'000</v>
      </c>
      <c r="D176" s="190"/>
      <c r="E176" s="190"/>
      <c r="F176" s="188">
        <f>F152*(1-'2017 Determination - Revenue'!F61)</f>
        <v>3922.1103032714923</v>
      </c>
      <c r="G176" s="188">
        <f>G152*(1-'2017 Determination - Revenue'!G61)</f>
        <v>3921.9582716896603</v>
      </c>
      <c r="H176" s="232">
        <f>H152*(1-'2017 Determination - Revenue'!H61)</f>
        <v>3921.8298265615458</v>
      </c>
      <c r="I176" s="232">
        <f>I152*(1-'2017 Determination - Revenue'!I61)</f>
        <v>3921.7159256446976</v>
      </c>
      <c r="J176" s="234"/>
      <c r="K176" s="193"/>
    </row>
    <row r="177" spans="2:11">
      <c r="B177" s="209" t="str">
        <f>'2017 Determination - Revenue'!B$38</f>
        <v>Macquarie</v>
      </c>
      <c r="C177" s="190" t="str">
        <f>'2017 Determination - Revenue'!C$33</f>
        <v>$'000</v>
      </c>
      <c r="D177" s="190"/>
      <c r="E177" s="190"/>
      <c r="F177" s="188">
        <f>F153*(1-'2017 Determination - Revenue'!F62)</f>
        <v>3571.6294910555416</v>
      </c>
      <c r="G177" s="188">
        <f>G153*(1-'2017 Determination - Revenue'!G62)</f>
        <v>3571.5302739721301</v>
      </c>
      <c r="H177" s="232">
        <f>H153*(1-'2017 Determination - Revenue'!H62)</f>
        <v>3571.455416742906</v>
      </c>
      <c r="I177" s="232">
        <f>I153*(1-'2017 Determination - Revenue'!I62)</f>
        <v>3571.3782642628416</v>
      </c>
      <c r="J177" s="234"/>
      <c r="K177" s="193"/>
    </row>
    <row r="178" spans="2:11">
      <c r="B178" s="209" t="str">
        <f>'2017 Determination - Revenue'!B$39</f>
        <v>Murray</v>
      </c>
      <c r="C178" s="190" t="str">
        <f>'2017 Determination - Revenue'!C$33</f>
        <v>$'000</v>
      </c>
      <c r="D178" s="190"/>
      <c r="E178" s="190"/>
      <c r="F178" s="188">
        <f>F154*(1-'2017 Determination - Revenue'!F63)</f>
        <v>2968.2476930009116</v>
      </c>
      <c r="G178" s="188">
        <f>G154*(1-'2017 Determination - Revenue'!G63)</f>
        <v>2968.2593147912607</v>
      </c>
      <c r="H178" s="232">
        <f>H154*(1-'2017 Determination - Revenue'!H63)</f>
        <v>2968.2570085040957</v>
      </c>
      <c r="I178" s="232">
        <f>I154*(1-'2017 Determination - Revenue'!I63)</f>
        <v>2968.2429178102707</v>
      </c>
      <c r="J178" s="234"/>
      <c r="K178" s="193"/>
    </row>
    <row r="179" spans="2:11">
      <c r="B179" s="209" t="str">
        <f>'2017 Determination - Revenue'!B$40</f>
        <v>Murrumbidgee</v>
      </c>
      <c r="C179" s="190" t="str">
        <f>'2017 Determination - Revenue'!C$33</f>
        <v>$'000</v>
      </c>
      <c r="D179" s="190"/>
      <c r="E179" s="190"/>
      <c r="F179" s="188">
        <f>F155*(1-'2017 Determination - Revenue'!F64)</f>
        <v>5741.3339083588608</v>
      </c>
      <c r="G179" s="188">
        <f>G155*(1-'2017 Determination - Revenue'!G64)</f>
        <v>5740.9455038008837</v>
      </c>
      <c r="H179" s="232">
        <f>H155*(1-'2017 Determination - Revenue'!H64)</f>
        <v>5740.6113037033992</v>
      </c>
      <c r="I179" s="232">
        <f>I155*(1-'2017 Determination - Revenue'!I64)</f>
        <v>5740.3057787916459</v>
      </c>
      <c r="J179" s="234"/>
      <c r="K179" s="193"/>
    </row>
    <row r="180" spans="2:11">
      <c r="B180" s="209" t="str">
        <f>'2017 Determination - Revenue'!B$41</f>
        <v>Lowbidgee</v>
      </c>
      <c r="C180" s="190" t="str">
        <f>'2017 Determination - Revenue'!C$33</f>
        <v>$'000</v>
      </c>
      <c r="D180" s="190"/>
      <c r="E180" s="190"/>
      <c r="F180" s="188">
        <f>F156*(1-'2017 Determination - Revenue'!F65)</f>
        <v>0</v>
      </c>
      <c r="G180" s="188">
        <f>G156*(1-'2017 Determination - Revenue'!G65)</f>
        <v>0</v>
      </c>
      <c r="H180" s="232">
        <f>H156*(1-'2017 Determination - Revenue'!H65)</f>
        <v>0</v>
      </c>
      <c r="I180" s="232">
        <f>I156*(1-'2017 Determination - Revenue'!I65)</f>
        <v>0</v>
      </c>
      <c r="J180" s="234"/>
      <c r="K180" s="193"/>
    </row>
    <row r="181" spans="2:11">
      <c r="B181" s="240" t="s">
        <v>34</v>
      </c>
      <c r="C181" s="190"/>
      <c r="D181" s="190"/>
      <c r="E181" s="190"/>
      <c r="F181" s="206">
        <f>SUM(F148:F156)-SUM(F160:F168)-SUM(F172:F180)</f>
        <v>0</v>
      </c>
      <c r="G181" s="206">
        <f>SUM(G148:G156)-SUM(G160:G168)-SUM(G172:G180)</f>
        <v>0</v>
      </c>
      <c r="H181" s="233">
        <f>SUM(H148:H156)-SUM(H160:H168)-SUM(H172:H180)</f>
        <v>0</v>
      </c>
      <c r="I181" s="233">
        <f>SUM(I148:I156)-SUM(I160:I168)-SUM(I172:I180)</f>
        <v>0</v>
      </c>
      <c r="J181" s="234"/>
      <c r="K181" s="193"/>
    </row>
    <row r="182" spans="2:11">
      <c r="B182" s="209"/>
      <c r="C182" s="190"/>
      <c r="D182" s="190"/>
      <c r="E182" s="190"/>
      <c r="F182" s="190"/>
      <c r="G182" s="190"/>
      <c r="H182" s="211"/>
      <c r="I182" s="211"/>
      <c r="J182" s="234"/>
      <c r="K182" s="193"/>
    </row>
    <row r="183" spans="2:11">
      <c r="B183" s="243"/>
      <c r="C183" s="54"/>
      <c r="D183" s="54"/>
      <c r="E183" s="54"/>
      <c r="F183" s="54"/>
      <c r="G183" s="54"/>
      <c r="H183" s="167"/>
      <c r="I183" s="226"/>
      <c r="J183" s="235"/>
      <c r="K183" s="193"/>
    </row>
    <row r="184" spans="2:11">
      <c r="B184" s="193"/>
      <c r="C184" s="193"/>
      <c r="D184" s="193"/>
      <c r="E184" s="193"/>
      <c r="F184" s="193"/>
      <c r="G184" s="193"/>
      <c r="H184" s="227"/>
      <c r="J184" s="193"/>
      <c r="K184" s="193"/>
    </row>
    <row r="185" spans="2:11">
      <c r="B185" s="193"/>
      <c r="C185" s="193"/>
      <c r="D185" s="193"/>
      <c r="E185" s="193"/>
      <c r="F185" s="193"/>
      <c r="G185" s="193"/>
      <c r="H185" s="227"/>
      <c r="J185" s="193"/>
      <c r="K185" s="193"/>
    </row>
    <row r="186" spans="2:11">
      <c r="B186" s="244" t="s">
        <v>138</v>
      </c>
      <c r="C186" s="193"/>
      <c r="D186" s="193"/>
      <c r="E186" s="193"/>
      <c r="F186" s="193"/>
      <c r="G186" s="193"/>
      <c r="H186" s="193"/>
      <c r="I186" s="193"/>
      <c r="J186" s="193"/>
      <c r="K186" s="193"/>
    </row>
    <row r="187" spans="2:11">
      <c r="B187" s="237" t="str">
        <f>'2017 Determination - Revenue'!B$16</f>
        <v>Financial year</v>
      </c>
      <c r="C187" s="238" t="str">
        <f>'2017 Determination - Revenue'!C$28</f>
        <v>Units</v>
      </c>
      <c r="D187" s="238"/>
      <c r="E187" s="238"/>
      <c r="F187" s="194" t="str">
        <f>'2017 Determination - Revenue'!F$16</f>
        <v>2017-18</v>
      </c>
      <c r="G187" s="194" t="str">
        <f>'2017 Determination - Revenue'!G$16</f>
        <v>2018-19</v>
      </c>
      <c r="H187" s="210" t="str">
        <f>'2017 Determination - Revenue'!H$16</f>
        <v>2019-20</v>
      </c>
      <c r="I187" s="210" t="str">
        <f>'2017 Determination - Revenue'!I$16</f>
        <v>2020-21</v>
      </c>
      <c r="J187" s="236"/>
      <c r="K187" s="193"/>
    </row>
    <row r="188" spans="2:11">
      <c r="B188" s="209"/>
      <c r="C188" s="190"/>
      <c r="D188" s="190"/>
      <c r="E188" s="190"/>
      <c r="F188" s="195"/>
      <c r="G188" s="195"/>
      <c r="H188" s="195"/>
      <c r="I188" s="195"/>
      <c r="J188" s="234"/>
      <c r="K188" s="193"/>
    </row>
    <row r="189" spans="2:11">
      <c r="B189" s="239" t="s">
        <v>150</v>
      </c>
      <c r="C189" s="190"/>
      <c r="D189" s="190"/>
      <c r="E189" s="190"/>
      <c r="F189" s="190"/>
      <c r="G189" s="190"/>
      <c r="H189" s="211"/>
      <c r="I189" s="211"/>
      <c r="J189" s="234"/>
      <c r="K189" s="193"/>
    </row>
    <row r="190" spans="2:11">
      <c r="B190" s="209" t="str">
        <f>'2017 Determination - Revenue'!B$33</f>
        <v>Border</v>
      </c>
      <c r="C190" s="190" t="str">
        <f>'2017 Determination - Revenue'!C$33</f>
        <v>$'000</v>
      </c>
      <c r="D190" s="190"/>
      <c r="E190" s="190"/>
      <c r="F190" s="188">
        <f>'2017 Determination - Revenue'!F80*'2017 Determination - Revenue'!F92</f>
        <v>464.59752566631823</v>
      </c>
      <c r="G190" s="188">
        <f>'2017 Determination - Revenue'!G80*'2017 Determination - Revenue'!G92</f>
        <v>464.59752566631823</v>
      </c>
      <c r="H190" s="232">
        <f>'2017 Determination - Revenue'!H80*'2017 Determination - Revenue'!H92</f>
        <v>464.59752566631823</v>
      </c>
      <c r="I190" s="232">
        <f>'2017 Determination - Revenue'!I80*'2017 Determination - Revenue'!I92</f>
        <v>464.59752566631823</v>
      </c>
      <c r="J190" s="234"/>
      <c r="K190" s="188"/>
    </row>
    <row r="191" spans="2:11">
      <c r="B191" s="209" t="str">
        <f>'2017 Determination - Revenue'!B$34</f>
        <v>Gwydir</v>
      </c>
      <c r="C191" s="190" t="str">
        <f>'2017 Determination - Revenue'!C$33</f>
        <v>$'000</v>
      </c>
      <c r="D191" s="190"/>
      <c r="E191" s="190"/>
      <c r="F191" s="188">
        <f>'2017 Determination - Revenue'!F81*'2017 Determination - Revenue'!F93</f>
        <v>0</v>
      </c>
      <c r="G191" s="188">
        <f>'2017 Determination - Revenue'!G81*'2017 Determination - Revenue'!G93</f>
        <v>0</v>
      </c>
      <c r="H191" s="232">
        <f>'2017 Determination - Revenue'!H81*'2017 Determination - Revenue'!H93</f>
        <v>0</v>
      </c>
      <c r="I191" s="232">
        <f>'2017 Determination - Revenue'!I81*'2017 Determination - Revenue'!I93</f>
        <v>0</v>
      </c>
      <c r="J191" s="234"/>
      <c r="K191" s="188"/>
    </row>
    <row r="192" spans="2:11">
      <c r="B192" s="209" t="str">
        <f>'2017 Determination - Revenue'!B$35</f>
        <v>Namoi</v>
      </c>
      <c r="C192" s="190" t="str">
        <f>'2017 Determination - Revenue'!C$33</f>
        <v>$'000</v>
      </c>
      <c r="D192" s="190"/>
      <c r="E192" s="190"/>
      <c r="F192" s="188">
        <f>'2017 Determination - Revenue'!F82*'2017 Determination - Revenue'!F94</f>
        <v>0</v>
      </c>
      <c r="G192" s="188">
        <f>'2017 Determination - Revenue'!G82*'2017 Determination - Revenue'!G94</f>
        <v>0</v>
      </c>
      <c r="H192" s="232">
        <f>'2017 Determination - Revenue'!H82*'2017 Determination - Revenue'!H94</f>
        <v>0</v>
      </c>
      <c r="I192" s="232">
        <f>'2017 Determination - Revenue'!I82*'2017 Determination - Revenue'!I94</f>
        <v>0</v>
      </c>
      <c r="J192" s="234"/>
      <c r="K192" s="188"/>
    </row>
    <row r="193" spans="2:11">
      <c r="B193" s="209" t="str">
        <f>'2017 Determination - Revenue'!B$36</f>
        <v>Peel</v>
      </c>
      <c r="C193" s="190" t="str">
        <f>'2017 Determination - Revenue'!C$33</f>
        <v>$'000</v>
      </c>
      <c r="D193" s="190"/>
      <c r="E193" s="190"/>
      <c r="F193" s="188">
        <f>'2017 Determination - Revenue'!F83*'2017 Determination - Revenue'!F95</f>
        <v>0</v>
      </c>
      <c r="G193" s="188">
        <f>'2017 Determination - Revenue'!G83*'2017 Determination - Revenue'!G95</f>
        <v>0</v>
      </c>
      <c r="H193" s="232">
        <f>'2017 Determination - Revenue'!H83*'2017 Determination - Revenue'!H95</f>
        <v>0</v>
      </c>
      <c r="I193" s="232">
        <f>'2017 Determination - Revenue'!I83*'2017 Determination - Revenue'!I95</f>
        <v>0</v>
      </c>
      <c r="J193" s="234"/>
      <c r="K193" s="188"/>
    </row>
    <row r="194" spans="2:11">
      <c r="B194" s="209" t="str">
        <f>'2017 Determination - Revenue'!B$37</f>
        <v>Lachlan</v>
      </c>
      <c r="C194" s="190" t="str">
        <f>'2017 Determination - Revenue'!C$33</f>
        <v>$'000</v>
      </c>
      <c r="D194" s="190"/>
      <c r="E194" s="190"/>
      <c r="F194" s="188">
        <f>'2017 Determination - Revenue'!F84*'2017 Determination - Revenue'!F96</f>
        <v>0</v>
      </c>
      <c r="G194" s="188">
        <f>'2017 Determination - Revenue'!G84*'2017 Determination - Revenue'!G96</f>
        <v>0</v>
      </c>
      <c r="H194" s="232">
        <f>'2017 Determination - Revenue'!H84*'2017 Determination - Revenue'!H96</f>
        <v>0</v>
      </c>
      <c r="I194" s="232">
        <f>'2017 Determination - Revenue'!I84*'2017 Determination - Revenue'!I96</f>
        <v>0</v>
      </c>
      <c r="J194" s="234"/>
      <c r="K194" s="188"/>
    </row>
    <row r="195" spans="2:11">
      <c r="B195" s="209" t="str">
        <f>'2017 Determination - Revenue'!B$38</f>
        <v>Macquarie</v>
      </c>
      <c r="C195" s="190" t="str">
        <f>'2017 Determination - Revenue'!C$33</f>
        <v>$'000</v>
      </c>
      <c r="D195" s="190"/>
      <c r="E195" s="190"/>
      <c r="F195" s="188">
        <f>'2017 Determination - Revenue'!F85*'2017 Determination - Revenue'!F97</f>
        <v>0</v>
      </c>
      <c r="G195" s="188">
        <f>'2017 Determination - Revenue'!G85*'2017 Determination - Revenue'!G97</f>
        <v>0</v>
      </c>
      <c r="H195" s="232">
        <f>'2017 Determination - Revenue'!H85*'2017 Determination - Revenue'!H97</f>
        <v>0</v>
      </c>
      <c r="I195" s="232">
        <f>'2017 Determination - Revenue'!I85*'2017 Determination - Revenue'!I97</f>
        <v>0</v>
      </c>
      <c r="J195" s="234"/>
      <c r="K195" s="188"/>
    </row>
    <row r="196" spans="2:11">
      <c r="B196" s="209" t="str">
        <f>'2017 Determination - Revenue'!B$39</f>
        <v>Murray</v>
      </c>
      <c r="C196" s="190" t="str">
        <f>'2017 Determination - Revenue'!C$33</f>
        <v>$'000</v>
      </c>
      <c r="D196" s="190"/>
      <c r="E196" s="190"/>
      <c r="F196" s="188">
        <f>'2017 Determination - Revenue'!F86*'2017 Determination - Revenue'!F98</f>
        <v>9335.214002069024</v>
      </c>
      <c r="G196" s="188">
        <f>'2017 Determination - Revenue'!G86*'2017 Determination - Revenue'!G98</f>
        <v>9335.214002069024</v>
      </c>
      <c r="H196" s="232">
        <f>'2017 Determination - Revenue'!H86*'2017 Determination - Revenue'!H98</f>
        <v>9335.214002069024</v>
      </c>
      <c r="I196" s="232">
        <f>'2017 Determination - Revenue'!I86*'2017 Determination - Revenue'!I98</f>
        <v>9335.214002069024</v>
      </c>
      <c r="J196" s="234"/>
      <c r="K196" s="193"/>
    </row>
    <row r="197" spans="2:11">
      <c r="B197" s="209" t="str">
        <f>'2017 Determination - Revenue'!B$40</f>
        <v>Murrumbidgee</v>
      </c>
      <c r="C197" s="190" t="str">
        <f>'2017 Determination - Revenue'!C$33</f>
        <v>$'000</v>
      </c>
      <c r="D197" s="190"/>
      <c r="E197" s="190"/>
      <c r="F197" s="188">
        <f>'2017 Determination - Revenue'!F87*'2017 Determination - Revenue'!F99</f>
        <v>2087.2332479145184</v>
      </c>
      <c r="G197" s="188">
        <f>'2017 Determination - Revenue'!G87*'2017 Determination - Revenue'!G99</f>
        <v>2087.2332479145184</v>
      </c>
      <c r="H197" s="232">
        <f>'2017 Determination - Revenue'!H87*'2017 Determination - Revenue'!H99</f>
        <v>2087.2332479145184</v>
      </c>
      <c r="I197" s="232">
        <f>'2017 Determination - Revenue'!I87*'2017 Determination - Revenue'!I99</f>
        <v>2087.2332479145189</v>
      </c>
      <c r="J197" s="234"/>
      <c r="K197" s="193"/>
    </row>
    <row r="198" spans="2:11">
      <c r="B198" s="209" t="str">
        <f>'2017 Determination - Revenue'!B$41</f>
        <v>Lowbidgee</v>
      </c>
      <c r="C198" s="190" t="str">
        <f>'2017 Determination - Revenue'!C$33</f>
        <v>$'000</v>
      </c>
      <c r="D198" s="190"/>
      <c r="E198" s="190"/>
      <c r="F198" s="188">
        <f>'2017 Determination - Revenue'!F88*'2017 Determination - Revenue'!F100</f>
        <v>0</v>
      </c>
      <c r="G198" s="188">
        <f>'2017 Determination - Revenue'!G88*'2017 Determination - Revenue'!G100</f>
        <v>0</v>
      </c>
      <c r="H198" s="232">
        <f>'2017 Determination - Revenue'!H88*'2017 Determination - Revenue'!H100</f>
        <v>0</v>
      </c>
      <c r="I198" s="232">
        <f>'2017 Determination - Revenue'!I88*'2017 Determination - Revenue'!I100</f>
        <v>0</v>
      </c>
      <c r="J198" s="234"/>
      <c r="K198" s="193"/>
    </row>
    <row r="199" spans="2:11">
      <c r="B199" s="240" t="s">
        <v>34</v>
      </c>
      <c r="C199" s="206"/>
      <c r="D199" s="206"/>
      <c r="E199" s="206"/>
      <c r="F199" s="199">
        <f>SUMPRODUCT('2017 Determination - Revenue'!F80:F88,'2017 Determination - Revenue'!F92:F100)-SUM(F190:F198)</f>
        <v>0</v>
      </c>
      <c r="G199" s="199">
        <f>SUMPRODUCT('2017 Determination - Revenue'!G80:G88,'2017 Determination - Revenue'!G92:G100)-SUM(G190:G198)</f>
        <v>0</v>
      </c>
      <c r="H199" s="224">
        <f>SUMPRODUCT('2017 Determination - Revenue'!H80:H88,'2017 Determination - Revenue'!H92:H100)-SUM(H190:H198)</f>
        <v>0</v>
      </c>
      <c r="I199" s="224">
        <f>SUMPRODUCT('2017 Determination - Revenue'!I80:I88,'2017 Determination - Revenue'!I92:I100)-SUM(I190:I198)</f>
        <v>0</v>
      </c>
      <c r="J199" s="234"/>
      <c r="K199" s="193"/>
    </row>
    <row r="200" spans="2:11">
      <c r="B200" s="209"/>
      <c r="C200" s="190"/>
      <c r="D200" s="190"/>
      <c r="E200" s="190"/>
      <c r="F200" s="190"/>
      <c r="G200" s="190"/>
      <c r="H200" s="211"/>
      <c r="I200" s="211"/>
      <c r="J200" s="234"/>
      <c r="K200" s="193"/>
    </row>
    <row r="201" spans="2:11">
      <c r="B201" s="239" t="s">
        <v>167</v>
      </c>
      <c r="C201" s="190"/>
      <c r="D201" s="190"/>
      <c r="E201" s="190"/>
      <c r="F201" s="190"/>
      <c r="G201" s="190"/>
      <c r="H201" s="211"/>
      <c r="I201" s="211"/>
      <c r="J201" s="234"/>
      <c r="K201" s="193"/>
    </row>
    <row r="202" spans="2:11">
      <c r="B202" s="209" t="str">
        <f>'2017 Determination - Revenue'!B$33</f>
        <v>Border</v>
      </c>
      <c r="C202" s="190" t="str">
        <f>'2017 Determination - Revenue'!C$33</f>
        <v>$'000</v>
      </c>
      <c r="D202" s="190"/>
      <c r="E202" s="190"/>
      <c r="F202" s="188">
        <f>'2017 Determination - Revenue'!F80*(1-'2017 Determination - Revenue'!F92)</f>
        <v>116.14938141657953</v>
      </c>
      <c r="G202" s="188">
        <f>'2017 Determination - Revenue'!G80*(1-'2017 Determination - Revenue'!G92)</f>
        <v>116.14938141657953</v>
      </c>
      <c r="H202" s="232">
        <f>'2017 Determination - Revenue'!H80*(1-'2017 Determination - Revenue'!H92)</f>
        <v>116.14938141657953</v>
      </c>
      <c r="I202" s="232">
        <f>'2017 Determination - Revenue'!I80*(1-'2017 Determination - Revenue'!I92)</f>
        <v>116.14938141657953</v>
      </c>
      <c r="J202" s="234"/>
      <c r="K202" s="193"/>
    </row>
    <row r="203" spans="2:11">
      <c r="B203" s="209" t="str">
        <f>'2017 Determination - Revenue'!B$34</f>
        <v>Gwydir</v>
      </c>
      <c r="C203" s="190" t="str">
        <f>'2017 Determination - Revenue'!C$33</f>
        <v>$'000</v>
      </c>
      <c r="D203" s="190"/>
      <c r="E203" s="190"/>
      <c r="F203" s="188">
        <f>'2017 Determination - Revenue'!F81*(1-'2017 Determination - Revenue'!F93)</f>
        <v>0</v>
      </c>
      <c r="G203" s="188">
        <f>'2017 Determination - Revenue'!G81*(1-'2017 Determination - Revenue'!G93)</f>
        <v>0</v>
      </c>
      <c r="H203" s="232">
        <f>'2017 Determination - Revenue'!H81*(1-'2017 Determination - Revenue'!H93)</f>
        <v>0</v>
      </c>
      <c r="I203" s="232">
        <f>'2017 Determination - Revenue'!I81*(1-'2017 Determination - Revenue'!I93)</f>
        <v>0</v>
      </c>
      <c r="J203" s="234"/>
      <c r="K203" s="193"/>
    </row>
    <row r="204" spans="2:11">
      <c r="B204" s="209" t="str">
        <f>'2017 Determination - Revenue'!B$35</f>
        <v>Namoi</v>
      </c>
      <c r="C204" s="190" t="str">
        <f>'2017 Determination - Revenue'!C$33</f>
        <v>$'000</v>
      </c>
      <c r="D204" s="190"/>
      <c r="E204" s="190"/>
      <c r="F204" s="188">
        <f>'2017 Determination - Revenue'!F82*(1-'2017 Determination - Revenue'!F94)</f>
        <v>0</v>
      </c>
      <c r="G204" s="188">
        <f>'2017 Determination - Revenue'!G82*(1-'2017 Determination - Revenue'!G94)</f>
        <v>0</v>
      </c>
      <c r="H204" s="232">
        <f>'2017 Determination - Revenue'!H82*(1-'2017 Determination - Revenue'!H94)</f>
        <v>0</v>
      </c>
      <c r="I204" s="232">
        <f>'2017 Determination - Revenue'!I82*(1-'2017 Determination - Revenue'!I94)</f>
        <v>0</v>
      </c>
      <c r="J204" s="234"/>
      <c r="K204" s="193"/>
    </row>
    <row r="205" spans="2:11">
      <c r="B205" s="209" t="str">
        <f>'2017 Determination - Revenue'!B$36</f>
        <v>Peel</v>
      </c>
      <c r="C205" s="190" t="str">
        <f>'2017 Determination - Revenue'!C$33</f>
        <v>$'000</v>
      </c>
      <c r="D205" s="190"/>
      <c r="E205" s="190"/>
      <c r="F205" s="188">
        <f>'2017 Determination - Revenue'!F83*(1-'2017 Determination - Revenue'!F95)</f>
        <v>0</v>
      </c>
      <c r="G205" s="188">
        <f>'2017 Determination - Revenue'!G83*(1-'2017 Determination - Revenue'!G95)</f>
        <v>0</v>
      </c>
      <c r="H205" s="232">
        <f>'2017 Determination - Revenue'!H83*(1-'2017 Determination - Revenue'!H95)</f>
        <v>0</v>
      </c>
      <c r="I205" s="232">
        <f>'2017 Determination - Revenue'!I83*(1-'2017 Determination - Revenue'!I95)</f>
        <v>0</v>
      </c>
      <c r="J205" s="234"/>
      <c r="K205" s="193"/>
    </row>
    <row r="206" spans="2:11">
      <c r="B206" s="209" t="str">
        <f>'2017 Determination - Revenue'!B$37</f>
        <v>Lachlan</v>
      </c>
      <c r="C206" s="190" t="str">
        <f>'2017 Determination - Revenue'!C$33</f>
        <v>$'000</v>
      </c>
      <c r="D206" s="190"/>
      <c r="E206" s="190"/>
      <c r="F206" s="188">
        <f>'2017 Determination - Revenue'!F84*(1-'2017 Determination - Revenue'!F96)</f>
        <v>0</v>
      </c>
      <c r="G206" s="188">
        <f>'2017 Determination - Revenue'!G84*(1-'2017 Determination - Revenue'!G96)</f>
        <v>0</v>
      </c>
      <c r="H206" s="232">
        <f>'2017 Determination - Revenue'!H84*(1-'2017 Determination - Revenue'!H96)</f>
        <v>0</v>
      </c>
      <c r="I206" s="232">
        <f>'2017 Determination - Revenue'!I84*(1-'2017 Determination - Revenue'!I96)</f>
        <v>0</v>
      </c>
      <c r="J206" s="234"/>
      <c r="K206" s="193"/>
    </row>
    <row r="207" spans="2:11">
      <c r="B207" s="209" t="str">
        <f>'2017 Determination - Revenue'!B$38</f>
        <v>Macquarie</v>
      </c>
      <c r="C207" s="190" t="str">
        <f>'2017 Determination - Revenue'!C$33</f>
        <v>$'000</v>
      </c>
      <c r="D207" s="190"/>
      <c r="E207" s="190"/>
      <c r="F207" s="188">
        <f>'2017 Determination - Revenue'!F85*(1-'2017 Determination - Revenue'!F97)</f>
        <v>0</v>
      </c>
      <c r="G207" s="188">
        <f>'2017 Determination - Revenue'!G85*(1-'2017 Determination - Revenue'!G97)</f>
        <v>0</v>
      </c>
      <c r="H207" s="232">
        <f>'2017 Determination - Revenue'!H85*(1-'2017 Determination - Revenue'!H97)</f>
        <v>0</v>
      </c>
      <c r="I207" s="232">
        <f>'2017 Determination - Revenue'!I85*(1-'2017 Determination - Revenue'!I97)</f>
        <v>0</v>
      </c>
      <c r="J207" s="234"/>
      <c r="K207" s="193"/>
    </row>
    <row r="208" spans="2:11">
      <c r="B208" s="209" t="str">
        <f>'2017 Determination - Revenue'!B$39</f>
        <v>Murray</v>
      </c>
      <c r="C208" s="190" t="str">
        <f>'2017 Determination - Revenue'!C$33</f>
        <v>$'000</v>
      </c>
      <c r="D208" s="190"/>
      <c r="E208" s="190"/>
      <c r="F208" s="188">
        <f>'2017 Determination - Revenue'!F86*(1-'2017 Determination - Revenue'!F98)</f>
        <v>2333.8035005172551</v>
      </c>
      <c r="G208" s="188">
        <f>'2017 Determination - Revenue'!G86*(1-'2017 Determination - Revenue'!G98)</f>
        <v>2333.8035005172551</v>
      </c>
      <c r="H208" s="232">
        <f>'2017 Determination - Revenue'!H86*(1-'2017 Determination - Revenue'!H98)</f>
        <v>2333.8035005172551</v>
      </c>
      <c r="I208" s="232">
        <f>'2017 Determination - Revenue'!I86*(1-'2017 Determination - Revenue'!I98)</f>
        <v>2333.8035005172551</v>
      </c>
      <c r="J208" s="234"/>
      <c r="K208" s="193"/>
    </row>
    <row r="209" spans="2:11">
      <c r="B209" s="209" t="str">
        <f>'2017 Determination - Revenue'!B$40</f>
        <v>Murrumbidgee</v>
      </c>
      <c r="C209" s="190" t="str">
        <f>'2017 Determination - Revenue'!C$33</f>
        <v>$'000</v>
      </c>
      <c r="D209" s="190"/>
      <c r="E209" s="190"/>
      <c r="F209" s="188">
        <f>'2017 Determination - Revenue'!F87*(1-'2017 Determination - Revenue'!F99)</f>
        <v>521.80831197862949</v>
      </c>
      <c r="G209" s="188">
        <f>'2017 Determination - Revenue'!G87*(1-'2017 Determination - Revenue'!G99)</f>
        <v>521.80831197862949</v>
      </c>
      <c r="H209" s="232">
        <f>'2017 Determination - Revenue'!H87*(1-'2017 Determination - Revenue'!H99)</f>
        <v>521.80831197862949</v>
      </c>
      <c r="I209" s="232">
        <f>'2017 Determination - Revenue'!I87*(1-'2017 Determination - Revenue'!I99)</f>
        <v>521.8083119786296</v>
      </c>
      <c r="J209" s="234"/>
      <c r="K209" s="193"/>
    </row>
    <row r="210" spans="2:11">
      <c r="B210" s="209" t="str">
        <f>'2017 Determination - Revenue'!B$41</f>
        <v>Lowbidgee</v>
      </c>
      <c r="C210" s="190" t="str">
        <f>'2017 Determination - Revenue'!C$33</f>
        <v>$'000</v>
      </c>
      <c r="D210" s="190"/>
      <c r="E210" s="190"/>
      <c r="F210" s="188">
        <f>'2017 Determination - Revenue'!F88*(1-'2017 Determination - Revenue'!F100)</f>
        <v>0</v>
      </c>
      <c r="G210" s="188">
        <f>'2017 Determination - Revenue'!G88*(1-'2017 Determination - Revenue'!G100)</f>
        <v>0</v>
      </c>
      <c r="H210" s="232">
        <f>'2017 Determination - Revenue'!H88*(1-'2017 Determination - Revenue'!H100)</f>
        <v>0</v>
      </c>
      <c r="I210" s="232">
        <f>'2017 Determination - Revenue'!I88*(1-'2017 Determination - Revenue'!I100)</f>
        <v>0</v>
      </c>
      <c r="J210" s="234"/>
      <c r="K210" s="193"/>
    </row>
    <row r="211" spans="2:11">
      <c r="B211" s="240" t="s">
        <v>34</v>
      </c>
      <c r="C211" s="190"/>
      <c r="D211" s="190"/>
      <c r="E211" s="190"/>
      <c r="F211" s="199">
        <f>SUMPRODUCT('2017 Determination - Revenue'!F80:F88,(1-'2017 Determination - Revenue'!F92:F100))-SUM(F202:F210)</f>
        <v>0</v>
      </c>
      <c r="G211" s="199">
        <f>SUMPRODUCT('2017 Determination - Revenue'!G80:G88,(1-'2017 Determination - Revenue'!G92:G100))-SUM(G202:G210)</f>
        <v>0</v>
      </c>
      <c r="H211" s="224">
        <f>SUMPRODUCT('2017 Determination - Revenue'!H80:H88,(1-'2017 Determination - Revenue'!H92:H100))-SUM(H202:H210)</f>
        <v>0</v>
      </c>
      <c r="I211" s="224">
        <f>SUMPRODUCT('2017 Determination - Revenue'!I80:I88,(1-'2017 Determination - Revenue'!I92:I100))-SUM(I202:I210)</f>
        <v>0</v>
      </c>
      <c r="J211" s="234"/>
      <c r="K211" s="193"/>
    </row>
    <row r="212" spans="2:11">
      <c r="B212" s="42"/>
      <c r="C212" s="37"/>
      <c r="D212" s="37"/>
      <c r="E212" s="37"/>
      <c r="F212" s="49"/>
      <c r="G212" s="37"/>
      <c r="H212" s="132"/>
      <c r="I212" s="211"/>
      <c r="J212" s="43"/>
    </row>
    <row r="213" spans="2:11">
      <c r="B213" s="44"/>
      <c r="C213" s="35"/>
      <c r="D213" s="35"/>
      <c r="E213" s="35"/>
      <c r="F213" s="54"/>
      <c r="G213" s="35"/>
      <c r="H213" s="167"/>
      <c r="I213" s="226"/>
      <c r="J213" s="4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8"/>
  <sheetViews>
    <sheetView showGridLines="0" topLeftCell="A8" workbookViewId="0">
      <selection activeCell="I14" sqref="I14"/>
    </sheetView>
  </sheetViews>
  <sheetFormatPr defaultColWidth="9.09765625" defaultRowHeight="11.5"/>
  <cols>
    <col min="1" max="1" width="5.69921875" style="31" customWidth="1"/>
    <col min="2" max="2" width="40.69921875" style="31" customWidth="1"/>
    <col min="3" max="3" width="9" style="31" customWidth="1"/>
    <col min="4" max="5" width="5.69921875" style="31" customWidth="1"/>
    <col min="6" max="7" width="22.8984375" style="31" customWidth="1"/>
    <col min="8" max="8" width="22.8984375" style="131" customWidth="1"/>
    <col min="9" max="9" width="22.8984375" style="227" customWidth="1"/>
    <col min="10" max="10" width="5.69921875" style="31" customWidth="1"/>
    <col min="11" max="11" width="11.8984375" style="31" bestFit="1" customWidth="1"/>
    <col min="12" max="12" width="9.09765625" style="193"/>
    <col min="13" max="16384" width="9.09765625" style="31"/>
  </cols>
  <sheetData>
    <row r="2" spans="2:12" ht="18">
      <c r="B2" s="34" t="s">
        <v>124</v>
      </c>
    </row>
    <row r="3" spans="2:12">
      <c r="B3" s="79" t="s">
        <v>125</v>
      </c>
    </row>
    <row r="5" spans="2:12">
      <c r="B5" s="35" t="s">
        <v>28</v>
      </c>
      <c r="C5" s="35"/>
      <c r="D5" s="35"/>
      <c r="E5" s="36" t="s">
        <v>29</v>
      </c>
    </row>
    <row r="6" spans="2:12">
      <c r="B6" s="193" t="str">
        <f>B10</f>
        <v>TABLE 6.1 - FISH RIVER USAGE AND MAQ VALUES</v>
      </c>
      <c r="C6" s="193"/>
      <c r="D6" s="193"/>
      <c r="E6" s="193">
        <f>ROW(B10)</f>
        <v>10</v>
      </c>
      <c r="F6" s="193"/>
      <c r="G6" s="193"/>
      <c r="H6" s="227"/>
      <c r="J6" s="193"/>
      <c r="K6" s="193"/>
    </row>
    <row r="7" spans="2:12">
      <c r="B7" s="54" t="str">
        <f>B39</f>
        <v>TABLE 6.2 - FISH RIVER REQUIRED REVENUE CALCULATIONS</v>
      </c>
      <c r="C7" s="54"/>
      <c r="D7" s="54"/>
      <c r="E7" s="54">
        <f>ROW(B39)</f>
        <v>39</v>
      </c>
      <c r="F7" s="193"/>
      <c r="G7" s="193"/>
      <c r="H7" s="227"/>
      <c r="J7" s="193"/>
      <c r="K7" s="193"/>
    </row>
    <row r="8" spans="2:12">
      <c r="B8" s="193"/>
      <c r="C8" s="193"/>
      <c r="D8" s="193"/>
      <c r="E8" s="193"/>
      <c r="F8" s="193"/>
      <c r="G8" s="193"/>
      <c r="H8" s="227"/>
      <c r="J8" s="193"/>
      <c r="K8" s="193"/>
    </row>
    <row r="9" spans="2:12">
      <c r="B9" s="193"/>
      <c r="C9" s="193"/>
      <c r="D9" s="193"/>
      <c r="E9" s="193"/>
      <c r="F9" s="193"/>
      <c r="G9" s="193"/>
      <c r="H9" s="227"/>
      <c r="J9" s="193"/>
      <c r="K9" s="193"/>
    </row>
    <row r="10" spans="2:12">
      <c r="B10" s="32" t="s">
        <v>123</v>
      </c>
      <c r="C10" s="37"/>
      <c r="D10" s="37"/>
      <c r="E10" s="52"/>
      <c r="F10" s="52"/>
      <c r="G10" s="52"/>
      <c r="H10" s="52"/>
      <c r="I10" s="190"/>
      <c r="J10" s="52"/>
      <c r="K10" s="52"/>
    </row>
    <row r="11" spans="2:12">
      <c r="B11" s="237" t="str">
        <f>'2017 Determination - Revenue'!B$15</f>
        <v>Financial year ending 30 June</v>
      </c>
      <c r="C11" s="238" t="str">
        <f>'2017 Determination - Revenue'!C$15</f>
        <v>Units</v>
      </c>
      <c r="D11" s="238"/>
      <c r="E11" s="238"/>
      <c r="F11" s="210" t="str">
        <f>'2017 Determination - Revenue'!F$16</f>
        <v>2017-18</v>
      </c>
      <c r="G11" s="210" t="str">
        <f>'2017 Determination - Revenue'!G$16</f>
        <v>2018-19</v>
      </c>
      <c r="H11" s="210" t="str">
        <f>'2017 Determination - Revenue'!H$16</f>
        <v>2019-20</v>
      </c>
      <c r="I11" s="210" t="str">
        <f>'2017 Determination - Revenue'!I$16</f>
        <v>2020-21</v>
      </c>
      <c r="J11" s="236"/>
      <c r="K11" s="193"/>
    </row>
    <row r="12" spans="2:12">
      <c r="B12" s="209"/>
      <c r="C12" s="190"/>
      <c r="D12" s="190"/>
      <c r="E12" s="190"/>
      <c r="F12" s="195"/>
      <c r="G12" s="195"/>
      <c r="H12" s="214"/>
      <c r="I12" s="214"/>
      <c r="J12" s="234"/>
      <c r="K12" s="193"/>
    </row>
    <row r="13" spans="2:12">
      <c r="B13" s="48" t="s">
        <v>56</v>
      </c>
      <c r="C13" s="37"/>
      <c r="D13" s="37"/>
      <c r="E13" s="37"/>
      <c r="F13" s="52"/>
      <c r="G13" s="52"/>
      <c r="H13" s="153"/>
      <c r="I13" s="211"/>
      <c r="J13" s="43"/>
    </row>
    <row r="14" spans="2:12">
      <c r="B14" s="249" t="str">
        <f>'Updated Volumes'!B$31</f>
        <v xml:space="preserve">Energy Australia </v>
      </c>
      <c r="C14" s="190" t="str">
        <f>'Updated Volumes'!$C$20</f>
        <v>ML</v>
      </c>
      <c r="D14" s="190"/>
      <c r="E14" s="190"/>
      <c r="F14" s="283">
        <f>'Updated Volumes'!AA124</f>
        <v>8184</v>
      </c>
      <c r="G14" s="283">
        <f>'Updated Volumes'!AB124</f>
        <v>8184</v>
      </c>
      <c r="H14" s="283">
        <f>'Updated Volumes'!AC124</f>
        <v>8184</v>
      </c>
      <c r="I14" s="283">
        <f>'Updated Volumes'!AD124</f>
        <v>8184</v>
      </c>
      <c r="J14" s="234"/>
      <c r="K14" s="193"/>
    </row>
    <row r="15" spans="2:12" s="106" customFormat="1">
      <c r="B15" s="249" t="str">
        <f>'Updated Volumes'!B$32</f>
        <v xml:space="preserve">Minor customers (raw) </v>
      </c>
      <c r="C15" s="190" t="str">
        <f>'Updated Volumes'!$C$20</f>
        <v>ML</v>
      </c>
      <c r="D15" s="190"/>
      <c r="E15" s="190"/>
      <c r="F15" s="283">
        <f>'Updated Volumes'!AA125</f>
        <v>16.600000000000001</v>
      </c>
      <c r="G15" s="283">
        <f>'Updated Volumes'!AB125</f>
        <v>16.8</v>
      </c>
      <c r="H15" s="283">
        <f>'Updated Volumes'!AC125</f>
        <v>16.8</v>
      </c>
      <c r="I15" s="283">
        <f>'Updated Volumes'!AD125</f>
        <v>16.8</v>
      </c>
      <c r="J15" s="234"/>
      <c r="K15" s="193"/>
      <c r="L15" s="193"/>
    </row>
    <row r="16" spans="2:12">
      <c r="B16" s="249" t="str">
        <f>'Updated Volumes'!B$33</f>
        <v xml:space="preserve">Minor customers (filtered) </v>
      </c>
      <c r="C16" s="190" t="str">
        <f>'Updated Volumes'!$C$20</f>
        <v>ML</v>
      </c>
      <c r="D16" s="190"/>
      <c r="E16" s="190"/>
      <c r="F16" s="283">
        <f>'Updated Volumes'!AA126</f>
        <v>45.6</v>
      </c>
      <c r="G16" s="283">
        <f>'Updated Volumes'!AB126</f>
        <v>46.2</v>
      </c>
      <c r="H16" s="283">
        <f>'Updated Volumes'!AC126</f>
        <v>46.2</v>
      </c>
      <c r="I16" s="283">
        <f>'Updated Volumes'!AD126</f>
        <v>46.2</v>
      </c>
      <c r="J16" s="234"/>
      <c r="K16" s="193"/>
    </row>
    <row r="17" spans="2:12">
      <c r="B17" s="239"/>
      <c r="C17" s="190"/>
      <c r="D17" s="190"/>
      <c r="E17" s="190"/>
      <c r="F17" s="283"/>
      <c r="G17" s="283"/>
      <c r="H17" s="168"/>
      <c r="I17" s="168"/>
      <c r="J17" s="234"/>
      <c r="K17" s="193"/>
    </row>
    <row r="18" spans="2:12">
      <c r="B18" s="239" t="s">
        <v>52</v>
      </c>
      <c r="C18" s="190"/>
      <c r="D18" s="190"/>
      <c r="E18" s="190"/>
      <c r="F18" s="283"/>
      <c r="G18" s="283"/>
      <c r="H18" s="168"/>
      <c r="I18" s="168"/>
      <c r="J18" s="234"/>
      <c r="K18" s="193"/>
    </row>
    <row r="19" spans="2:12" s="106" customFormat="1" ht="12">
      <c r="B19" s="254" t="s">
        <v>208</v>
      </c>
      <c r="C19" s="190"/>
      <c r="D19" s="190"/>
      <c r="E19" s="190"/>
      <c r="F19" s="283"/>
      <c r="G19" s="283"/>
      <c r="H19" s="168"/>
      <c r="I19" s="168"/>
      <c r="J19" s="234"/>
      <c r="K19" s="193"/>
      <c r="L19" s="193"/>
    </row>
    <row r="20" spans="2:12" ht="12" customHeight="1">
      <c r="B20" s="249" t="str">
        <f>'Updated Volumes'!B$31</f>
        <v xml:space="preserve">Energy Australia </v>
      </c>
      <c r="C20" s="190" t="s">
        <v>15</v>
      </c>
      <c r="D20" s="190"/>
      <c r="E20" s="190"/>
      <c r="F20" s="283">
        <f>AVERAGE('Updated Volumes'!F31:Y31)/1000</f>
        <v>1540.5643749999999</v>
      </c>
      <c r="G20" s="283">
        <f>AVERAGE('Updated Volumes'!G31:Z31)/1000</f>
        <v>1540.5064705882353</v>
      </c>
      <c r="H20" s="168">
        <f>AVERAGE('Updated Volumes'!H31:AA31)/1000</f>
        <v>1761.1795555555555</v>
      </c>
      <c r="I20" s="168">
        <f>AVERAGE('Updated Volumes'!I31:AB31)/1000</f>
        <v>1883.7505789473682</v>
      </c>
      <c r="J20" s="234"/>
      <c r="K20" s="193"/>
    </row>
    <row r="21" spans="2:12" s="106" customFormat="1" ht="12" customHeight="1">
      <c r="B21" s="249" t="str">
        <f>'Updated Volumes'!B$32</f>
        <v xml:space="preserve">Minor customers (raw) </v>
      </c>
      <c r="C21" s="190" t="str">
        <f>'Updated Volumes'!$C$20</f>
        <v>ML</v>
      </c>
      <c r="D21" s="190"/>
      <c r="E21" s="190"/>
      <c r="F21" s="283">
        <f>AVERAGE('Updated Volumes'!F32:Y32)</f>
        <v>50.254849999999998</v>
      </c>
      <c r="G21" s="283">
        <f>AVERAGE('Updated Volumes'!G32:Z32)</f>
        <v>50.194849999999995</v>
      </c>
      <c r="H21" s="168">
        <f>AVERAGE('Updated Volumes'!H32:AA32)</f>
        <v>50.319849999999995</v>
      </c>
      <c r="I21" s="168">
        <f>AVERAGE('Updated Volumes'!I32:AB32)</f>
        <v>50.997849999999993</v>
      </c>
      <c r="J21" s="234"/>
      <c r="K21" s="193"/>
      <c r="L21" s="193"/>
    </row>
    <row r="22" spans="2:12">
      <c r="B22" s="249" t="str">
        <f>'Updated Volumes'!B$33</f>
        <v xml:space="preserve">Minor customers (filtered) </v>
      </c>
      <c r="C22" s="190" t="str">
        <f>'Updated Volumes'!$C$20</f>
        <v>ML</v>
      </c>
      <c r="D22" s="190"/>
      <c r="E22" s="190"/>
      <c r="F22" s="283">
        <f>AVERAGE('Updated Volumes'!F33:Y33)</f>
        <v>116.3412</v>
      </c>
      <c r="G22" s="283">
        <f>AVERAGE('Updated Volumes'!G33:Z33)</f>
        <v>110.32415</v>
      </c>
      <c r="H22" s="168">
        <f>AVERAGE('Updated Volumes'!H33:AA33)</f>
        <v>106.70710000000001</v>
      </c>
      <c r="I22" s="168">
        <f>AVERAGE('Updated Volumes'!I33:AB33)</f>
        <v>104.66780000000001</v>
      </c>
      <c r="J22" s="234"/>
      <c r="K22" s="193"/>
    </row>
    <row r="23" spans="2:12">
      <c r="B23" s="239"/>
      <c r="C23" s="190"/>
      <c r="D23" s="190"/>
      <c r="E23" s="190"/>
      <c r="F23" s="283"/>
      <c r="G23" s="283"/>
      <c r="H23" s="168"/>
      <c r="I23" s="168"/>
      <c r="J23" s="234"/>
      <c r="K23" s="193"/>
    </row>
    <row r="24" spans="2:12" s="106" customFormat="1">
      <c r="B24" s="239" t="s">
        <v>75</v>
      </c>
      <c r="C24" s="190"/>
      <c r="D24" s="190"/>
      <c r="E24" s="190"/>
      <c r="F24" s="283"/>
      <c r="G24" s="283"/>
      <c r="H24" s="168"/>
      <c r="I24" s="168"/>
      <c r="J24" s="234"/>
      <c r="K24" s="193"/>
      <c r="L24" s="193"/>
    </row>
    <row r="25" spans="2:12" s="106" customFormat="1">
      <c r="B25" s="249" t="str">
        <f>'Updated Volumes'!B$31</f>
        <v xml:space="preserve">Energy Australia </v>
      </c>
      <c r="C25" s="190" t="str">
        <f>'Updated Volumes'!$C$20</f>
        <v>ML</v>
      </c>
      <c r="D25" s="190"/>
      <c r="E25" s="190"/>
      <c r="F25" s="283">
        <f t="shared" ref="F25:G27" si="0">IF(F20&gt;F14,F14,F20)</f>
        <v>1540.5643749999999</v>
      </c>
      <c r="G25" s="283">
        <f t="shared" si="0"/>
        <v>1540.5064705882353</v>
      </c>
      <c r="H25" s="168">
        <f t="shared" ref="H25:I27" si="1">IF(H20&gt;H14,H14,H20)</f>
        <v>1761.1795555555555</v>
      </c>
      <c r="I25" s="168">
        <f t="shared" si="1"/>
        <v>1883.7505789473682</v>
      </c>
      <c r="J25" s="234"/>
      <c r="K25" s="193"/>
      <c r="L25" s="193"/>
    </row>
    <row r="26" spans="2:12" s="106" customFormat="1">
      <c r="B26" s="249" t="str">
        <f>'Updated Volumes'!B$32</f>
        <v xml:space="preserve">Minor customers (raw) </v>
      </c>
      <c r="C26" s="190" t="str">
        <f>'Updated Volumes'!$C$20</f>
        <v>ML</v>
      </c>
      <c r="D26" s="190"/>
      <c r="E26" s="190"/>
      <c r="F26" s="283">
        <f t="shared" si="0"/>
        <v>16.600000000000001</v>
      </c>
      <c r="G26" s="283">
        <f t="shared" si="0"/>
        <v>16.8</v>
      </c>
      <c r="H26" s="168">
        <f t="shared" si="1"/>
        <v>16.8</v>
      </c>
      <c r="I26" s="168">
        <f t="shared" si="1"/>
        <v>16.8</v>
      </c>
      <c r="J26" s="234"/>
      <c r="K26" s="193"/>
      <c r="L26" s="193"/>
    </row>
    <row r="27" spans="2:12" s="106" customFormat="1">
      <c r="B27" s="249" t="str">
        <f>'Updated Volumes'!B$33</f>
        <v xml:space="preserve">Minor customers (filtered) </v>
      </c>
      <c r="C27" s="190" t="str">
        <f>'Updated Volumes'!$C$20</f>
        <v>ML</v>
      </c>
      <c r="D27" s="190"/>
      <c r="E27" s="190"/>
      <c r="F27" s="283">
        <f t="shared" si="0"/>
        <v>45.6</v>
      </c>
      <c r="G27" s="283">
        <f t="shared" si="0"/>
        <v>46.2</v>
      </c>
      <c r="H27" s="168">
        <f t="shared" si="1"/>
        <v>46.2</v>
      </c>
      <c r="I27" s="168">
        <f t="shared" si="1"/>
        <v>46.2</v>
      </c>
      <c r="J27" s="234"/>
      <c r="K27" s="193"/>
      <c r="L27" s="193"/>
    </row>
    <row r="28" spans="2:12" s="106" customFormat="1">
      <c r="B28" s="239"/>
      <c r="C28" s="190"/>
      <c r="D28" s="190"/>
      <c r="E28" s="190"/>
      <c r="F28" s="283"/>
      <c r="G28" s="283"/>
      <c r="H28" s="168"/>
      <c r="I28" s="168"/>
      <c r="J28" s="234"/>
      <c r="K28" s="193"/>
      <c r="L28" s="193"/>
    </row>
    <row r="29" spans="2:12" s="106" customFormat="1">
      <c r="B29" s="239" t="s">
        <v>76</v>
      </c>
      <c r="C29" s="190"/>
      <c r="D29" s="190"/>
      <c r="E29" s="190"/>
      <c r="F29" s="283"/>
      <c r="G29" s="283"/>
      <c r="H29" s="168"/>
      <c r="I29" s="168"/>
      <c r="J29" s="234"/>
      <c r="K29" s="193"/>
      <c r="L29" s="193"/>
    </row>
    <row r="30" spans="2:12" s="106" customFormat="1">
      <c r="B30" s="249" t="str">
        <f>'Updated Volumes'!B$31</f>
        <v xml:space="preserve">Energy Australia </v>
      </c>
      <c r="C30" s="190" t="str">
        <f>'Updated Volumes'!$C$20</f>
        <v>ML</v>
      </c>
      <c r="D30" s="190"/>
      <c r="E30" s="190"/>
      <c r="F30" s="283">
        <f t="shared" ref="F30:G32" si="2">IF(F20&lt;F14,0,F20-F14)</f>
        <v>0</v>
      </c>
      <c r="G30" s="283">
        <f t="shared" si="2"/>
        <v>0</v>
      </c>
      <c r="H30" s="168">
        <f t="shared" ref="H30:I32" si="3">IF(H20&lt;H14,0,H20-H14)</f>
        <v>0</v>
      </c>
      <c r="I30" s="168">
        <f t="shared" si="3"/>
        <v>0</v>
      </c>
      <c r="J30" s="234"/>
      <c r="K30" s="193"/>
      <c r="L30" s="193"/>
    </row>
    <row r="31" spans="2:12" s="106" customFormat="1">
      <c r="B31" s="249" t="str">
        <f>'Updated Volumes'!B$32</f>
        <v xml:space="preserve">Minor customers (raw) </v>
      </c>
      <c r="C31" s="190" t="str">
        <f>'Updated Volumes'!$C$20</f>
        <v>ML</v>
      </c>
      <c r="D31" s="190"/>
      <c r="E31" s="190"/>
      <c r="F31" s="283">
        <f t="shared" si="2"/>
        <v>33.654849999999996</v>
      </c>
      <c r="G31" s="283">
        <f t="shared" si="2"/>
        <v>33.394849999999991</v>
      </c>
      <c r="H31" s="168">
        <f t="shared" si="3"/>
        <v>33.519849999999991</v>
      </c>
      <c r="I31" s="168">
        <f t="shared" si="3"/>
        <v>34.197849999999988</v>
      </c>
      <c r="J31" s="234"/>
      <c r="K31" s="193"/>
      <c r="L31" s="193"/>
    </row>
    <row r="32" spans="2:12" s="106" customFormat="1">
      <c r="B32" s="249" t="str">
        <f>'Updated Volumes'!B$33</f>
        <v xml:space="preserve">Minor customers (filtered) </v>
      </c>
      <c r="C32" s="190" t="str">
        <f>'Updated Volumes'!$C$20</f>
        <v>ML</v>
      </c>
      <c r="D32" s="190"/>
      <c r="E32" s="190"/>
      <c r="F32" s="283">
        <f t="shared" si="2"/>
        <v>70.741199999999992</v>
      </c>
      <c r="G32" s="283">
        <f t="shared" si="2"/>
        <v>64.12415</v>
      </c>
      <c r="H32" s="168">
        <f t="shared" si="3"/>
        <v>60.507100000000008</v>
      </c>
      <c r="I32" s="168">
        <f t="shared" si="3"/>
        <v>58.467800000000011</v>
      </c>
      <c r="J32" s="234"/>
      <c r="K32" s="193"/>
      <c r="L32" s="193"/>
    </row>
    <row r="33" spans="2:12" s="106" customFormat="1">
      <c r="B33" s="77" t="s">
        <v>34</v>
      </c>
      <c r="C33" s="37"/>
      <c r="D33" s="37"/>
      <c r="E33" s="37"/>
      <c r="F33" s="284">
        <f>F25+F30-F20</f>
        <v>0</v>
      </c>
      <c r="G33" s="284">
        <f>G25+G30-G20</f>
        <v>0</v>
      </c>
      <c r="H33" s="285">
        <f>H25+H30-H20</f>
        <v>0</v>
      </c>
      <c r="I33" s="285">
        <f>I25+I30-I20</f>
        <v>0</v>
      </c>
      <c r="J33" s="234"/>
      <c r="K33" s="193"/>
      <c r="L33" s="193"/>
    </row>
    <row r="34" spans="2:12" s="106" customFormat="1">
      <c r="B34" s="77" t="s">
        <v>34</v>
      </c>
      <c r="C34" s="37"/>
      <c r="D34" s="37"/>
      <c r="E34" s="37"/>
      <c r="F34" s="284">
        <f>F27+F32-F22</f>
        <v>0</v>
      </c>
      <c r="G34" s="284">
        <f>G27+G32-G22</f>
        <v>0</v>
      </c>
      <c r="H34" s="285">
        <f>H27+H32-H22</f>
        <v>0</v>
      </c>
      <c r="I34" s="285">
        <f>I27+I32-I22</f>
        <v>0</v>
      </c>
      <c r="J34" s="234"/>
      <c r="K34" s="193"/>
      <c r="L34" s="193"/>
    </row>
    <row r="35" spans="2:12" s="106" customFormat="1">
      <c r="B35" s="77" t="s">
        <v>34</v>
      </c>
      <c r="C35" s="37"/>
      <c r="D35" s="37"/>
      <c r="E35" s="37"/>
      <c r="F35" s="284">
        <f>F26+F31-F21</f>
        <v>0</v>
      </c>
      <c r="G35" s="284">
        <f>G26+G31-G21</f>
        <v>0</v>
      </c>
      <c r="H35" s="285">
        <f>H26+H31-H21</f>
        <v>0</v>
      </c>
      <c r="I35" s="285">
        <f>I26+I31-I21</f>
        <v>0</v>
      </c>
      <c r="J35" s="234"/>
      <c r="K35" s="193"/>
      <c r="L35" s="193"/>
    </row>
    <row r="36" spans="2:12">
      <c r="B36" s="44"/>
      <c r="C36" s="35"/>
      <c r="D36" s="35"/>
      <c r="E36" s="35"/>
      <c r="F36" s="35"/>
      <c r="G36" s="35"/>
      <c r="H36" s="167"/>
      <c r="I36" s="226"/>
      <c r="J36" s="235"/>
      <c r="K36" s="193"/>
    </row>
    <row r="37" spans="2:12">
      <c r="H37" s="227"/>
      <c r="J37" s="193"/>
      <c r="K37" s="193"/>
    </row>
    <row r="38" spans="2:12">
      <c r="H38" s="227"/>
      <c r="J38" s="193"/>
      <c r="K38" s="193"/>
    </row>
    <row r="39" spans="2:12">
      <c r="B39" s="32" t="s">
        <v>157</v>
      </c>
      <c r="H39" s="193"/>
      <c r="I39" s="193"/>
      <c r="J39" s="193"/>
      <c r="K39" s="193"/>
    </row>
    <row r="40" spans="2:12">
      <c r="B40" s="237" t="str">
        <f>'2017 Determination - Revenue'!B$15</f>
        <v>Financial year ending 30 June</v>
      </c>
      <c r="C40" s="238" t="str">
        <f>'2017 Determination - Revenue'!C$15</f>
        <v>Units</v>
      </c>
      <c r="D40" s="238"/>
      <c r="E40" s="238"/>
      <c r="F40" s="272" t="str">
        <f>'2017 Determination - Revenue'!F$16</f>
        <v>2017-18</v>
      </c>
      <c r="G40" s="272" t="str">
        <f>'2017 Determination - Revenue'!G$16</f>
        <v>2018-19</v>
      </c>
      <c r="H40" s="210" t="str">
        <f>'2017 Determination - Revenue'!H$16</f>
        <v>2019-20</v>
      </c>
      <c r="I40" s="210" t="str">
        <f>'2017 Determination - Revenue'!I$16</f>
        <v>2020-21</v>
      </c>
      <c r="J40" s="236"/>
      <c r="K40" s="193"/>
    </row>
    <row r="41" spans="2:12">
      <c r="B41" s="209"/>
      <c r="C41" s="190"/>
      <c r="D41" s="190"/>
      <c r="E41" s="190"/>
      <c r="F41" s="195"/>
      <c r="G41" s="195"/>
      <c r="H41" s="214"/>
      <c r="I41" s="214"/>
      <c r="J41" s="234"/>
      <c r="K41" s="193"/>
    </row>
    <row r="42" spans="2:12">
      <c r="B42" s="239" t="s">
        <v>49</v>
      </c>
      <c r="C42" s="190"/>
      <c r="D42" s="190"/>
      <c r="E42" s="190"/>
      <c r="F42" s="190"/>
      <c r="G42" s="190"/>
      <c r="H42" s="211"/>
      <c r="I42" s="211"/>
      <c r="J42" s="234"/>
      <c r="K42" s="193"/>
    </row>
    <row r="43" spans="2:12" ht="12" customHeight="1">
      <c r="B43" s="249" t="str">
        <f>'Updated Volumes'!B$31</f>
        <v xml:space="preserve">Energy Australia </v>
      </c>
      <c r="C43" s="190" t="str">
        <f>'2017 Determination - Revenue'!$C$33</f>
        <v>$'000</v>
      </c>
      <c r="D43" s="190"/>
      <c r="E43" s="190"/>
      <c r="F43" s="189">
        <f>F14*Outputs!F148</f>
        <v>3205.1166405710242</v>
      </c>
      <c r="G43" s="189">
        <f t="shared" ref="G43:I45" si="4">F43</f>
        <v>3205.1166405710242</v>
      </c>
      <c r="H43" s="221">
        <f t="shared" si="4"/>
        <v>3205.1166405710242</v>
      </c>
      <c r="I43" s="221">
        <f t="shared" si="4"/>
        <v>3205.1166405710242</v>
      </c>
      <c r="J43" s="234"/>
      <c r="K43" s="185"/>
    </row>
    <row r="44" spans="2:12" s="106" customFormat="1" ht="12" customHeight="1">
      <c r="B44" s="249" t="str">
        <f>'Updated Volumes'!B$32</f>
        <v xml:space="preserve">Minor customers (raw) </v>
      </c>
      <c r="C44" s="190" t="str">
        <f>'2017 Determination - Revenue'!$C$33</f>
        <v>$'000</v>
      </c>
      <c r="D44" s="190"/>
      <c r="E44" s="190"/>
      <c r="F44" s="189">
        <f>F15*Outputs!F149</f>
        <v>6.5010919151367306</v>
      </c>
      <c r="G44" s="189">
        <f t="shared" si="4"/>
        <v>6.5010919151367306</v>
      </c>
      <c r="H44" s="221">
        <f t="shared" si="4"/>
        <v>6.5010919151367306</v>
      </c>
      <c r="I44" s="221">
        <f t="shared" si="4"/>
        <v>6.5010919151367306</v>
      </c>
      <c r="J44" s="234"/>
      <c r="K44" s="185"/>
      <c r="L44" s="193"/>
    </row>
    <row r="45" spans="2:12">
      <c r="B45" s="249" t="str">
        <f>'Updated Volumes'!B$33</f>
        <v xml:space="preserve">Minor customers (filtered) </v>
      </c>
      <c r="C45" s="190" t="str">
        <f>'2017 Determination - Revenue'!$C$33</f>
        <v>$'000</v>
      </c>
      <c r="D45" s="190"/>
      <c r="E45" s="190"/>
      <c r="F45" s="189">
        <f>F16*Outputs!F150</f>
        <v>34.566637721980399</v>
      </c>
      <c r="G45" s="189">
        <f t="shared" si="4"/>
        <v>34.566637721980399</v>
      </c>
      <c r="H45" s="221">
        <f t="shared" si="4"/>
        <v>34.566637721980399</v>
      </c>
      <c r="I45" s="221">
        <f t="shared" si="4"/>
        <v>34.566637721980399</v>
      </c>
      <c r="J45" s="234"/>
      <c r="K45" s="189"/>
    </row>
    <row r="46" spans="2:12">
      <c r="B46" s="209"/>
      <c r="C46" s="190"/>
      <c r="D46" s="190"/>
      <c r="E46" s="190"/>
      <c r="F46" s="189"/>
      <c r="G46" s="189"/>
      <c r="H46" s="221"/>
      <c r="I46" s="221"/>
      <c r="J46" s="234"/>
      <c r="K46" s="193"/>
    </row>
    <row r="47" spans="2:12">
      <c r="B47" s="239" t="s">
        <v>50</v>
      </c>
      <c r="C47" s="190"/>
      <c r="D47" s="190"/>
      <c r="E47" s="190"/>
      <c r="F47" s="189"/>
      <c r="G47" s="189"/>
      <c r="H47" s="221"/>
      <c r="I47" s="221"/>
      <c r="J47" s="234"/>
      <c r="K47" s="193"/>
    </row>
    <row r="48" spans="2:12">
      <c r="B48" s="249" t="str">
        <f>'Updated Volumes'!B$31</f>
        <v xml:space="preserve">Energy Australia </v>
      </c>
      <c r="C48" s="190" t="str">
        <f>'2017 Determination - Revenue'!$C$33</f>
        <v>$'000</v>
      </c>
      <c r="D48" s="190"/>
      <c r="E48" s="190"/>
      <c r="F48" s="189">
        <f>IF(F20&lt;F14,F20*Outputs!F153,F14*Outputs!F153)</f>
        <v>377.08316717166326</v>
      </c>
      <c r="G48" s="189">
        <f t="shared" ref="G48:I50" si="5">F48</f>
        <v>377.08316717166326</v>
      </c>
      <c r="H48" s="221">
        <f t="shared" si="5"/>
        <v>377.08316717166326</v>
      </c>
      <c r="I48" s="221">
        <f t="shared" si="5"/>
        <v>377.08316717166326</v>
      </c>
      <c r="J48" s="234"/>
      <c r="K48" s="193"/>
    </row>
    <row r="49" spans="2:12" s="106" customFormat="1">
      <c r="B49" s="249" t="str">
        <f>'Updated Volumes'!B$32</f>
        <v xml:space="preserve">Minor customers (raw) </v>
      </c>
      <c r="C49" s="190" t="str">
        <f>'2017 Determination - Revenue'!$C$33</f>
        <v>$'000</v>
      </c>
      <c r="D49" s="190"/>
      <c r="E49" s="190"/>
      <c r="F49" s="189">
        <f>IF(F21&lt;F15,F21*Outputs!F154,F15*Outputs!F154)</f>
        <v>4.0631736502732068</v>
      </c>
      <c r="G49" s="189">
        <f t="shared" si="5"/>
        <v>4.0631736502732068</v>
      </c>
      <c r="H49" s="221">
        <f t="shared" si="5"/>
        <v>4.0631736502732068</v>
      </c>
      <c r="I49" s="221">
        <f t="shared" si="5"/>
        <v>4.0631736502732068</v>
      </c>
      <c r="J49" s="234"/>
      <c r="K49" s="193"/>
      <c r="L49" s="193"/>
    </row>
    <row r="50" spans="2:12">
      <c r="B50" s="249" t="str">
        <f>'Updated Volumes'!B$33</f>
        <v xml:space="preserve">Minor customers (filtered) </v>
      </c>
      <c r="C50" s="190" t="str">
        <f>'2017 Determination - Revenue'!$C$33</f>
        <v>$'000</v>
      </c>
      <c r="D50" s="190"/>
      <c r="E50" s="190"/>
      <c r="F50" s="189">
        <f>IF(F22&lt;F16,F22*Outputs!F155,F16*Outputs!F155)</f>
        <v>20.818747036972887</v>
      </c>
      <c r="G50" s="189">
        <f t="shared" si="5"/>
        <v>20.818747036972887</v>
      </c>
      <c r="H50" s="221">
        <f t="shared" si="5"/>
        <v>20.818747036972887</v>
      </c>
      <c r="I50" s="221">
        <f t="shared" si="5"/>
        <v>20.818747036972887</v>
      </c>
      <c r="J50" s="234"/>
      <c r="K50" s="193"/>
    </row>
    <row r="51" spans="2:12">
      <c r="B51" s="240"/>
      <c r="C51" s="190"/>
      <c r="D51" s="190"/>
      <c r="E51" s="190"/>
      <c r="F51" s="189"/>
      <c r="G51" s="189"/>
      <c r="H51" s="221"/>
      <c r="I51" s="221"/>
      <c r="J51" s="234"/>
      <c r="K51" s="193"/>
    </row>
    <row r="52" spans="2:12">
      <c r="B52" s="239" t="s">
        <v>51</v>
      </c>
      <c r="C52" s="190"/>
      <c r="D52" s="190"/>
      <c r="E52" s="190"/>
      <c r="F52" s="189"/>
      <c r="G52" s="189"/>
      <c r="H52" s="221"/>
      <c r="I52" s="221"/>
      <c r="J52" s="234"/>
      <c r="K52" s="193"/>
    </row>
    <row r="53" spans="2:12">
      <c r="B53" s="249" t="str">
        <f>'Updated Volumes'!B$31</f>
        <v xml:space="preserve">Energy Australia </v>
      </c>
      <c r="C53" s="190" t="str">
        <f>'2017 Determination - Revenue'!$C$33</f>
        <v>$'000</v>
      </c>
      <c r="D53" s="190"/>
      <c r="E53" s="190"/>
      <c r="F53" s="189">
        <f>IF(F20&lt;F14,0,((F20-F14)*Outputs!F158))</f>
        <v>0</v>
      </c>
      <c r="G53" s="189">
        <f t="shared" ref="G53:I55" si="6">F53</f>
        <v>0</v>
      </c>
      <c r="H53" s="221">
        <f t="shared" si="6"/>
        <v>0</v>
      </c>
      <c r="I53" s="221">
        <f t="shared" si="6"/>
        <v>0</v>
      </c>
      <c r="J53" s="234"/>
      <c r="K53" s="193"/>
    </row>
    <row r="54" spans="2:12" s="106" customFormat="1">
      <c r="B54" s="249" t="str">
        <f>'Updated Volumes'!B$32</f>
        <v xml:space="preserve">Minor customers (raw) </v>
      </c>
      <c r="C54" s="190" t="str">
        <f>'2017 Determination - Revenue'!$C$33</f>
        <v>$'000</v>
      </c>
      <c r="D54" s="190"/>
      <c r="E54" s="190"/>
      <c r="F54" s="189">
        <f>IF(F21&lt;F15,0,((F21-F15)*Outputs!F159))</f>
        <v>21.202555499999999</v>
      </c>
      <c r="G54" s="189">
        <f t="shared" si="6"/>
        <v>21.202555499999999</v>
      </c>
      <c r="H54" s="221">
        <f t="shared" si="6"/>
        <v>21.202555499999999</v>
      </c>
      <c r="I54" s="221">
        <f t="shared" si="6"/>
        <v>21.202555499999999</v>
      </c>
      <c r="J54" s="234"/>
      <c r="K54" s="193"/>
      <c r="L54" s="193"/>
    </row>
    <row r="55" spans="2:12">
      <c r="B55" s="249" t="str">
        <f>'Updated Volumes'!B$33</f>
        <v xml:space="preserve">Minor customers (filtered) </v>
      </c>
      <c r="C55" s="190" t="str">
        <f>'2017 Determination - Revenue'!$C$33</f>
        <v>$'000</v>
      </c>
      <c r="D55" s="190"/>
      <c r="E55" s="190"/>
      <c r="F55" s="189">
        <f>IF(F22&lt;F16,0,((F22-F16)*Outputs!F160))</f>
        <v>86.304263999999989</v>
      </c>
      <c r="G55" s="189">
        <f t="shared" si="6"/>
        <v>86.304263999999989</v>
      </c>
      <c r="H55" s="221">
        <f t="shared" si="6"/>
        <v>86.304263999999989</v>
      </c>
      <c r="I55" s="221">
        <f t="shared" si="6"/>
        <v>86.304263999999989</v>
      </c>
      <c r="J55" s="234"/>
      <c r="K55" s="193"/>
    </row>
    <row r="56" spans="2:12">
      <c r="B56" s="209"/>
      <c r="C56" s="190"/>
      <c r="D56" s="190"/>
      <c r="E56" s="190"/>
      <c r="F56" s="189"/>
      <c r="G56" s="189"/>
      <c r="H56" s="221"/>
      <c r="I56" s="221"/>
      <c r="J56" s="234"/>
      <c r="K56" s="193"/>
    </row>
    <row r="57" spans="2:12">
      <c r="B57" s="239" t="s">
        <v>57</v>
      </c>
      <c r="C57" s="190"/>
      <c r="D57" s="190"/>
      <c r="E57" s="190"/>
      <c r="F57" s="189"/>
      <c r="G57" s="189"/>
      <c r="H57" s="221"/>
      <c r="I57" s="221"/>
      <c r="J57" s="234"/>
      <c r="K57" s="193"/>
    </row>
    <row r="58" spans="2:12">
      <c r="B58" s="249" t="str">
        <f>'Updated Volumes'!B$31</f>
        <v xml:space="preserve">Energy Australia </v>
      </c>
      <c r="C58" s="190" t="str">
        <f>'2017 Determination - Revenue'!$C$33</f>
        <v>$'000</v>
      </c>
      <c r="D58" s="190"/>
      <c r="E58" s="190"/>
      <c r="F58" s="189">
        <f>F43+F48+F53</f>
        <v>3582.1998077426874</v>
      </c>
      <c r="G58" s="189">
        <f t="shared" ref="G58:I60" si="7">F58</f>
        <v>3582.1998077426874</v>
      </c>
      <c r="H58" s="221">
        <f t="shared" si="7"/>
        <v>3582.1998077426874</v>
      </c>
      <c r="I58" s="221">
        <f t="shared" si="7"/>
        <v>3582.1998077426874</v>
      </c>
      <c r="J58" s="234"/>
      <c r="K58" s="193"/>
    </row>
    <row r="59" spans="2:12" s="106" customFormat="1">
      <c r="B59" s="249" t="str">
        <f>'Updated Volumes'!B$32</f>
        <v xml:space="preserve">Minor customers (raw) </v>
      </c>
      <c r="C59" s="190" t="str">
        <f>'2017 Determination - Revenue'!$C$33</f>
        <v>$'000</v>
      </c>
      <c r="D59" s="190"/>
      <c r="E59" s="190"/>
      <c r="F59" s="189">
        <f>F44+F49+F54</f>
        <v>31.766821065409935</v>
      </c>
      <c r="G59" s="189">
        <f t="shared" si="7"/>
        <v>31.766821065409935</v>
      </c>
      <c r="H59" s="221">
        <f t="shared" si="7"/>
        <v>31.766821065409935</v>
      </c>
      <c r="I59" s="221">
        <f t="shared" si="7"/>
        <v>31.766821065409935</v>
      </c>
      <c r="J59" s="234"/>
      <c r="K59" s="193"/>
      <c r="L59" s="193"/>
    </row>
    <row r="60" spans="2:12">
      <c r="B60" s="249" t="str">
        <f>'Updated Volumes'!B$33</f>
        <v xml:space="preserve">Minor customers (filtered) </v>
      </c>
      <c r="C60" s="190" t="str">
        <f>'2017 Determination - Revenue'!$C$33</f>
        <v>$'000</v>
      </c>
      <c r="D60" s="190"/>
      <c r="E60" s="190"/>
      <c r="F60" s="189">
        <f>F45+F50+F55</f>
        <v>141.68964875895327</v>
      </c>
      <c r="G60" s="189">
        <f t="shared" si="7"/>
        <v>141.68964875895327</v>
      </c>
      <c r="H60" s="221">
        <f t="shared" si="7"/>
        <v>141.68964875895327</v>
      </c>
      <c r="I60" s="221">
        <f t="shared" si="7"/>
        <v>141.68964875895327</v>
      </c>
      <c r="J60" s="234"/>
      <c r="K60" s="193"/>
    </row>
    <row r="61" spans="2:12">
      <c r="B61" s="240" t="s">
        <v>34</v>
      </c>
      <c r="C61" s="190"/>
      <c r="D61" s="190"/>
      <c r="E61" s="190"/>
      <c r="F61" s="287">
        <f>F43+F48+F53-F58</f>
        <v>0</v>
      </c>
      <c r="G61" s="287">
        <f>G43+G48+G53-G58</f>
        <v>0</v>
      </c>
      <c r="H61" s="286">
        <f>H43+H48+H53-H58</f>
        <v>0</v>
      </c>
      <c r="I61" s="286">
        <f>I43+I48+I53-I58</f>
        <v>0</v>
      </c>
      <c r="J61" s="234"/>
      <c r="K61" s="193"/>
    </row>
    <row r="62" spans="2:12">
      <c r="B62" s="240" t="s">
        <v>34</v>
      </c>
      <c r="C62" s="190"/>
      <c r="D62" s="190"/>
      <c r="E62" s="190"/>
      <c r="F62" s="287">
        <f>F45+F50+F55-F60</f>
        <v>0</v>
      </c>
      <c r="G62" s="287">
        <f>G45+G50+G55-G60</f>
        <v>0</v>
      </c>
      <c r="H62" s="286">
        <f>H45+H50+H55-H60</f>
        <v>0</v>
      </c>
      <c r="I62" s="286">
        <f>I45+I50+I55-I60</f>
        <v>0</v>
      </c>
      <c r="J62" s="234"/>
      <c r="K62" s="193"/>
    </row>
    <row r="63" spans="2:12">
      <c r="B63" s="240" t="s">
        <v>34</v>
      </c>
      <c r="C63" s="190"/>
      <c r="D63" s="190"/>
      <c r="E63" s="190"/>
      <c r="F63" s="287">
        <f>F44+F49+F54-F59</f>
        <v>0</v>
      </c>
      <c r="G63" s="287">
        <f>G44+G49+G54-G59</f>
        <v>0</v>
      </c>
      <c r="H63" s="286">
        <f>H44+H49+H54-H59</f>
        <v>0</v>
      </c>
      <c r="I63" s="286">
        <f>I44+I49+I54-I59</f>
        <v>0</v>
      </c>
      <c r="J63" s="234"/>
      <c r="K63" s="193"/>
    </row>
    <row r="64" spans="2:12">
      <c r="B64" s="42"/>
      <c r="C64" s="37"/>
      <c r="D64" s="37"/>
      <c r="E64" s="37"/>
      <c r="F64" s="56"/>
      <c r="G64" s="37"/>
      <c r="H64" s="132"/>
      <c r="I64" s="211"/>
      <c r="J64" s="43"/>
    </row>
    <row r="65" spans="2:10">
      <c r="B65" s="44"/>
      <c r="C65" s="35"/>
      <c r="D65" s="35"/>
      <c r="E65" s="35"/>
      <c r="F65" s="35"/>
      <c r="G65" s="35"/>
      <c r="H65" s="167"/>
      <c r="I65" s="226"/>
      <c r="J65" s="45"/>
    </row>
    <row r="74" spans="2:10" ht="12" customHeight="1"/>
    <row r="89" spans="7:11">
      <c r="K89" s="102"/>
    </row>
    <row r="94" spans="7:11">
      <c r="G94" s="102"/>
      <c r="H94" s="169"/>
      <c r="I94" s="316"/>
    </row>
    <row r="95" spans="7:11">
      <c r="G95" s="102"/>
      <c r="H95" s="169"/>
      <c r="I95" s="316"/>
    </row>
    <row r="96" spans="7:11">
      <c r="G96" s="102"/>
      <c r="H96" s="169"/>
      <c r="I96" s="316"/>
    </row>
    <row r="97" spans="7:9">
      <c r="G97" s="102"/>
      <c r="H97" s="169"/>
      <c r="I97" s="316"/>
    </row>
    <row r="98" spans="7:9">
      <c r="G98" s="102"/>
      <c r="H98" s="169"/>
      <c r="I98" s="31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Examples</vt:lpstr>
      <vt:lpstr>Cover</vt:lpstr>
      <vt:lpstr>Inputs&gt;&gt;</vt:lpstr>
      <vt:lpstr>Updated Volumes</vt:lpstr>
      <vt:lpstr>2017 Determination - Revenue</vt:lpstr>
      <vt:lpstr>2017 Determination - charges</vt:lpstr>
      <vt:lpstr> Calculations&gt;&gt;</vt:lpstr>
      <vt:lpstr>Outputs</vt:lpstr>
      <vt:lpstr>MDB calcs</vt:lpstr>
      <vt:lpstr>FRWS calcs</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Jenkins</dc:creator>
  <cp:lastModifiedBy>Maria Tortura</cp:lastModifiedBy>
  <cp:lastPrinted>2020-04-07T03:14:06Z</cp:lastPrinted>
  <dcterms:created xsi:type="dcterms:W3CDTF">2014-05-19T07:21:06Z</dcterms:created>
  <dcterms:modified xsi:type="dcterms:W3CDTF">2020-04-09T06:26:59Z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