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part.local\ipart\FolderRedirection\MariaT\Desktop\"/>
    </mc:Choice>
  </mc:AlternateContent>
  <bookViews>
    <workbookView xWindow="0" yWindow="0" windowWidth="18600" windowHeight="6470" tabRatio="888" firstSheet="1" activeTab="1"/>
  </bookViews>
  <sheets>
    <sheet name="Journal" sheetId="11" state="hidden" r:id="rId1"/>
    <sheet name="Cover" sheetId="12" r:id="rId2"/>
    <sheet name="Summary of result" sheetId="25" r:id="rId3"/>
    <sheet name="DC Calculations" sheetId="20" r:id="rId4"/>
    <sheet name="General inputs" sheetId="15" r:id="rId5"/>
    <sheet name="Commissioned assets" sheetId="16" r:id="rId6"/>
    <sheet name="Uncommissioned assets" sheetId="17" r:id="rId7"/>
    <sheet name="ET inputs" sheetId="19" r:id="rId8"/>
    <sheet name="Reduction amount" sheetId="22" r:id="rId9"/>
    <sheet name="Headwork assets" sheetId="23" r:id="rId10"/>
    <sheet name="Cost Offsets" sheetId="26" r:id="rId11"/>
    <sheet name="Asset exclusions" sheetId="24" r:id="rId12"/>
  </sheets>
  <definedNames>
    <definedName name="_xlnm.Print_Area" localSheetId="1">Cover!$B$1:$E$92</definedName>
  </definedNames>
  <calcPr calcId="152511"/>
</workbook>
</file>

<file path=xl/calcChain.xml><?xml version="1.0" encoding="utf-8"?>
<calcChain xmlns="http://schemas.openxmlformats.org/spreadsheetml/2006/main">
  <c r="L168" i="15" l="1"/>
  <c r="L169" i="15" s="1"/>
  <c r="L170" i="15" s="1"/>
  <c r="L171" i="15" s="1"/>
  <c r="L172" i="15" s="1"/>
  <c r="L173" i="15" s="1"/>
  <c r="L174" i="15" s="1"/>
  <c r="L175" i="15" s="1"/>
  <c r="L176" i="15" s="1"/>
  <c r="L177" i="15" s="1"/>
  <c r="L178" i="15" s="1"/>
  <c r="L179" i="15" s="1"/>
  <c r="L180" i="15" s="1"/>
  <c r="L181" i="15" s="1"/>
  <c r="L182" i="15" s="1"/>
  <c r="L183" i="15" s="1"/>
  <c r="L184" i="15" s="1"/>
  <c r="L185" i="15" s="1"/>
  <c r="L186" i="15" s="1"/>
  <c r="L157" i="15"/>
  <c r="L158" i="15" s="1"/>
  <c r="L159" i="15" s="1"/>
  <c r="L160" i="15" s="1"/>
  <c r="L161" i="15" s="1"/>
  <c r="L162" i="15" s="1"/>
  <c r="L163" i="15" s="1"/>
  <c r="L164" i="15" s="1"/>
  <c r="L165" i="15" s="1"/>
  <c r="L166" i="15" s="1"/>
  <c r="L167" i="15" s="1"/>
  <c r="L156" i="15"/>
  <c r="L149" i="15"/>
  <c r="L150" i="15" s="1"/>
  <c r="L151" i="15" s="1"/>
  <c r="L152" i="15" s="1"/>
  <c r="L153" i="15" s="1"/>
  <c r="L154" i="15" s="1"/>
  <c r="L155" i="15" s="1"/>
  <c r="L148" i="15"/>
  <c r="E39" i="20"/>
  <c r="E40" i="20" s="1"/>
  <c r="E41" i="20" s="1"/>
  <c r="E42" i="20" s="1"/>
  <c r="E43" i="20" s="1"/>
  <c r="E44" i="20" s="1"/>
  <c r="E45" i="20" s="1"/>
  <c r="E46" i="20" s="1"/>
  <c r="E47" i="20" s="1"/>
  <c r="E48" i="20" s="1"/>
  <c r="E49" i="20" s="1"/>
  <c r="E50" i="20" s="1"/>
  <c r="E51" i="20" s="1"/>
  <c r="E52" i="20" s="1"/>
  <c r="E53" i="20" s="1"/>
  <c r="E54" i="20" s="1"/>
  <c r="E55" i="20" s="1"/>
  <c r="E56" i="20" s="1"/>
  <c r="E57" i="20" s="1"/>
  <c r="E58" i="20" s="1"/>
  <c r="E59" i="20" s="1"/>
  <c r="E60" i="20" s="1"/>
  <c r="E61" i="20" s="1"/>
  <c r="E62" i="20" s="1"/>
  <c r="E63" i="20" s="1"/>
  <c r="E64" i="20" s="1"/>
  <c r="E65" i="20" s="1"/>
  <c r="E66" i="20" s="1"/>
  <c r="E67" i="20" s="1"/>
  <c r="E68" i="20" s="1"/>
  <c r="E69" i="20" s="1"/>
  <c r="E70" i="20" s="1"/>
  <c r="E71" i="20" s="1"/>
  <c r="E72" i="20" s="1"/>
  <c r="E73" i="20" s="1"/>
  <c r="E74" i="20" s="1"/>
  <c r="E75" i="20" s="1"/>
  <c r="E76" i="20" s="1"/>
  <c r="E77" i="20" s="1"/>
  <c r="E78" i="20" s="1"/>
  <c r="E79" i="20" s="1"/>
  <c r="E80" i="20" s="1"/>
  <c r="E81" i="20" s="1"/>
  <c r="E82" i="20" s="1"/>
  <c r="E83" i="20" s="1"/>
  <c r="E84" i="20" s="1"/>
  <c r="E85" i="20" s="1"/>
  <c r="E86" i="20" s="1"/>
  <c r="E87" i="20" s="1"/>
  <c r="E88" i="20" s="1"/>
  <c r="E89" i="20" s="1"/>
  <c r="E90" i="20" s="1"/>
  <c r="E91" i="20" s="1"/>
  <c r="E92" i="20" s="1"/>
  <c r="E93" i="20" s="1"/>
  <c r="E94" i="20" s="1"/>
  <c r="E95" i="20" s="1"/>
  <c r="E96" i="20" s="1"/>
  <c r="E97" i="20" s="1"/>
  <c r="E98" i="20" s="1"/>
  <c r="E99" i="20" s="1"/>
  <c r="E100" i="20" s="1"/>
  <c r="E101" i="20" s="1"/>
  <c r="E102" i="20" s="1"/>
  <c r="E103" i="20" s="1"/>
  <c r="E104" i="20" s="1"/>
  <c r="E105" i="20" s="1"/>
  <c r="E106" i="20" s="1"/>
  <c r="E107" i="20" s="1"/>
  <c r="E108" i="20" s="1"/>
  <c r="E109" i="20" s="1"/>
  <c r="E110" i="20" s="1"/>
  <c r="E111" i="20" s="1"/>
  <c r="E112" i="20" s="1"/>
  <c r="E113" i="20" s="1"/>
  <c r="E114" i="20" s="1"/>
  <c r="E115" i="20" s="1"/>
  <c r="E116" i="20" s="1"/>
  <c r="E117" i="20" s="1"/>
  <c r="E118" i="20" s="1"/>
  <c r="E119" i="20" s="1"/>
  <c r="E120" i="20" s="1"/>
  <c r="E121" i="20" s="1"/>
  <c r="E122" i="20" s="1"/>
  <c r="E123" i="20" s="1"/>
  <c r="E124" i="20" s="1"/>
  <c r="E125" i="20" s="1"/>
  <c r="K6" i="25"/>
  <c r="E126" i="20" l="1"/>
  <c r="E127" i="20" s="1"/>
  <c r="E128" i="20" s="1"/>
  <c r="D6" i="25"/>
  <c r="P16" i="17" l="1"/>
  <c r="O16" i="17"/>
  <c r="N16" i="17"/>
  <c r="F21" i="16" l="1"/>
  <c r="C16" i="12" l="1"/>
  <c r="B14" i="20" l="1"/>
  <c r="C10" i="20"/>
  <c r="C9" i="20"/>
  <c r="C59" i="12" l="1"/>
  <c r="C49" i="12"/>
  <c r="C37" i="12"/>
  <c r="C18" i="12"/>
  <c r="C15" i="22" l="1"/>
  <c r="K10" i="23"/>
  <c r="K10" i="26"/>
  <c r="F19" i="16" l="1"/>
  <c r="L36" i="15"/>
  <c r="L35" i="15" s="1"/>
  <c r="L34" i="15" s="1"/>
  <c r="L33" i="15" s="1"/>
  <c r="L32" i="15" s="1"/>
  <c r="L31" i="15" s="1"/>
  <c r="L30" i="15" s="1"/>
  <c r="L29" i="15" s="1"/>
  <c r="L28" i="15" s="1"/>
  <c r="L27" i="15" s="1"/>
  <c r="L26" i="15" s="1"/>
  <c r="L25" i="15" s="1"/>
  <c r="L24" i="15" s="1"/>
  <c r="L23" i="15" s="1"/>
  <c r="L22" i="15" s="1"/>
  <c r="L21" i="15" s="1"/>
  <c r="L20" i="15" s="1"/>
  <c r="L19" i="15" s="1"/>
  <c r="L18" i="15" s="1"/>
  <c r="L17" i="15" s="1"/>
  <c r="C6" i="16"/>
  <c r="C6" i="17"/>
  <c r="P213" i="17"/>
  <c r="P212" i="17"/>
  <c r="P211" i="17"/>
  <c r="P210" i="17"/>
  <c r="P209" i="17"/>
  <c r="P208" i="17"/>
  <c r="P207" i="17"/>
  <c r="P206" i="17"/>
  <c r="P205" i="17"/>
  <c r="P204" i="17"/>
  <c r="P203" i="17"/>
  <c r="P202" i="17"/>
  <c r="P201" i="17"/>
  <c r="P200" i="17"/>
  <c r="P199" i="17"/>
  <c r="P198" i="17"/>
  <c r="P197" i="17"/>
  <c r="P196" i="17"/>
  <c r="P195" i="17"/>
  <c r="P194" i="17"/>
  <c r="P193" i="17"/>
  <c r="P192" i="17"/>
  <c r="P191" i="17"/>
  <c r="P190" i="17"/>
  <c r="P189" i="17"/>
  <c r="P188" i="17"/>
  <c r="P187" i="17"/>
  <c r="P186" i="17"/>
  <c r="P185" i="17"/>
  <c r="P184" i="17"/>
  <c r="P183" i="17"/>
  <c r="P182" i="17"/>
  <c r="P181" i="17"/>
  <c r="P180" i="17"/>
  <c r="P179" i="17"/>
  <c r="P178" i="17"/>
  <c r="P177" i="17"/>
  <c r="P176" i="17"/>
  <c r="P175" i="17"/>
  <c r="P174" i="17"/>
  <c r="P173" i="17"/>
  <c r="P172" i="17"/>
  <c r="P171" i="17"/>
  <c r="P170" i="17"/>
  <c r="P169" i="17"/>
  <c r="P168" i="17"/>
  <c r="P167" i="17"/>
  <c r="P166" i="17"/>
  <c r="P165" i="17"/>
  <c r="P164" i="17"/>
  <c r="P163" i="17"/>
  <c r="P162" i="17"/>
  <c r="P161" i="17"/>
  <c r="P160" i="17"/>
  <c r="P159" i="17"/>
  <c r="P158" i="17"/>
  <c r="P157" i="17"/>
  <c r="P156" i="17"/>
  <c r="P155" i="17"/>
  <c r="P154" i="17"/>
  <c r="P153" i="17"/>
  <c r="P152" i="17"/>
  <c r="P151" i="17"/>
  <c r="P150" i="17"/>
  <c r="P149" i="17"/>
  <c r="P148" i="17"/>
  <c r="P147" i="17"/>
  <c r="P146" i="17"/>
  <c r="P145" i="17"/>
  <c r="P144" i="17"/>
  <c r="P143" i="17"/>
  <c r="P142" i="17"/>
  <c r="P141" i="17"/>
  <c r="P140" i="17"/>
  <c r="P139" i="17"/>
  <c r="P138" i="17"/>
  <c r="P137" i="17"/>
  <c r="P136" i="17"/>
  <c r="P135" i="17"/>
  <c r="P134" i="17"/>
  <c r="P133" i="17"/>
  <c r="P132" i="17"/>
  <c r="P131" i="17"/>
  <c r="P130" i="17"/>
  <c r="P129" i="17"/>
  <c r="P128" i="17"/>
  <c r="P127" i="17"/>
  <c r="P126" i="17"/>
  <c r="P125" i="17"/>
  <c r="P124" i="17"/>
  <c r="P123" i="17"/>
  <c r="P122" i="17"/>
  <c r="P121" i="17"/>
  <c r="P120"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19" i="17"/>
  <c r="P16" i="16"/>
  <c r="D24" i="22"/>
  <c r="D14" i="23"/>
  <c r="D14" i="26"/>
  <c r="O16" i="16"/>
  <c r="D55" i="12" l="1"/>
  <c r="C16" i="19" l="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C51" i="19" s="1"/>
  <c r="C52" i="19" s="1"/>
  <c r="C53" i="19" s="1"/>
  <c r="C54" i="19" s="1"/>
  <c r="C55" i="19" s="1"/>
  <c r="C56" i="19" s="1"/>
  <c r="C57" i="19" s="1"/>
  <c r="C58" i="19" s="1"/>
  <c r="C59" i="19" s="1"/>
  <c r="C60" i="19" s="1"/>
  <c r="C61" i="19" s="1"/>
  <c r="C62" i="19" s="1"/>
  <c r="C63" i="19" s="1"/>
  <c r="C64" i="19" s="1"/>
  <c r="C65" i="19" s="1"/>
  <c r="C66" i="19" s="1"/>
  <c r="C67" i="19" s="1"/>
  <c r="C68" i="19" s="1"/>
  <c r="C69" i="19" s="1"/>
  <c r="C70" i="19" s="1"/>
  <c r="C71" i="19" s="1"/>
  <c r="C72" i="19" s="1"/>
  <c r="C73" i="19" s="1"/>
  <c r="C74" i="19" s="1"/>
  <c r="C75" i="19" s="1"/>
  <c r="C76" i="19" s="1"/>
  <c r="C77" i="19" s="1"/>
  <c r="C78" i="19" s="1"/>
  <c r="C79" i="19" s="1"/>
  <c r="C80" i="19" s="1"/>
  <c r="C81" i="19" s="1"/>
  <c r="C82" i="19" s="1"/>
  <c r="C83" i="19" s="1"/>
  <c r="C84" i="19" s="1"/>
  <c r="C85" i="19" s="1"/>
  <c r="C86" i="19" s="1"/>
  <c r="C87" i="19" s="1"/>
  <c r="C88" i="19" s="1"/>
  <c r="C89" i="19" s="1"/>
  <c r="C90" i="19" s="1"/>
  <c r="C91" i="19" s="1"/>
  <c r="C92" i="19" s="1"/>
  <c r="C93" i="19" s="1"/>
  <c r="C94" i="19" s="1"/>
  <c r="C95" i="19" s="1"/>
  <c r="C96" i="19" s="1"/>
  <c r="C97" i="19" s="1"/>
  <c r="C98" i="19" s="1"/>
  <c r="C99" i="19" s="1"/>
  <c r="C100" i="19" s="1"/>
  <c r="C101" i="19" s="1"/>
  <c r="C102" i="19" s="1"/>
  <c r="C15" i="19"/>
  <c r="C14" i="19"/>
  <c r="C13" i="19"/>
  <c r="L16" i="15" l="1"/>
  <c r="G24" i="25"/>
  <c r="J9" i="25" s="1"/>
  <c r="E38" i="20"/>
  <c r="J10" i="26"/>
  <c r="F213" i="16" l="1"/>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0" i="16"/>
  <c r="D213" i="17" l="1"/>
  <c r="D213" i="16"/>
  <c r="C7" i="17" l="1"/>
  <c r="C7" i="16"/>
  <c r="O213" i="17" l="1"/>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213" i="16"/>
  <c r="P213" i="16" s="1"/>
  <c r="O212" i="16"/>
  <c r="P212" i="16" s="1"/>
  <c r="O211" i="16"/>
  <c r="P211" i="16" s="1"/>
  <c r="O210" i="16"/>
  <c r="P210" i="16" s="1"/>
  <c r="O209" i="16"/>
  <c r="P209" i="16" s="1"/>
  <c r="O208" i="16"/>
  <c r="P208" i="16" s="1"/>
  <c r="O207" i="16"/>
  <c r="P207" i="16" s="1"/>
  <c r="O206" i="16"/>
  <c r="P206" i="16" s="1"/>
  <c r="O205" i="16"/>
  <c r="P205" i="16" s="1"/>
  <c r="O204" i="16"/>
  <c r="P204" i="16" s="1"/>
  <c r="O203" i="16"/>
  <c r="P203" i="16" s="1"/>
  <c r="O202" i="16"/>
  <c r="P202" i="16" s="1"/>
  <c r="O201" i="16"/>
  <c r="P201" i="16" s="1"/>
  <c r="O200" i="16"/>
  <c r="P200" i="16" s="1"/>
  <c r="O199" i="16"/>
  <c r="P199" i="16" s="1"/>
  <c r="O198" i="16"/>
  <c r="P198" i="16" s="1"/>
  <c r="O197" i="16"/>
  <c r="P197" i="16" s="1"/>
  <c r="O196" i="16"/>
  <c r="P196" i="16" s="1"/>
  <c r="O195" i="16"/>
  <c r="P195" i="16" s="1"/>
  <c r="O194" i="16"/>
  <c r="P194" i="16" s="1"/>
  <c r="O193" i="16"/>
  <c r="P193" i="16" s="1"/>
  <c r="O192" i="16"/>
  <c r="P192" i="16" s="1"/>
  <c r="O191" i="16"/>
  <c r="P191" i="16" s="1"/>
  <c r="O190" i="16"/>
  <c r="P190" i="16" s="1"/>
  <c r="O189" i="16"/>
  <c r="P189" i="16" s="1"/>
  <c r="O188" i="16"/>
  <c r="P188" i="16" s="1"/>
  <c r="O187" i="16"/>
  <c r="P187" i="16" s="1"/>
  <c r="O186" i="16"/>
  <c r="P186" i="16" s="1"/>
  <c r="O185" i="16"/>
  <c r="P185" i="16" s="1"/>
  <c r="O184" i="16"/>
  <c r="P184" i="16" s="1"/>
  <c r="O183" i="16"/>
  <c r="P183" i="16" s="1"/>
  <c r="O182" i="16"/>
  <c r="P182" i="16" s="1"/>
  <c r="O181" i="16"/>
  <c r="P181" i="16" s="1"/>
  <c r="O180" i="16"/>
  <c r="P180" i="16" s="1"/>
  <c r="O179" i="16"/>
  <c r="P179" i="16" s="1"/>
  <c r="O178" i="16"/>
  <c r="P178" i="16" s="1"/>
  <c r="O177" i="16"/>
  <c r="P177" i="16" s="1"/>
  <c r="O176" i="16"/>
  <c r="P176" i="16" s="1"/>
  <c r="O175" i="16"/>
  <c r="P175" i="16" s="1"/>
  <c r="O174" i="16"/>
  <c r="P174" i="16" s="1"/>
  <c r="O173" i="16"/>
  <c r="P173" i="16" s="1"/>
  <c r="O172" i="16"/>
  <c r="P172" i="16" s="1"/>
  <c r="O171" i="16"/>
  <c r="P171" i="16" s="1"/>
  <c r="O170" i="16"/>
  <c r="P170" i="16" s="1"/>
  <c r="O169" i="16"/>
  <c r="P169" i="16" s="1"/>
  <c r="O168" i="16"/>
  <c r="P168" i="16" s="1"/>
  <c r="O167" i="16"/>
  <c r="P167" i="16" s="1"/>
  <c r="O166" i="16"/>
  <c r="P166" i="16" s="1"/>
  <c r="O165" i="16"/>
  <c r="P165" i="16" s="1"/>
  <c r="O164" i="16"/>
  <c r="P164" i="16" s="1"/>
  <c r="O163" i="16"/>
  <c r="P163" i="16" s="1"/>
  <c r="O162" i="16"/>
  <c r="P162" i="16" s="1"/>
  <c r="O161" i="16"/>
  <c r="P161" i="16" s="1"/>
  <c r="O160" i="16"/>
  <c r="P160" i="16" s="1"/>
  <c r="O159" i="16"/>
  <c r="P159" i="16" s="1"/>
  <c r="O158" i="16"/>
  <c r="P158" i="16" s="1"/>
  <c r="O157" i="16"/>
  <c r="P157" i="16" s="1"/>
  <c r="O156" i="16"/>
  <c r="P156" i="16" s="1"/>
  <c r="O155" i="16"/>
  <c r="P155" i="16" s="1"/>
  <c r="O154" i="16"/>
  <c r="P154" i="16" s="1"/>
  <c r="O153" i="16"/>
  <c r="P153" i="16" s="1"/>
  <c r="O152" i="16"/>
  <c r="P152" i="16" s="1"/>
  <c r="O151" i="16"/>
  <c r="P151" i="16" s="1"/>
  <c r="O150" i="16"/>
  <c r="P150" i="16" s="1"/>
  <c r="O149" i="16"/>
  <c r="P149" i="16" s="1"/>
  <c r="O148" i="16"/>
  <c r="P148" i="16" s="1"/>
  <c r="O147" i="16"/>
  <c r="P147" i="16" s="1"/>
  <c r="O146" i="16"/>
  <c r="P146" i="16" s="1"/>
  <c r="O145" i="16"/>
  <c r="P145" i="16" s="1"/>
  <c r="O144" i="16"/>
  <c r="P144" i="16" s="1"/>
  <c r="O143" i="16"/>
  <c r="P143" i="16" s="1"/>
  <c r="O142" i="16"/>
  <c r="P142" i="16" s="1"/>
  <c r="O141" i="16"/>
  <c r="P141" i="16" s="1"/>
  <c r="O140" i="16"/>
  <c r="P140" i="16" s="1"/>
  <c r="O139" i="16"/>
  <c r="P139" i="16" s="1"/>
  <c r="O138" i="16"/>
  <c r="P138" i="16" s="1"/>
  <c r="O137" i="16"/>
  <c r="P137" i="16" s="1"/>
  <c r="O136" i="16"/>
  <c r="P136" i="16" s="1"/>
  <c r="O135" i="16"/>
  <c r="P135" i="16" s="1"/>
  <c r="O134" i="16"/>
  <c r="P134" i="16" s="1"/>
  <c r="O133" i="16"/>
  <c r="P133" i="16" s="1"/>
  <c r="O132" i="16"/>
  <c r="P132" i="16" s="1"/>
  <c r="O131" i="16"/>
  <c r="P131" i="16" s="1"/>
  <c r="O130" i="16"/>
  <c r="P130" i="16" s="1"/>
  <c r="O129" i="16"/>
  <c r="P129" i="16" s="1"/>
  <c r="O128" i="16"/>
  <c r="P128" i="16" s="1"/>
  <c r="O127" i="16"/>
  <c r="P127" i="16" s="1"/>
  <c r="O126" i="16"/>
  <c r="P126" i="16" s="1"/>
  <c r="O125" i="16"/>
  <c r="P125" i="16" s="1"/>
  <c r="O124" i="16"/>
  <c r="P124" i="16" s="1"/>
  <c r="O123" i="16"/>
  <c r="P123" i="16" s="1"/>
  <c r="O122" i="16"/>
  <c r="P122" i="16" s="1"/>
  <c r="O121" i="16"/>
  <c r="P121" i="16" s="1"/>
  <c r="O120" i="16"/>
  <c r="P120" i="16" s="1"/>
  <c r="O119" i="16"/>
  <c r="P119" i="16" s="1"/>
  <c r="O118" i="16"/>
  <c r="P118" i="16" s="1"/>
  <c r="O117" i="16"/>
  <c r="P117" i="16" s="1"/>
  <c r="O116" i="16"/>
  <c r="P116" i="16" s="1"/>
  <c r="O115" i="16"/>
  <c r="P115" i="16" s="1"/>
  <c r="O114" i="16"/>
  <c r="P114" i="16" s="1"/>
  <c r="O113" i="16"/>
  <c r="P113" i="16" s="1"/>
  <c r="O112" i="16"/>
  <c r="P112" i="16" s="1"/>
  <c r="O111" i="16"/>
  <c r="P111" i="16" s="1"/>
  <c r="O110" i="16"/>
  <c r="P110" i="16" s="1"/>
  <c r="O109" i="16"/>
  <c r="P109" i="16" s="1"/>
  <c r="O108" i="16"/>
  <c r="P108" i="16" s="1"/>
  <c r="O107" i="16"/>
  <c r="P107" i="16" s="1"/>
  <c r="O106" i="16"/>
  <c r="P106" i="16" s="1"/>
  <c r="O105" i="16"/>
  <c r="P105" i="16" s="1"/>
  <c r="O104" i="16"/>
  <c r="P104" i="16" s="1"/>
  <c r="O103" i="16"/>
  <c r="P103" i="16" s="1"/>
  <c r="O102" i="16"/>
  <c r="P102" i="16" s="1"/>
  <c r="O101" i="16"/>
  <c r="P101" i="16" s="1"/>
  <c r="O100" i="16"/>
  <c r="P100" i="16" s="1"/>
  <c r="O99" i="16"/>
  <c r="P99" i="16" s="1"/>
  <c r="O98" i="16"/>
  <c r="P98" i="16" s="1"/>
  <c r="O97" i="16"/>
  <c r="P97" i="16" s="1"/>
  <c r="O96" i="16"/>
  <c r="P96" i="16" s="1"/>
  <c r="O95" i="16"/>
  <c r="P95" i="16" s="1"/>
  <c r="O94" i="16"/>
  <c r="P94" i="16" s="1"/>
  <c r="O93" i="16"/>
  <c r="P93" i="16" s="1"/>
  <c r="O92" i="16"/>
  <c r="P92" i="16" s="1"/>
  <c r="O91" i="16"/>
  <c r="P91" i="16" s="1"/>
  <c r="O90" i="16"/>
  <c r="P90" i="16" s="1"/>
  <c r="O89" i="16"/>
  <c r="P89" i="16" s="1"/>
  <c r="O88" i="16"/>
  <c r="P88" i="16" s="1"/>
  <c r="O87" i="16"/>
  <c r="P87" i="16" s="1"/>
  <c r="O86" i="16"/>
  <c r="P86" i="16" s="1"/>
  <c r="O85" i="16"/>
  <c r="P85" i="16" s="1"/>
  <c r="O84" i="16"/>
  <c r="P84" i="16" s="1"/>
  <c r="O83" i="16"/>
  <c r="P83" i="16" s="1"/>
  <c r="O82" i="16"/>
  <c r="P82" i="16" s="1"/>
  <c r="O81" i="16"/>
  <c r="P81" i="16" s="1"/>
  <c r="O80" i="16"/>
  <c r="P80" i="16" s="1"/>
  <c r="O79" i="16"/>
  <c r="P79" i="16" s="1"/>
  <c r="O78" i="16"/>
  <c r="P78" i="16" s="1"/>
  <c r="O77" i="16"/>
  <c r="P77" i="16" s="1"/>
  <c r="O76" i="16"/>
  <c r="P76" i="16" s="1"/>
  <c r="O75" i="16"/>
  <c r="P75" i="16" s="1"/>
  <c r="O74" i="16"/>
  <c r="P74" i="16" s="1"/>
  <c r="O73" i="16"/>
  <c r="P73" i="16" s="1"/>
  <c r="O72" i="16"/>
  <c r="P72" i="16" s="1"/>
  <c r="O71" i="16"/>
  <c r="P71" i="16" s="1"/>
  <c r="O70" i="16"/>
  <c r="P70" i="16" s="1"/>
  <c r="O69" i="16"/>
  <c r="P69" i="16" s="1"/>
  <c r="O68" i="16"/>
  <c r="P68" i="16" s="1"/>
  <c r="O67" i="16"/>
  <c r="P67" i="16" s="1"/>
  <c r="O66" i="16"/>
  <c r="P66" i="16" s="1"/>
  <c r="O65" i="16"/>
  <c r="P65" i="16" s="1"/>
  <c r="O64" i="16"/>
  <c r="P64" i="16" s="1"/>
  <c r="O63" i="16"/>
  <c r="P63" i="16" s="1"/>
  <c r="O62" i="16"/>
  <c r="P62" i="16" s="1"/>
  <c r="O61" i="16"/>
  <c r="P61" i="16" s="1"/>
  <c r="O60" i="16"/>
  <c r="P60" i="16" s="1"/>
  <c r="O59" i="16"/>
  <c r="P59" i="16" s="1"/>
  <c r="O58" i="16"/>
  <c r="P58" i="16" s="1"/>
  <c r="O57" i="16"/>
  <c r="P57" i="16" s="1"/>
  <c r="O56" i="16"/>
  <c r="P56" i="16" s="1"/>
  <c r="O55" i="16"/>
  <c r="P55" i="16" s="1"/>
  <c r="O54" i="16"/>
  <c r="P54" i="16" s="1"/>
  <c r="O53" i="16"/>
  <c r="P53" i="16" s="1"/>
  <c r="O52" i="16"/>
  <c r="P52" i="16" s="1"/>
  <c r="O51" i="16"/>
  <c r="P51" i="16" s="1"/>
  <c r="O50" i="16"/>
  <c r="P50" i="16" s="1"/>
  <c r="O49" i="16"/>
  <c r="P49" i="16" s="1"/>
  <c r="O48" i="16"/>
  <c r="P48" i="16" s="1"/>
  <c r="O47" i="16"/>
  <c r="P47" i="16" s="1"/>
  <c r="O46" i="16"/>
  <c r="P46" i="16" s="1"/>
  <c r="O45" i="16"/>
  <c r="P45" i="16" s="1"/>
  <c r="O44" i="16"/>
  <c r="P44" i="16" s="1"/>
  <c r="O43" i="16"/>
  <c r="P43" i="16" s="1"/>
  <c r="O42" i="16"/>
  <c r="P42" i="16" s="1"/>
  <c r="O41" i="16"/>
  <c r="P41" i="16" s="1"/>
  <c r="O40" i="16"/>
  <c r="P40" i="16" s="1"/>
  <c r="O39" i="16"/>
  <c r="P39" i="16" s="1"/>
  <c r="O38" i="16"/>
  <c r="P38" i="16" s="1"/>
  <c r="O37" i="16"/>
  <c r="P37" i="16" s="1"/>
  <c r="O36" i="16"/>
  <c r="P36" i="16" s="1"/>
  <c r="O35" i="16"/>
  <c r="P35" i="16" s="1"/>
  <c r="O34" i="16"/>
  <c r="P34" i="16" s="1"/>
  <c r="O33" i="16"/>
  <c r="P33" i="16" s="1"/>
  <c r="O32" i="16"/>
  <c r="P32" i="16" s="1"/>
  <c r="O31" i="16"/>
  <c r="P31" i="16" s="1"/>
  <c r="O30" i="16"/>
  <c r="P30" i="16" s="1"/>
  <c r="O29" i="16"/>
  <c r="P29" i="16" s="1"/>
  <c r="O28" i="16"/>
  <c r="P28" i="16" s="1"/>
  <c r="O27" i="16"/>
  <c r="P27" i="16" s="1"/>
  <c r="O26" i="16"/>
  <c r="P26" i="16" s="1"/>
  <c r="O25" i="16"/>
  <c r="P25" i="16" s="1"/>
  <c r="O24" i="16"/>
  <c r="P24" i="16" s="1"/>
  <c r="O23" i="16"/>
  <c r="P23" i="16" s="1"/>
  <c r="O22" i="16"/>
  <c r="P22" i="16" s="1"/>
  <c r="O21" i="16"/>
  <c r="P21" i="16" s="1"/>
  <c r="O20" i="16"/>
  <c r="P20" i="16" s="1"/>
  <c r="O19" i="16"/>
  <c r="O18" i="16"/>
  <c r="O17" i="16"/>
  <c r="J10" i="23"/>
  <c r="L5" i="15" l="1"/>
  <c r="I19" i="15" l="1"/>
  <c r="L11" i="19" l="1"/>
  <c r="G6" i="19"/>
  <c r="F212" i="17" l="1"/>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133" i="17"/>
  <c r="F132" i="17"/>
  <c r="F131" i="17"/>
  <c r="F130" i="17"/>
  <c r="F129" i="17"/>
  <c r="F128" i="17"/>
  <c r="F127" i="17"/>
  <c r="F126" i="17"/>
  <c r="F125" i="17"/>
  <c r="F124" i="17"/>
  <c r="F123" i="17"/>
  <c r="F122" i="17"/>
  <c r="F121" i="17"/>
  <c r="F120" i="17"/>
  <c r="F119" i="17"/>
  <c r="F118" i="17"/>
  <c r="F117" i="17"/>
  <c r="F116" i="17"/>
  <c r="F115" i="17"/>
  <c r="AL15" i="19" l="1"/>
  <c r="D33" i="12" l="1"/>
  <c r="C35" i="12"/>
  <c r="D74" i="12"/>
  <c r="D66" i="12"/>
  <c r="D65" i="12"/>
  <c r="D43" i="12"/>
  <c r="F213" i="17" l="1"/>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AG11" i="19" l="1"/>
  <c r="AD11" i="19"/>
  <c r="AA11" i="19"/>
  <c r="X11" i="19"/>
  <c r="U11" i="19"/>
  <c r="R11" i="19"/>
  <c r="N16" i="16" l="1"/>
  <c r="F6" i="19"/>
  <c r="G57" i="19" s="1"/>
  <c r="J33" i="19" l="1"/>
  <c r="J34" i="19"/>
  <c r="M19" i="19"/>
  <c r="G12" i="19"/>
  <c r="M39" i="19"/>
  <c r="J37" i="19"/>
  <c r="H20" i="22" l="1"/>
  <c r="K20" i="22" s="1"/>
  <c r="D27" i="12" l="1"/>
  <c r="D26" i="12"/>
  <c r="D25" i="12"/>
  <c r="D24" i="12"/>
  <c r="D16" i="25" l="1"/>
  <c r="AJ19" i="19"/>
  <c r="O11" i="19" s="1"/>
  <c r="L11" i="15" l="1"/>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M11" i="20" l="1"/>
  <c r="M10" i="20"/>
  <c r="M9" i="20"/>
  <c r="C16" i="20"/>
  <c r="A10" i="20"/>
  <c r="C25" i="20" l="1"/>
  <c r="A11" i="20"/>
  <c r="C11" i="20" s="1"/>
  <c r="C34" i="20" l="1"/>
  <c r="S47" i="19" l="1"/>
  <c r="E11" i="17"/>
  <c r="E11" i="16"/>
  <c r="F17" i="16" l="1"/>
  <c r="F18" i="16"/>
  <c r="F18" i="17"/>
  <c r="F17"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L38" i="20" l="1"/>
  <c r="L40" i="20"/>
  <c r="L41" i="20"/>
  <c r="L45" i="20"/>
  <c r="D14" i="19"/>
  <c r="D13" i="19"/>
  <c r="D12" i="19"/>
  <c r="L68" i="20" l="1"/>
  <c r="L70" i="20" l="1"/>
  <c r="D15" i="19"/>
  <c r="L71" i="20" l="1"/>
  <c r="L72" i="20" l="1"/>
  <c r="D16" i="19"/>
  <c r="D17" i="19"/>
  <c r="D18" i="19" l="1"/>
  <c r="L74" i="20" l="1"/>
  <c r="D19" i="19"/>
  <c r="L75" i="20" l="1"/>
  <c r="D20" i="19"/>
  <c r="L76" i="20" l="1"/>
  <c r="D21" i="19"/>
  <c r="F38" i="20" l="1"/>
  <c r="L77" i="20"/>
  <c r="D22" i="19"/>
  <c r="F39" i="20" l="1"/>
  <c r="L78" i="20"/>
  <c r="D23" i="19"/>
  <c r="F40" i="20" l="1"/>
  <c r="L79" i="20"/>
  <c r="D24" i="19"/>
  <c r="F41" i="20" l="1"/>
  <c r="L80" i="20"/>
  <c r="D25" i="19"/>
  <c r="F42" i="20" l="1"/>
  <c r="L81" i="20"/>
  <c r="D26" i="19"/>
  <c r="F43" i="20" s="1"/>
  <c r="L82" i="20" l="1"/>
  <c r="D27" i="19"/>
  <c r="F44" i="20" s="1"/>
  <c r="L83" i="20" l="1"/>
  <c r="D28" i="19"/>
  <c r="F45" i="20" s="1"/>
  <c r="L84" i="20" l="1"/>
  <c r="D29" i="19"/>
  <c r="F46" i="20" s="1"/>
  <c r="L85" i="20" l="1"/>
  <c r="D30" i="19"/>
  <c r="F47" i="20" s="1"/>
  <c r="L86" i="20" l="1"/>
  <c r="D31" i="19"/>
  <c r="F48" i="20" s="1"/>
  <c r="L87" i="20" l="1"/>
  <c r="D32" i="19"/>
  <c r="F49" i="20" s="1"/>
  <c r="L88" i="20" l="1"/>
  <c r="D33" i="19"/>
  <c r="F50" i="20" s="1"/>
  <c r="L89" i="20" l="1"/>
  <c r="D34" i="19"/>
  <c r="F51" i="20" s="1"/>
  <c r="D35" i="19" l="1"/>
  <c r="F52" i="20" l="1"/>
  <c r="L90" i="20"/>
  <c r="D36" i="19"/>
  <c r="F53" i="20" s="1"/>
  <c r="L91" i="20" l="1"/>
  <c r="D37" i="19"/>
  <c r="F54" i="20" s="1"/>
  <c r="L92" i="20" l="1"/>
  <c r="D38" i="19"/>
  <c r="F55" i="20" s="1"/>
  <c r="L93" i="20" l="1"/>
  <c r="D39" i="19"/>
  <c r="F56" i="20" s="1"/>
  <c r="L94" i="20" l="1"/>
  <c r="D40" i="19"/>
  <c r="F57" i="20" s="1"/>
  <c r="L95" i="20" l="1"/>
  <c r="D41" i="19"/>
  <c r="F58" i="20" l="1"/>
  <c r="L96" i="20"/>
  <c r="D42" i="19"/>
  <c r="F59" i="20" l="1"/>
  <c r="L98" i="20"/>
  <c r="L97" i="20"/>
  <c r="D43" i="19"/>
  <c r="F60" i="20" s="1"/>
  <c r="L99" i="20" l="1"/>
  <c r="D44" i="19"/>
  <c r="F61" i="20" s="1"/>
  <c r="L100" i="20" l="1"/>
  <c r="D45" i="19"/>
  <c r="F62" i="20" l="1"/>
  <c r="L101" i="20"/>
  <c r="D46" i="19"/>
  <c r="F63" i="20" s="1"/>
  <c r="L102" i="20" l="1"/>
  <c r="D47" i="19"/>
  <c r="F64" i="20" s="1"/>
  <c r="L103" i="20" l="1"/>
  <c r="D48" i="19"/>
  <c r="F65" i="20" s="1"/>
  <c r="L104" i="20" l="1"/>
  <c r="D49" i="19"/>
  <c r="F66" i="20" s="1"/>
  <c r="H105" i="20" l="1"/>
  <c r="L105" i="20"/>
  <c r="F105" i="20"/>
  <c r="D50" i="19"/>
  <c r="F67" i="20" s="1"/>
  <c r="F73" i="20" l="1"/>
  <c r="H106" i="20"/>
  <c r="L106" i="20"/>
  <c r="F106" i="20"/>
  <c r="D51" i="19"/>
  <c r="F68" i="20" s="1"/>
  <c r="F79" i="20" l="1"/>
  <c r="F74" i="20"/>
  <c r="H107" i="20"/>
  <c r="L107" i="20"/>
  <c r="F107" i="20"/>
  <c r="D52" i="19"/>
  <c r="F69" i="20" s="1"/>
  <c r="F80" i="20" l="1"/>
  <c r="F75" i="20"/>
  <c r="H108" i="20"/>
  <c r="L108" i="20"/>
  <c r="F108" i="20"/>
  <c r="D53" i="19"/>
  <c r="F70" i="20" s="1"/>
  <c r="F81" i="20" l="1"/>
  <c r="F76" i="20"/>
  <c r="H109" i="20"/>
  <c r="L109" i="20"/>
  <c r="F109" i="20"/>
  <c r="D54" i="19"/>
  <c r="F71" i="20" s="1"/>
  <c r="F82" i="20" l="1"/>
  <c r="F77" i="20"/>
  <c r="F83" i="20"/>
  <c r="H110" i="20"/>
  <c r="L110" i="20"/>
  <c r="F110" i="20"/>
  <c r="D55" i="19"/>
  <c r="F72" i="20" s="1"/>
  <c r="F84" i="20" l="1"/>
  <c r="F78" i="20"/>
  <c r="H111" i="20"/>
  <c r="L111" i="20"/>
  <c r="F111" i="20"/>
  <c r="D56" i="19"/>
  <c r="F85" i="20" s="1"/>
  <c r="H112" i="20" l="1"/>
  <c r="L112" i="20"/>
  <c r="F112" i="20"/>
  <c r="D57" i="19"/>
  <c r="F86" i="20" s="1"/>
  <c r="H113" i="20" l="1"/>
  <c r="L113" i="20"/>
  <c r="F113" i="20"/>
  <c r="D58" i="19"/>
  <c r="F87" i="20" s="1"/>
  <c r="H114" i="20" l="1"/>
  <c r="L114" i="20"/>
  <c r="F114" i="20"/>
  <c r="D59" i="19"/>
  <c r="F88" i="20" s="1"/>
  <c r="H115" i="20" l="1"/>
  <c r="L115" i="20"/>
  <c r="F115" i="20"/>
  <c r="D60" i="19"/>
  <c r="F89" i="20" s="1"/>
  <c r="H116" i="20" l="1"/>
  <c r="L116" i="20"/>
  <c r="F116" i="20"/>
  <c r="D61" i="19"/>
  <c r="F90" i="20" s="1"/>
  <c r="H117" i="20" l="1"/>
  <c r="L117" i="20"/>
  <c r="F117" i="20"/>
  <c r="D62" i="19"/>
  <c r="F91" i="20" s="1"/>
  <c r="H118" i="20" l="1"/>
  <c r="L118" i="20"/>
  <c r="F118" i="20"/>
  <c r="D63" i="19"/>
  <c r="F92" i="20" s="1"/>
  <c r="H119" i="20" l="1"/>
  <c r="L119" i="20"/>
  <c r="F119" i="20"/>
  <c r="D64" i="19"/>
  <c r="F93" i="20" s="1"/>
  <c r="H120" i="20" l="1"/>
  <c r="L120" i="20"/>
  <c r="F120" i="20"/>
  <c r="D65" i="19"/>
  <c r="F94" i="20" s="1"/>
  <c r="H121" i="20" l="1"/>
  <c r="L121" i="20"/>
  <c r="F121" i="20"/>
  <c r="H122" i="20" l="1"/>
  <c r="L122" i="20"/>
  <c r="F122" i="20"/>
  <c r="D66" i="19"/>
  <c r="F95" i="20" s="1"/>
  <c r="H123" i="20" l="1"/>
  <c r="L123" i="20"/>
  <c r="F123" i="20"/>
  <c r="D67" i="19"/>
  <c r="F96" i="20" s="1"/>
  <c r="D68" i="19"/>
  <c r="F97" i="20" s="1"/>
  <c r="H124" i="20" l="1"/>
  <c r="L124" i="20"/>
  <c r="F124" i="20"/>
  <c r="D69" i="19"/>
  <c r="F98" i="20" s="1"/>
  <c r="H125" i="20" l="1"/>
  <c r="L125" i="20"/>
  <c r="F125" i="20"/>
  <c r="D70" i="19"/>
  <c r="F99" i="20" s="1"/>
  <c r="H126" i="20" l="1"/>
  <c r="L126" i="20"/>
  <c r="F126" i="20"/>
  <c r="D71" i="19"/>
  <c r="F100" i="20" s="1"/>
  <c r="H127" i="20" l="1"/>
  <c r="L127" i="20"/>
  <c r="F127" i="20"/>
  <c r="D72" i="19"/>
  <c r="F101" i="20" s="1"/>
  <c r="H128" i="20" l="1"/>
  <c r="L128" i="20"/>
  <c r="F128" i="20"/>
  <c r="D73" i="19"/>
  <c r="F102" i="20" s="1"/>
  <c r="D74" i="19" l="1"/>
  <c r="F103" i="20" s="1"/>
  <c r="D75" i="19" l="1"/>
  <c r="F104" i="20" s="1"/>
  <c r="D76" i="19" l="1"/>
  <c r="D77" i="19" l="1"/>
  <c r="D78" i="19" l="1"/>
  <c r="P105" i="20" l="1"/>
  <c r="S105" i="20"/>
  <c r="D79" i="19"/>
  <c r="P106" i="20" l="1"/>
  <c r="S106" i="20"/>
  <c r="D80" i="19"/>
  <c r="P107" i="20" l="1"/>
  <c r="S107" i="20"/>
  <c r="D81" i="19"/>
  <c r="S108" i="20" l="1"/>
  <c r="P108" i="20"/>
  <c r="D82" i="19"/>
  <c r="S109" i="20" l="1"/>
  <c r="P109" i="20"/>
  <c r="D83" i="19"/>
  <c r="S110" i="20" l="1"/>
  <c r="P110" i="20"/>
  <c r="D84" i="19"/>
  <c r="S111" i="20" l="1"/>
  <c r="P111" i="20"/>
  <c r="D85" i="19"/>
  <c r="P112" i="20" l="1"/>
  <c r="S112" i="20"/>
  <c r="D86" i="19"/>
  <c r="S113" i="20" l="1"/>
  <c r="P113" i="20"/>
  <c r="D87" i="19"/>
  <c r="P114" i="20" l="1"/>
  <c r="S114" i="20"/>
  <c r="D88" i="19"/>
  <c r="P115" i="20" l="1"/>
  <c r="S115" i="20"/>
  <c r="D89" i="19"/>
  <c r="S116" i="20" l="1"/>
  <c r="P116" i="20"/>
  <c r="D90" i="19"/>
  <c r="S117" i="20" l="1"/>
  <c r="P117" i="20"/>
  <c r="D91" i="19"/>
  <c r="S118" i="20" l="1"/>
  <c r="P118" i="20"/>
  <c r="D92" i="19"/>
  <c r="S119" i="20" l="1"/>
  <c r="P119" i="20"/>
  <c r="D93" i="19"/>
  <c r="S120" i="20" l="1"/>
  <c r="P120" i="20"/>
  <c r="D94" i="19"/>
  <c r="P121" i="20" l="1"/>
  <c r="S121" i="20"/>
  <c r="D95" i="19"/>
  <c r="P122" i="20" l="1"/>
  <c r="S122" i="20"/>
  <c r="D96" i="19"/>
  <c r="P123" i="20" l="1"/>
  <c r="S123" i="20"/>
  <c r="D97" i="19"/>
  <c r="S124" i="20" l="1"/>
  <c r="P124" i="20"/>
  <c r="D98" i="19"/>
  <c r="P125" i="20" l="1"/>
  <c r="S125" i="20"/>
  <c r="D99" i="19"/>
  <c r="S126" i="20" l="1"/>
  <c r="P126" i="20"/>
  <c r="D100" i="19"/>
  <c r="S127" i="20" l="1"/>
  <c r="P127" i="20"/>
  <c r="D101" i="19"/>
  <c r="D17" i="22"/>
  <c r="D18" i="22" l="1"/>
  <c r="R35" i="20" s="1"/>
  <c r="P128" i="20"/>
  <c r="S128" i="20"/>
  <c r="D102" i="19"/>
  <c r="B32" i="20" l="1"/>
  <c r="F28" i="20"/>
  <c r="O35" i="20"/>
  <c r="J18" i="16" l="1"/>
  <c r="J17" i="16"/>
  <c r="J150" i="17"/>
  <c r="J104" i="16"/>
  <c r="J51" i="17"/>
  <c r="J26" i="16"/>
  <c r="J28" i="16"/>
  <c r="J36" i="16"/>
  <c r="J60" i="16"/>
  <c r="J50" i="16"/>
  <c r="J68" i="16"/>
  <c r="J67" i="17"/>
  <c r="J92" i="16"/>
  <c r="J31" i="17"/>
  <c r="J47" i="17"/>
  <c r="J95" i="17"/>
  <c r="J43" i="16"/>
  <c r="J59" i="16"/>
  <c r="J58" i="16"/>
  <c r="J63" i="16"/>
  <c r="J82" i="16"/>
  <c r="J90" i="16"/>
  <c r="J75" i="16"/>
  <c r="J95" i="16"/>
  <c r="J27" i="16"/>
  <c r="J21" i="17"/>
  <c r="J31" i="16"/>
  <c r="J61" i="17"/>
  <c r="J47" i="16"/>
  <c r="J29" i="17"/>
  <c r="J93" i="17"/>
  <c r="J101" i="16"/>
  <c r="J111" i="17"/>
  <c r="J79" i="16"/>
  <c r="J91" i="16"/>
  <c r="J66" i="17"/>
  <c r="J197" i="16"/>
  <c r="J192" i="16"/>
  <c r="J128" i="17"/>
  <c r="J198" i="17"/>
  <c r="J164" i="16"/>
  <c r="J119" i="16"/>
  <c r="J135" i="16"/>
  <c r="J72" i="16"/>
  <c r="J44" i="16"/>
  <c r="J76" i="16"/>
  <c r="J19" i="17"/>
  <c r="J83" i="17"/>
  <c r="J34" i="16"/>
  <c r="J66" i="16"/>
  <c r="J100" i="16"/>
  <c r="J63" i="17"/>
  <c r="J19" i="16"/>
  <c r="P19" i="16" s="1"/>
  <c r="J35" i="16"/>
  <c r="J51" i="16"/>
  <c r="J67" i="16"/>
  <c r="J83" i="16"/>
  <c r="J102" i="16"/>
  <c r="J37" i="17"/>
  <c r="J69" i="17"/>
  <c r="J101" i="17"/>
  <c r="J105" i="16"/>
  <c r="J22" i="17"/>
  <c r="J38" i="17"/>
  <c r="J54" i="17"/>
  <c r="J70" i="17"/>
  <c r="J86" i="17"/>
  <c r="J102" i="17"/>
  <c r="J135" i="17"/>
  <c r="J122" i="17"/>
  <c r="J191" i="16"/>
  <c r="J152" i="17"/>
  <c r="J179" i="16"/>
  <c r="J134" i="17"/>
  <c r="J212" i="16"/>
  <c r="J126" i="17"/>
  <c r="J166" i="17"/>
  <c r="J115" i="17"/>
  <c r="J148" i="17"/>
  <c r="J186" i="17"/>
  <c r="J202" i="17"/>
  <c r="J120" i="16"/>
  <c r="J136" i="16"/>
  <c r="J152" i="16"/>
  <c r="J168" i="16"/>
  <c r="J195" i="16"/>
  <c r="J189" i="17"/>
  <c r="J205" i="17"/>
  <c r="J123" i="16"/>
  <c r="J139" i="16"/>
  <c r="J155" i="16"/>
  <c r="J174" i="16"/>
  <c r="J185" i="16"/>
  <c r="J50" i="17"/>
  <c r="J114" i="17"/>
  <c r="J173" i="17"/>
  <c r="J159" i="17"/>
  <c r="J148" i="16"/>
  <c r="J201" i="17"/>
  <c r="J151" i="16"/>
  <c r="J40" i="16"/>
  <c r="J30" i="16"/>
  <c r="J48" i="16"/>
  <c r="J80" i="16"/>
  <c r="J27" i="17"/>
  <c r="J91" i="17"/>
  <c r="J38" i="16"/>
  <c r="J70" i="16"/>
  <c r="J108" i="16"/>
  <c r="J71" i="17"/>
  <c r="J21" i="16"/>
  <c r="J37" i="16"/>
  <c r="J53" i="16"/>
  <c r="J69" i="16"/>
  <c r="J85" i="16"/>
  <c r="J106" i="16"/>
  <c r="J41" i="17"/>
  <c r="J73" i="17"/>
  <c r="J105" i="17"/>
  <c r="J107" i="16"/>
  <c r="J24" i="17"/>
  <c r="J40" i="17"/>
  <c r="J56" i="17"/>
  <c r="J72" i="17"/>
  <c r="J88" i="17"/>
  <c r="J104" i="17"/>
  <c r="J154" i="17"/>
  <c r="J130" i="17"/>
  <c r="J204" i="16"/>
  <c r="J163" i="17"/>
  <c r="J127" i="17"/>
  <c r="J142" i="17"/>
  <c r="J119" i="17"/>
  <c r="J121" i="17"/>
  <c r="J168" i="17"/>
  <c r="J139" i="17"/>
  <c r="J151" i="17"/>
  <c r="J188" i="17"/>
  <c r="J204" i="17"/>
  <c r="J122" i="16"/>
  <c r="J138" i="16"/>
  <c r="J154" i="16"/>
  <c r="J170" i="16"/>
  <c r="J203" i="16"/>
  <c r="J191" i="17"/>
  <c r="J207" i="17"/>
  <c r="J125" i="16"/>
  <c r="J141" i="16"/>
  <c r="J157" i="16"/>
  <c r="J182" i="16"/>
  <c r="J193" i="16"/>
  <c r="J18" i="17"/>
  <c r="P18" i="17" s="1"/>
  <c r="J98" i="17"/>
  <c r="J141" i="17"/>
  <c r="J123" i="17"/>
  <c r="J182" i="17"/>
  <c r="J132" i="16"/>
  <c r="J185" i="17"/>
  <c r="J167" i="16"/>
  <c r="J112" i="16"/>
  <c r="J62" i="16"/>
  <c r="J55" i="17"/>
  <c r="J33" i="16"/>
  <c r="J65" i="16"/>
  <c r="J98" i="16"/>
  <c r="J65" i="17"/>
  <c r="J97" i="17"/>
  <c r="J20" i="17"/>
  <c r="J68" i="17"/>
  <c r="J100" i="17"/>
  <c r="J200" i="16"/>
  <c r="J149" i="17"/>
  <c r="J118" i="17"/>
  <c r="J205" i="16"/>
  <c r="J173" i="16"/>
  <c r="J184" i="17"/>
  <c r="J118" i="16"/>
  <c r="J150" i="16"/>
  <c r="J187" i="16"/>
  <c r="J203" i="17"/>
  <c r="J137" i="16"/>
  <c r="J169" i="16"/>
  <c r="J20" i="16"/>
  <c r="J52" i="16"/>
  <c r="J84" i="16"/>
  <c r="J35" i="17"/>
  <c r="J99" i="17"/>
  <c r="J42" i="16"/>
  <c r="J74" i="16"/>
  <c r="J213" i="16"/>
  <c r="J79" i="17"/>
  <c r="J23" i="16"/>
  <c r="J39" i="16"/>
  <c r="J55" i="16"/>
  <c r="J71" i="16"/>
  <c r="J87" i="16"/>
  <c r="J110" i="16"/>
  <c r="J45" i="17"/>
  <c r="J77" i="17"/>
  <c r="J109" i="17"/>
  <c r="J109" i="16"/>
  <c r="J26" i="17"/>
  <c r="J42" i="17"/>
  <c r="J58" i="17"/>
  <c r="J74" i="17"/>
  <c r="J90" i="17"/>
  <c r="J106" i="17"/>
  <c r="J172" i="16"/>
  <c r="J138" i="17"/>
  <c r="J207" i="16"/>
  <c r="J165" i="17"/>
  <c r="J136" i="17"/>
  <c r="J153" i="17"/>
  <c r="J120" i="17"/>
  <c r="J129" i="17"/>
  <c r="J170" i="17"/>
  <c r="J161" i="17"/>
  <c r="J162" i="17"/>
  <c r="J190" i="17"/>
  <c r="J206" i="17"/>
  <c r="J124" i="16"/>
  <c r="J140" i="16"/>
  <c r="J156" i="16"/>
  <c r="J178" i="16"/>
  <c r="J211" i="16"/>
  <c r="J193" i="17"/>
  <c r="J209" i="17"/>
  <c r="J127" i="16"/>
  <c r="J143" i="16"/>
  <c r="J159" i="16"/>
  <c r="J190" i="16"/>
  <c r="J201" i="16"/>
  <c r="J34" i="17"/>
  <c r="J82" i="17"/>
  <c r="J177" i="17"/>
  <c r="J196" i="16"/>
  <c r="J132" i="17"/>
  <c r="J116" i="16"/>
  <c r="J210" i="16"/>
  <c r="J158" i="17"/>
  <c r="J75" i="17"/>
  <c r="J94" i="16"/>
  <c r="J49" i="16"/>
  <c r="J81" i="16"/>
  <c r="J33" i="17"/>
  <c r="J103" i="16"/>
  <c r="J36" i="17"/>
  <c r="J52" i="17"/>
  <c r="J84" i="17"/>
  <c r="J213" i="17"/>
  <c r="J188" i="16"/>
  <c r="J175" i="17"/>
  <c r="J199" i="16"/>
  <c r="J164" i="17"/>
  <c r="J140" i="17"/>
  <c r="J200" i="17"/>
  <c r="J134" i="16"/>
  <c r="J166" i="16"/>
  <c r="J187" i="17"/>
  <c r="J121" i="16"/>
  <c r="J153" i="16"/>
  <c r="J177" i="16"/>
  <c r="J24" i="16"/>
  <c r="J56" i="16"/>
  <c r="J88" i="16"/>
  <c r="J43" i="17"/>
  <c r="J107" i="17"/>
  <c r="J46" i="16"/>
  <c r="J78" i="16"/>
  <c r="J23" i="17"/>
  <c r="J87" i="17"/>
  <c r="J25" i="16"/>
  <c r="J41" i="16"/>
  <c r="J57" i="16"/>
  <c r="J73" i="16"/>
  <c r="J89" i="16"/>
  <c r="J114" i="16"/>
  <c r="J49" i="17"/>
  <c r="J81" i="17"/>
  <c r="J113" i="17"/>
  <c r="J111" i="16"/>
  <c r="J28" i="17"/>
  <c r="J44" i="17"/>
  <c r="J60" i="17"/>
  <c r="J76" i="17"/>
  <c r="J92" i="17"/>
  <c r="J108" i="17"/>
  <c r="J175" i="16"/>
  <c r="J146" i="17"/>
  <c r="J117" i="17"/>
  <c r="J167" i="17"/>
  <c r="J131" i="17"/>
  <c r="J171" i="16"/>
  <c r="J144" i="17"/>
  <c r="J137" i="17"/>
  <c r="J172" i="17"/>
  <c r="J208" i="16"/>
  <c r="J176" i="17"/>
  <c r="J192" i="17"/>
  <c r="J208" i="17"/>
  <c r="J126" i="16"/>
  <c r="J142" i="16"/>
  <c r="J158" i="16"/>
  <c r="J186" i="16"/>
  <c r="J179" i="17"/>
  <c r="J195" i="17"/>
  <c r="J211" i="17"/>
  <c r="J129" i="16"/>
  <c r="J145" i="16"/>
  <c r="J161" i="16"/>
  <c r="J198" i="16"/>
  <c r="J209" i="16"/>
  <c r="J78" i="17"/>
  <c r="J194" i="17"/>
  <c r="J53" i="17"/>
  <c r="J85" i="17"/>
  <c r="J97" i="16"/>
  <c r="J113" i="16"/>
  <c r="J30" i="17"/>
  <c r="J46" i="17"/>
  <c r="J62" i="17"/>
  <c r="J94" i="17"/>
  <c r="J110" i="17"/>
  <c r="J181" i="16"/>
  <c r="J157" i="17"/>
  <c r="J125" i="17"/>
  <c r="J169" i="17"/>
  <c r="J147" i="17"/>
  <c r="J180" i="16"/>
  <c r="J155" i="17"/>
  <c r="J145" i="17"/>
  <c r="J174" i="17"/>
  <c r="J116" i="17"/>
  <c r="J178" i="17"/>
  <c r="J210" i="17"/>
  <c r="J128" i="16"/>
  <c r="J144" i="16"/>
  <c r="J160" i="16"/>
  <c r="J194" i="16"/>
  <c r="J181" i="17"/>
  <c r="J197" i="17"/>
  <c r="J115" i="16"/>
  <c r="J131" i="16"/>
  <c r="J147" i="16"/>
  <c r="J163" i="16"/>
  <c r="J206" i="16"/>
  <c r="J32" i="16"/>
  <c r="J64" i="16"/>
  <c r="J96" i="16"/>
  <c r="J59" i="17"/>
  <c r="J22" i="16"/>
  <c r="J54" i="16"/>
  <c r="J86" i="16"/>
  <c r="J39" i="17"/>
  <c r="J103" i="17"/>
  <c r="J29" i="16"/>
  <c r="J45" i="16"/>
  <c r="J61" i="16"/>
  <c r="J77" i="16"/>
  <c r="J93" i="16"/>
  <c r="J25" i="17"/>
  <c r="J57" i="17"/>
  <c r="J89" i="17"/>
  <c r="J99" i="16"/>
  <c r="J17" i="17"/>
  <c r="P17" i="17" s="1"/>
  <c r="J32" i="17"/>
  <c r="J48" i="17"/>
  <c r="J64" i="17"/>
  <c r="J80" i="17"/>
  <c r="J96" i="17"/>
  <c r="J112" i="17"/>
  <c r="J184" i="16"/>
  <c r="J160" i="17"/>
  <c r="J133" i="17"/>
  <c r="J171" i="17"/>
  <c r="J189" i="16"/>
  <c r="J183" i="16"/>
  <c r="J176" i="16"/>
  <c r="J156" i="17"/>
  <c r="J143" i="17"/>
  <c r="J124" i="17"/>
  <c r="J180" i="17"/>
  <c r="J196" i="17"/>
  <c r="J212" i="17"/>
  <c r="J130" i="16"/>
  <c r="J146" i="16"/>
  <c r="J162" i="16"/>
  <c r="J202" i="16"/>
  <c r="J183" i="17"/>
  <c r="J199" i="17"/>
  <c r="J117" i="16"/>
  <c r="J133" i="16"/>
  <c r="J149" i="16"/>
  <c r="J165" i="16"/>
  <c r="L47" i="20" l="1"/>
  <c r="L42" i="20"/>
  <c r="L60" i="20"/>
  <c r="L67" i="20"/>
  <c r="L49" i="20"/>
  <c r="L53" i="20"/>
  <c r="L56" i="20"/>
  <c r="L43" i="20"/>
  <c r="L69" i="20"/>
  <c r="L63" i="20"/>
  <c r="L65" i="20"/>
  <c r="L62" i="20"/>
  <c r="L54" i="20"/>
  <c r="L50" i="20"/>
  <c r="L46" i="20"/>
  <c r="L61" i="20"/>
  <c r="L44" i="20"/>
  <c r="L39" i="20"/>
  <c r="L51" i="20"/>
  <c r="L58" i="20"/>
  <c r="L59" i="20"/>
  <c r="L55" i="20"/>
  <c r="L52" i="20"/>
  <c r="L48" i="20"/>
  <c r="P18" i="16"/>
  <c r="J51" i="20" s="1"/>
  <c r="P17" i="16"/>
  <c r="J44" i="20" s="1"/>
  <c r="J47" i="20"/>
  <c r="L73" i="20"/>
  <c r="L66" i="20"/>
  <c r="L64" i="20"/>
  <c r="L57" i="20"/>
  <c r="J39" i="20"/>
  <c r="J56" i="20"/>
  <c r="J65" i="20"/>
  <c r="J52" i="20"/>
  <c r="J42" i="20"/>
  <c r="J43" i="20"/>
  <c r="J57" i="20" l="1"/>
  <c r="J38" i="20"/>
  <c r="J40" i="20"/>
  <c r="J45" i="20"/>
  <c r="J46" i="20"/>
  <c r="J49" i="20"/>
  <c r="J50" i="20"/>
  <c r="J53" i="20"/>
  <c r="J54" i="20"/>
  <c r="J58" i="20"/>
  <c r="J59" i="20"/>
  <c r="J61" i="20"/>
  <c r="J62" i="20"/>
  <c r="J63" i="20"/>
  <c r="J64"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60" i="20"/>
  <c r="J55" i="20"/>
  <c r="J41" i="20"/>
  <c r="J48" i="20"/>
  <c r="G121" i="20" l="1"/>
  <c r="K121" i="20"/>
  <c r="G119" i="20" l="1"/>
  <c r="K119" i="20"/>
  <c r="G118" i="20" l="1"/>
  <c r="K118" i="20"/>
  <c r="G116" i="20" l="1"/>
  <c r="K116" i="20"/>
  <c r="G115" i="20" l="1"/>
  <c r="K115" i="20"/>
  <c r="G114" i="20" l="1"/>
  <c r="K114" i="20"/>
  <c r="G113" i="20" l="1"/>
  <c r="K113" i="20"/>
  <c r="G112" i="20" l="1"/>
  <c r="K112" i="20"/>
  <c r="G111" i="20" l="1"/>
  <c r="K111" i="20"/>
  <c r="G110" i="20" l="1"/>
  <c r="K110" i="20"/>
  <c r="G109" i="20" l="1"/>
  <c r="K109" i="20"/>
  <c r="G108" i="20" l="1"/>
  <c r="K108" i="20"/>
  <c r="G107" i="20" l="1"/>
  <c r="K107" i="20"/>
  <c r="G106" i="20" l="1"/>
  <c r="K106" i="20"/>
  <c r="G105" i="20" l="1"/>
  <c r="K105" i="20"/>
  <c r="K104" i="20" l="1"/>
  <c r="K103" i="20" l="1"/>
  <c r="K102" i="20" l="1"/>
  <c r="G120" i="20" l="1"/>
  <c r="K120" i="20"/>
  <c r="K61" i="20" l="1"/>
  <c r="K62" i="20" l="1"/>
  <c r="K63" i="20" l="1"/>
  <c r="K64" i="20" l="1"/>
  <c r="K65" i="20" l="1"/>
  <c r="H83" i="20" l="1"/>
  <c r="G83" i="20"/>
  <c r="S83" i="20"/>
  <c r="P83" i="20"/>
  <c r="H84" i="20" l="1"/>
  <c r="S84" i="20"/>
  <c r="G84" i="20"/>
  <c r="P84" i="20"/>
  <c r="H85" i="20" l="1"/>
  <c r="G85" i="20"/>
  <c r="P85" i="20"/>
  <c r="S85" i="20"/>
  <c r="P86" i="20" l="1"/>
  <c r="G86" i="20"/>
  <c r="S86" i="20"/>
  <c r="H86" i="20"/>
  <c r="S87" i="20" l="1"/>
  <c r="P87" i="20"/>
  <c r="H87" i="20"/>
  <c r="G87" i="20"/>
  <c r="G88" i="20" l="1"/>
  <c r="S88" i="20"/>
  <c r="H88" i="20"/>
  <c r="P88" i="20"/>
  <c r="G89" i="20" l="1"/>
  <c r="P89" i="20"/>
  <c r="S89" i="20"/>
  <c r="H89" i="20"/>
  <c r="G90" i="20" l="1"/>
  <c r="H90" i="20"/>
  <c r="P90" i="20"/>
  <c r="S90" i="20"/>
  <c r="H94" i="20"/>
  <c r="P94" i="20"/>
  <c r="S94" i="20"/>
  <c r="G94" i="20"/>
  <c r="G91" i="20" l="1"/>
  <c r="H91" i="20"/>
  <c r="S91" i="20"/>
  <c r="P91" i="20"/>
  <c r="H95" i="20"/>
  <c r="S95" i="20"/>
  <c r="P95" i="20"/>
  <c r="G95" i="20"/>
  <c r="P92" i="20" l="1"/>
  <c r="G92" i="20"/>
  <c r="S92" i="20"/>
  <c r="H92" i="20"/>
  <c r="H96" i="20"/>
  <c r="S96" i="20"/>
  <c r="P96" i="20"/>
  <c r="G96" i="20"/>
  <c r="P93" i="20" l="1"/>
  <c r="G93" i="20"/>
  <c r="H93" i="20"/>
  <c r="S93" i="20"/>
  <c r="H97" i="20"/>
  <c r="P97" i="20"/>
  <c r="S97" i="20"/>
  <c r="G97" i="20"/>
  <c r="H98" i="20" l="1"/>
  <c r="P98" i="20"/>
  <c r="S98" i="20"/>
  <c r="G98" i="20"/>
  <c r="H99" i="20" l="1"/>
  <c r="P99" i="20"/>
  <c r="S99" i="20"/>
  <c r="G99" i="20"/>
  <c r="H100" i="20" l="1"/>
  <c r="P100" i="20"/>
  <c r="S100" i="20"/>
  <c r="G100" i="20"/>
  <c r="H101" i="20" l="1"/>
  <c r="P101" i="20"/>
  <c r="S101" i="20"/>
  <c r="G101" i="20"/>
  <c r="K66" i="20" l="1"/>
  <c r="H102" i="20"/>
  <c r="S102" i="20"/>
  <c r="P102" i="20"/>
  <c r="G102" i="20"/>
  <c r="K67" i="20" l="1"/>
  <c r="H103" i="20"/>
  <c r="S103" i="20"/>
  <c r="P103" i="20"/>
  <c r="G103" i="20"/>
  <c r="K68" i="20" l="1"/>
  <c r="H104" i="20"/>
  <c r="S104" i="20"/>
  <c r="P104" i="20"/>
  <c r="G104" i="20"/>
  <c r="K69" i="20" l="1"/>
  <c r="K70" i="20" l="1"/>
  <c r="K71" i="20" l="1"/>
  <c r="K72" i="20" l="1"/>
  <c r="K73" i="20" l="1"/>
  <c r="K74" i="20" l="1"/>
  <c r="K75" i="20" l="1"/>
  <c r="K76" i="20" l="1"/>
  <c r="K77" i="20" l="1"/>
  <c r="K78" i="20" l="1"/>
  <c r="K79" i="20" l="1"/>
  <c r="K80" i="20" l="1"/>
  <c r="K81" i="20" l="1"/>
  <c r="K82" i="20" l="1"/>
  <c r="K83" i="20" l="1"/>
  <c r="K84" i="20" l="1"/>
  <c r="K85" i="20" l="1"/>
  <c r="K86" i="20" l="1"/>
  <c r="K87" i="20" l="1"/>
  <c r="K88" i="20" l="1"/>
  <c r="K89" i="20" l="1"/>
  <c r="K90" i="20" l="1"/>
  <c r="K91" i="20" l="1"/>
  <c r="K92" i="20" l="1"/>
  <c r="K93" i="20" l="1"/>
  <c r="K94" i="20" l="1"/>
  <c r="K95" i="20" l="1"/>
  <c r="K96" i="20" l="1"/>
  <c r="K97" i="20" l="1"/>
  <c r="K98" i="20" l="1"/>
  <c r="K99" i="20" l="1"/>
  <c r="K100" i="20" l="1"/>
  <c r="K101" i="20" l="1"/>
  <c r="K55" i="20" l="1"/>
  <c r="K56" i="20" l="1"/>
  <c r="K57" i="20" l="1"/>
  <c r="K58" i="20" l="1"/>
  <c r="K59" i="20" l="1"/>
  <c r="K60" i="20" l="1"/>
  <c r="K53" i="20" l="1"/>
  <c r="K52" i="20" l="1"/>
  <c r="K51" i="20" l="1"/>
  <c r="K50" i="20" l="1"/>
  <c r="P79" i="20" l="1"/>
  <c r="G79" i="20"/>
  <c r="H79" i="20"/>
  <c r="S79" i="20"/>
  <c r="P80" i="20" l="1"/>
  <c r="G80" i="20"/>
  <c r="H80" i="20"/>
  <c r="S80" i="20"/>
  <c r="H81" i="20" l="1"/>
  <c r="G81" i="20"/>
  <c r="S81" i="20"/>
  <c r="P81" i="20"/>
  <c r="S82" i="20" l="1"/>
  <c r="G82" i="20"/>
  <c r="H82" i="20"/>
  <c r="P82" i="20"/>
  <c r="K128" i="20" l="1"/>
  <c r="G128" i="20"/>
  <c r="K48" i="20" l="1"/>
  <c r="K49" i="20" l="1"/>
  <c r="K47" i="20"/>
  <c r="K46" i="20" l="1"/>
  <c r="K45" i="20" l="1"/>
  <c r="K44" i="20" l="1"/>
  <c r="K43" i="20" l="1"/>
  <c r="K54" i="20" l="1"/>
  <c r="K42" i="20"/>
  <c r="M38" i="20" l="1"/>
  <c r="S38" i="20"/>
  <c r="P38" i="20"/>
  <c r="H38" i="20"/>
  <c r="M39" i="20" l="1"/>
  <c r="P39" i="20"/>
  <c r="S39" i="20"/>
  <c r="H39" i="20"/>
  <c r="M40" i="20" l="1"/>
  <c r="S40" i="20"/>
  <c r="P40" i="20"/>
  <c r="H40" i="20"/>
  <c r="M41" i="20" l="1"/>
  <c r="P41" i="20"/>
  <c r="H41" i="20"/>
  <c r="S41" i="20"/>
  <c r="S42" i="20" l="1"/>
  <c r="H42" i="20"/>
  <c r="P42" i="20"/>
  <c r="D43" i="20"/>
  <c r="D42" i="20" s="1"/>
  <c r="D41" i="20" s="1"/>
  <c r="G42" i="20" l="1"/>
  <c r="M42" i="20"/>
  <c r="K41" i="20"/>
  <c r="D40" i="20"/>
  <c r="K40" i="20" s="1"/>
  <c r="G41" i="20"/>
  <c r="M43" i="20"/>
  <c r="S43" i="20"/>
  <c r="H43" i="20"/>
  <c r="P43" i="20"/>
  <c r="D44" i="20"/>
  <c r="G43" i="20"/>
  <c r="D39" i="20" l="1"/>
  <c r="G40" i="20"/>
  <c r="M44" i="20"/>
  <c r="S44" i="20"/>
  <c r="P44" i="20"/>
  <c r="H44" i="20"/>
  <c r="D45" i="20"/>
  <c r="G44" i="20"/>
  <c r="D38" i="20" l="1"/>
  <c r="K39" i="20"/>
  <c r="G39" i="20"/>
  <c r="M45" i="20"/>
  <c r="S45" i="20"/>
  <c r="P45" i="20"/>
  <c r="H45" i="20"/>
  <c r="D46" i="20"/>
  <c r="G45" i="20"/>
  <c r="G38" i="20" l="1"/>
  <c r="K38" i="20"/>
  <c r="M46" i="20"/>
  <c r="S46" i="20"/>
  <c r="H46" i="20"/>
  <c r="P46" i="20"/>
  <c r="D47" i="20"/>
  <c r="G46" i="20"/>
  <c r="M47" i="20" l="1"/>
  <c r="H47" i="20"/>
  <c r="P47" i="20"/>
  <c r="S47" i="20"/>
  <c r="G47" i="20"/>
  <c r="H73" i="20" l="1"/>
  <c r="P73" i="20"/>
  <c r="S73" i="20"/>
  <c r="G73" i="20"/>
  <c r="H74" i="20" l="1"/>
  <c r="S74" i="20"/>
  <c r="G74" i="20"/>
  <c r="P74" i="20"/>
  <c r="P75" i="20" l="1"/>
  <c r="S75" i="20"/>
  <c r="G75" i="20"/>
  <c r="H75" i="20"/>
  <c r="H76" i="20" l="1"/>
  <c r="P76" i="20"/>
  <c r="S76" i="20"/>
  <c r="G76" i="20"/>
  <c r="H77" i="20" l="1"/>
  <c r="S77" i="20"/>
  <c r="G77" i="20"/>
  <c r="P77" i="20"/>
  <c r="H78" i="20" l="1"/>
  <c r="G78" i="20"/>
  <c r="S78" i="20"/>
  <c r="P78" i="20"/>
  <c r="G117" i="20" l="1"/>
  <c r="K117" i="20"/>
  <c r="K127" i="20" l="1"/>
  <c r="G127" i="20"/>
  <c r="G126" i="20" l="1"/>
  <c r="K126" i="20"/>
  <c r="D48" i="20"/>
  <c r="S48" i="20" s="1"/>
  <c r="G125" i="20" l="1"/>
  <c r="K125" i="20"/>
  <c r="H48" i="20"/>
  <c r="D49" i="20"/>
  <c r="M48" i="20"/>
  <c r="P48" i="20"/>
  <c r="G48" i="20"/>
  <c r="G124" i="20" l="1"/>
  <c r="K124" i="20"/>
  <c r="M49" i="20"/>
  <c r="H49" i="20"/>
  <c r="D50" i="20"/>
  <c r="M50" i="20" s="1"/>
  <c r="P49" i="20"/>
  <c r="S49" i="20"/>
  <c r="G49" i="20"/>
  <c r="G123" i="20" l="1"/>
  <c r="K123" i="20"/>
  <c r="H50" i="20"/>
  <c r="S50" i="20"/>
  <c r="G50" i="20"/>
  <c r="P50" i="20"/>
  <c r="D51" i="20"/>
  <c r="G122" i="20" l="1"/>
  <c r="K122" i="20"/>
  <c r="K28" i="20" s="1"/>
  <c r="G51" i="20"/>
  <c r="D52" i="20"/>
  <c r="M51" i="20"/>
  <c r="H51" i="20"/>
  <c r="S51" i="20"/>
  <c r="P51" i="20"/>
  <c r="K19" i="20" l="1"/>
  <c r="P52" i="20"/>
  <c r="M52" i="20"/>
  <c r="G52" i="20"/>
  <c r="D53" i="20"/>
  <c r="H52" i="20"/>
  <c r="S52" i="20"/>
  <c r="H53" i="20" l="1"/>
  <c r="D54" i="20"/>
  <c r="P53" i="20"/>
  <c r="M53" i="20"/>
  <c r="G53" i="20"/>
  <c r="S53" i="20"/>
  <c r="M54" i="20" l="1"/>
  <c r="H54" i="20"/>
  <c r="P54" i="20"/>
  <c r="G54" i="20"/>
  <c r="D55" i="20"/>
  <c r="S54" i="20"/>
  <c r="G55" i="20" l="1"/>
  <c r="S55" i="20"/>
  <c r="D56" i="20"/>
  <c r="P55" i="20"/>
  <c r="H55" i="20"/>
  <c r="M55" i="20"/>
  <c r="S56" i="20" l="1"/>
  <c r="G56" i="20"/>
  <c r="D57" i="20"/>
  <c r="P56" i="20"/>
  <c r="M56" i="20"/>
  <c r="H56" i="20"/>
  <c r="H57" i="20" l="1"/>
  <c r="S57" i="20"/>
  <c r="D58" i="20"/>
  <c r="M57" i="20"/>
  <c r="P57" i="20"/>
  <c r="G57" i="20"/>
  <c r="H58" i="20" l="1"/>
  <c r="M58" i="20"/>
  <c r="S58" i="20"/>
  <c r="G58" i="20"/>
  <c r="P58" i="20"/>
  <c r="D59" i="20"/>
  <c r="G59" i="20" l="1"/>
  <c r="D60" i="20"/>
  <c r="H59" i="20"/>
  <c r="M59" i="20"/>
  <c r="S59" i="20"/>
  <c r="P59" i="20"/>
  <c r="P60" i="20" l="1"/>
  <c r="M60" i="20"/>
  <c r="G60" i="20"/>
  <c r="S60" i="20"/>
  <c r="D61" i="20"/>
  <c r="H60" i="20"/>
  <c r="D62" i="20" l="1"/>
  <c r="P61" i="20"/>
  <c r="M61" i="20"/>
  <c r="H61" i="20"/>
  <c r="G61" i="20"/>
  <c r="S61" i="20"/>
  <c r="M62" i="20" l="1"/>
  <c r="P62" i="20"/>
  <c r="G62" i="20"/>
  <c r="H62" i="20"/>
  <c r="D63" i="20"/>
  <c r="S62" i="20"/>
  <c r="G63" i="20" l="1"/>
  <c r="S63" i="20"/>
  <c r="D64" i="20"/>
  <c r="P63" i="20"/>
  <c r="H63" i="20"/>
  <c r="M63" i="20"/>
  <c r="S64" i="20" l="1"/>
  <c r="G64" i="20"/>
  <c r="D65" i="20"/>
  <c r="P64" i="20"/>
  <c r="M64" i="20"/>
  <c r="H64" i="20"/>
  <c r="H65" i="20" l="1"/>
  <c r="P65" i="20"/>
  <c r="S65" i="20"/>
  <c r="D66" i="20"/>
  <c r="M65" i="20"/>
  <c r="G65" i="20"/>
  <c r="H66" i="20" l="1"/>
  <c r="M66" i="20"/>
  <c r="S66" i="20"/>
  <c r="G66" i="20"/>
  <c r="P66" i="20"/>
  <c r="D67" i="20"/>
  <c r="G67" i="20" l="1"/>
  <c r="H67" i="20"/>
  <c r="D68" i="20"/>
  <c r="M67" i="20"/>
  <c r="S67" i="20"/>
  <c r="P67" i="20"/>
  <c r="G68" i="20" l="1"/>
  <c r="S68" i="20"/>
  <c r="P68" i="20"/>
  <c r="H68" i="20"/>
  <c r="M68" i="20"/>
  <c r="D69" i="20"/>
  <c r="P69" i="20" l="1"/>
  <c r="H69" i="20"/>
  <c r="G69" i="20"/>
  <c r="S69" i="20"/>
  <c r="M69" i="20"/>
  <c r="D70" i="20"/>
  <c r="S70" i="20" l="1"/>
  <c r="H70" i="20"/>
  <c r="P70" i="20"/>
  <c r="G70" i="20"/>
  <c r="M70" i="20"/>
  <c r="D71" i="20"/>
  <c r="P71" i="20" l="1"/>
  <c r="G71" i="20"/>
  <c r="H71" i="20"/>
  <c r="S71" i="20"/>
  <c r="D72" i="20"/>
  <c r="M71" i="20"/>
  <c r="S72" i="20" l="1"/>
  <c r="S28" i="20" s="1"/>
  <c r="G23" i="25" s="1"/>
  <c r="G72" i="20"/>
  <c r="G28" i="20" s="1"/>
  <c r="P72" i="20"/>
  <c r="P28" i="20" s="1"/>
  <c r="H72" i="20"/>
  <c r="H28" i="20" s="1"/>
  <c r="M72" i="20"/>
  <c r="D73" i="20"/>
  <c r="G21" i="25" l="1"/>
  <c r="M20" i="20"/>
  <c r="G22" i="25"/>
  <c r="M19" i="20"/>
  <c r="M21" i="20" s="1"/>
  <c r="G20" i="25"/>
  <c r="L20" i="20"/>
  <c r="K20" i="20"/>
  <c r="K21" i="20" s="1"/>
  <c r="D74" i="20"/>
  <c r="M73" i="20"/>
  <c r="D75" i="20" l="1"/>
  <c r="M74" i="20"/>
  <c r="D76" i="20" l="1"/>
  <c r="M75" i="20"/>
  <c r="M76" i="20" l="1"/>
  <c r="D77" i="20"/>
  <c r="M77" i="20" l="1"/>
  <c r="D78" i="20"/>
  <c r="M78" i="20" l="1"/>
  <c r="D79" i="20"/>
  <c r="D80" i="20" l="1"/>
  <c r="M79" i="20"/>
  <c r="M80" i="20" l="1"/>
  <c r="D81" i="20"/>
  <c r="D82" i="20" l="1"/>
  <c r="M81" i="20"/>
  <c r="D83" i="20" l="1"/>
  <c r="M82" i="20"/>
  <c r="M83" i="20" l="1"/>
  <c r="D84" i="20"/>
  <c r="G25" i="25"/>
  <c r="D85" i="20" l="1"/>
  <c r="M84" i="20"/>
  <c r="D86" i="20" l="1"/>
  <c r="M85" i="20"/>
  <c r="M86" i="20" l="1"/>
  <c r="D87" i="20"/>
  <c r="M87" i="20" l="1"/>
  <c r="D88" i="20"/>
  <c r="D89" i="20" l="1"/>
  <c r="M88" i="20"/>
  <c r="D90" i="20" l="1"/>
  <c r="M89" i="20"/>
  <c r="D91" i="20" l="1"/>
  <c r="M90" i="20"/>
  <c r="D92" i="20" l="1"/>
  <c r="M91" i="20"/>
  <c r="D93" i="20" l="1"/>
  <c r="M92" i="20"/>
  <c r="M93" i="20" l="1"/>
  <c r="D94" i="20"/>
  <c r="D95" i="20" l="1"/>
  <c r="M94" i="20"/>
  <c r="M95" i="20" l="1"/>
  <c r="D96" i="20"/>
  <c r="D97" i="20" l="1"/>
  <c r="M96" i="20"/>
  <c r="D98" i="20" l="1"/>
  <c r="M97" i="20"/>
  <c r="D99" i="20" l="1"/>
  <c r="M98" i="20"/>
  <c r="M99" i="20" l="1"/>
  <c r="D100" i="20"/>
  <c r="D101" i="20" l="1"/>
  <c r="M100" i="20"/>
  <c r="M101" i="20" l="1"/>
  <c r="D102" i="20"/>
  <c r="M102" i="20" l="1"/>
  <c r="D103" i="20"/>
  <c r="M103" i="20" l="1"/>
  <c r="D104" i="20"/>
  <c r="D105" i="20" l="1"/>
  <c r="M104" i="20"/>
  <c r="D106" i="20" l="1"/>
  <c r="M105" i="20"/>
  <c r="M106" i="20" l="1"/>
  <c r="D107" i="20"/>
  <c r="D108" i="20" l="1"/>
  <c r="M107" i="20"/>
  <c r="D109" i="20" l="1"/>
  <c r="M108" i="20"/>
  <c r="M109" i="20" l="1"/>
  <c r="D110" i="20"/>
  <c r="M110" i="20" l="1"/>
  <c r="D111" i="20"/>
  <c r="M111" i="20" l="1"/>
  <c r="D112" i="20"/>
  <c r="D113" i="20" l="1"/>
  <c r="M112" i="20"/>
  <c r="D114" i="20" l="1"/>
  <c r="M113" i="20"/>
  <c r="D115" i="20" l="1"/>
  <c r="M114" i="20"/>
  <c r="M115" i="20" l="1"/>
  <c r="D116" i="20"/>
  <c r="M116" i="20" s="1"/>
  <c r="D117" i="20" l="1"/>
  <c r="D118" i="20" l="1"/>
  <c r="M117" i="20"/>
  <c r="D119" i="20" l="1"/>
  <c r="M118" i="20"/>
  <c r="M119" i="20" l="1"/>
  <c r="D120" i="20"/>
  <c r="M120" i="20" l="1"/>
  <c r="D121" i="20"/>
  <c r="M121" i="20" l="1"/>
  <c r="D122" i="20"/>
  <c r="M122" i="20" l="1"/>
  <c r="D123" i="20"/>
  <c r="M123" i="20" l="1"/>
  <c r="D124" i="20"/>
  <c r="M124" i="20" l="1"/>
  <c r="D125" i="20"/>
  <c r="M125" i="20" l="1"/>
  <c r="D126" i="20"/>
  <c r="M126" i="20" l="1"/>
  <c r="D127" i="20"/>
  <c r="D128" i="20" l="1"/>
  <c r="M128" i="20" s="1"/>
  <c r="M127" i="20"/>
  <c r="M28" i="20" s="1"/>
  <c r="L19" i="20" l="1"/>
  <c r="L21" i="20" s="1"/>
  <c r="C21" i="20" s="1"/>
  <c r="G18" i="25" s="1"/>
  <c r="J6" i="25" s="1"/>
  <c r="J8" i="25" s="1"/>
  <c r="G19" i="25"/>
</calcChain>
</file>

<file path=xl/comments1.xml><?xml version="1.0" encoding="utf-8"?>
<comments xmlns="http://schemas.openxmlformats.org/spreadsheetml/2006/main">
  <authors>
    <author>Greg McLennan</author>
  </authors>
  <commentList>
    <comment ref="H18" authorId="0" shapeId="0">
      <text>
        <r>
          <rPr>
            <b/>
            <sz val="9"/>
            <color indexed="81"/>
            <rFont val="Tahoma"/>
            <family val="2"/>
          </rPr>
          <t>IPART:</t>
        </r>
        <r>
          <rPr>
            <sz val="9"/>
            <color indexed="81"/>
            <rFont val="Tahoma"/>
            <family val="2"/>
          </rPr>
          <t xml:space="preserve">
Either enter the Headworks/ET value calculated for the relevant system, or link to your agency's workings on the Headwork assets worksheet.
The headwork cost per ET has been separated from the main equation as it may apply to more than one DSP.  This separation reduces the need to capture data, and calculate headworks for each DSP that the headworks apply to. The relevant assets would otherwise be captured in the K/L</t>
        </r>
        <r>
          <rPr>
            <vertAlign val="subscript"/>
            <sz val="9"/>
            <color indexed="81"/>
            <rFont val="Tahoma"/>
            <family val="2"/>
          </rPr>
          <t>1</t>
        </r>
        <r>
          <rPr>
            <sz val="9"/>
            <color indexed="81"/>
            <rFont val="Tahoma"/>
            <family val="2"/>
          </rPr>
          <t xml:space="preserve"> section of the incremental developer charge equation.</t>
        </r>
      </text>
    </comment>
    <comment ref="J18" authorId="0" shapeId="0">
      <text>
        <r>
          <rPr>
            <b/>
            <sz val="9"/>
            <color indexed="81"/>
            <rFont val="Tahoma"/>
            <family val="2"/>
          </rPr>
          <t>IPART:</t>
        </r>
        <r>
          <rPr>
            <sz val="9"/>
            <color indexed="81"/>
            <rFont val="Tahoma"/>
            <family val="2"/>
          </rPr>
          <t xml:space="preserve">
Either enter the Cost Offset/ET value calculated, or link to your agency's workings on the Cost Offset worksheet.</t>
        </r>
      </text>
    </comment>
    <comment ref="O37" authorId="0" shapeId="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R37" authorId="0" shapeId="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authors>
    <author>Greg McLennan</author>
  </authors>
  <commentList>
    <comment ref="H26" authorId="0" shapeId="0">
      <text>
        <r>
          <rPr>
            <b/>
            <sz val="9"/>
            <color indexed="81"/>
            <rFont val="Tahoma"/>
            <family val="2"/>
          </rPr>
          <t>IPART:</t>
        </r>
        <r>
          <rPr>
            <sz val="9"/>
            <color indexed="81"/>
            <rFont val="Tahoma"/>
            <family val="2"/>
          </rPr>
          <t xml:space="preserve">
This is the average residential consumption from the prevailing price review.</t>
        </r>
      </text>
    </comment>
    <comment ref="H28" authorId="0" shapeId="0">
      <text>
        <r>
          <rPr>
            <b/>
            <sz val="9"/>
            <color indexed="81"/>
            <rFont val="Tahoma"/>
            <family val="2"/>
          </rPr>
          <t>IPART:</t>
        </r>
        <r>
          <rPr>
            <sz val="9"/>
            <color indexed="81"/>
            <rFont val="Tahoma"/>
            <family val="2"/>
          </rPr>
          <t xml:space="preserve">
The forecast period for ETs and the net operating result has been set in the 2018 Incremental Developer Charge Determination, and should not be changed.</t>
        </r>
      </text>
    </comment>
    <comment ref="I30" authorId="0" shapeId="0">
      <text>
        <r>
          <rPr>
            <b/>
            <sz val="9"/>
            <color indexed="81"/>
            <rFont val="Tahoma"/>
            <family val="2"/>
          </rPr>
          <t>IPART:</t>
        </r>
        <r>
          <rPr>
            <sz val="9"/>
            <color indexed="81"/>
            <rFont val="Tahoma"/>
            <family val="2"/>
          </rPr>
          <t xml:space="preserve">
All prices and costs should be entered into the template in $ of this financial year.</t>
        </r>
      </text>
    </comment>
    <comment ref="H32" authorId="0" shapeId="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authors>
    <author>Greg McLennan</author>
  </authors>
  <commentList>
    <comment ref="C16" authorId="0" shapeId="0">
      <text>
        <r>
          <rPr>
            <b/>
            <sz val="9"/>
            <color indexed="81"/>
            <rFont val="Tahoma"/>
            <family val="2"/>
          </rPr>
          <t>IPART:</t>
        </r>
        <r>
          <rPr>
            <sz val="9"/>
            <color indexed="81"/>
            <rFont val="Tahoma"/>
            <family val="2"/>
          </rPr>
          <t xml:space="preserve">
Eg, name or identification number.</t>
        </r>
      </text>
    </comment>
    <comment ref="D16" authorId="0" shapeId="0">
      <text>
        <r>
          <rPr>
            <b/>
            <sz val="9"/>
            <color indexed="81"/>
            <rFont val="Tahoma"/>
            <family val="2"/>
          </rPr>
          <t>IPART:</t>
        </r>
        <r>
          <rPr>
            <sz val="9"/>
            <color indexed="81"/>
            <rFont val="Tahoma"/>
            <family val="2"/>
          </rPr>
          <t xml:space="preserve">
Address nexus to DSP, eg, mains pipe required to transport water from point 'A' to point 'B' to facilitate water distribution in region '1', '2', and '3'.</t>
        </r>
      </text>
    </comment>
    <comment ref="I16" authorId="0" shapeId="0">
      <text>
        <r>
          <rPr>
            <b/>
            <sz val="9"/>
            <color indexed="81"/>
            <rFont val="Tahoma"/>
            <family val="2"/>
          </rPr>
          <t>IPART:</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authors>
    <author>Greg McLennan</author>
  </authors>
  <commentList>
    <comment ref="C16" authorId="0" shapeId="0">
      <text>
        <r>
          <rPr>
            <b/>
            <sz val="9"/>
            <color indexed="81"/>
            <rFont val="Tahoma"/>
            <family val="2"/>
          </rPr>
          <t>IPART:</t>
        </r>
        <r>
          <rPr>
            <sz val="9"/>
            <color indexed="81"/>
            <rFont val="Tahoma"/>
            <family val="2"/>
          </rPr>
          <t xml:space="preserve">
Eg, name or identification number.</t>
        </r>
      </text>
    </comment>
    <comment ref="D16" authorId="0" shapeId="0">
      <text>
        <r>
          <rPr>
            <b/>
            <sz val="9"/>
            <color indexed="81"/>
            <rFont val="Tahoma"/>
            <family val="2"/>
          </rPr>
          <t>IPART:</t>
        </r>
        <r>
          <rPr>
            <sz val="9"/>
            <color indexed="81"/>
            <rFont val="Tahoma"/>
            <family val="2"/>
          </rPr>
          <t xml:space="preserve">
Address nexus to DSP, eg, mains pipe required to transport water from point 'A' to point 'B' to facilitate water distribution in region '1', '2', and '3'.</t>
        </r>
      </text>
    </comment>
    <comment ref="I16" authorId="0" shapeId="0">
      <text>
        <r>
          <rPr>
            <b/>
            <sz val="9"/>
            <color indexed="81"/>
            <rFont val="Tahoma"/>
            <family val="2"/>
          </rPr>
          <t>IPART:</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authors>
    <author>Greg McLennan</author>
  </authors>
  <commentList>
    <comment ref="AG8" authorId="0" shapeId="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text>
        <r>
          <rPr>
            <b/>
            <sz val="9"/>
            <color indexed="81"/>
            <rFont val="Tahoma"/>
            <family val="2"/>
          </rPr>
          <t>Greg McLennan:</t>
        </r>
        <r>
          <rPr>
            <sz val="9"/>
            <color indexed="81"/>
            <rFont val="Tahoma"/>
            <family val="2"/>
          </rPr>
          <t xml:space="preserve">
An Agency's estimate of the number of new ETs in the DSP Area that utilise the Assets from 1 January 2007 to 30 June 2007 may be half the number for the full 2006-07 financial year.</t>
        </r>
      </text>
    </comment>
  </commentList>
</comments>
</file>

<file path=xl/sharedStrings.xml><?xml version="1.0" encoding="utf-8"?>
<sst xmlns="http://schemas.openxmlformats.org/spreadsheetml/2006/main" count="427" uniqueCount="346">
  <si>
    <t>Key outputs</t>
  </si>
  <si>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</si>
  <si>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</si>
  <si>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</si>
  <si>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</si>
  <si>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</si>
  <si>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</si>
  <si>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</si>
  <si>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</si>
  <si>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</si>
  <si>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</si>
  <si>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</si>
  <si>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</si>
  <si>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</si>
  <si>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</si>
  <si>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</si>
  <si>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</si>
  <si>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</si>
  <si>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</si>
  <si>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</si>
  <si>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</si>
  <si>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</si>
  <si>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</si>
  <si>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</si>
  <si>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</si>
  <si>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</si>
  <si>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</si>
  <si>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</si>
  <si>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</si>
  <si>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</si>
  <si>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</si>
  <si>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</si>
  <si>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Single dwelling</t>
  </si>
  <si>
    <t>Multi dwelling</t>
  </si>
  <si>
    <t>ETs</t>
  </si>
  <si>
    <t>Year</t>
  </si>
  <si>
    <t>Forecast period (years)</t>
  </si>
  <si>
    <t>Financial year of commissioning</t>
  </si>
  <si>
    <t>What $ units are used in the model</t>
  </si>
  <si>
    <t>$</t>
  </si>
  <si>
    <t>$'000</t>
  </si>
  <si>
    <t>$M</t>
  </si>
  <si>
    <t>DSP areas serviced by asset</t>
  </si>
  <si>
    <t>Consumption assumption</t>
  </si>
  <si>
    <t>kL/year/ property</t>
  </si>
  <si>
    <t>Index</t>
  </si>
  <si>
    <t>Row</t>
  </si>
  <si>
    <t>kL/property/year</t>
  </si>
  <si>
    <t>kL/hectare/year</t>
  </si>
  <si>
    <t>Do not delete section below - this is where the user can enter alternative consumption assumption options for non-residential customer groups.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</si>
  <si>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</si>
  <si>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</si>
  <si>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</si>
  <si>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</si>
  <si>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</si>
  <si>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</si>
  <si>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</si>
  <si>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</si>
  <si>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</si>
  <si>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</si>
  <si>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</si>
  <si>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</si>
  <si>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</si>
  <si>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</si>
  <si>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</si>
  <si>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</si>
  <si>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</si>
  <si>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</si>
  <si>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</si>
  <si>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</si>
  <si>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</si>
  <si>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</si>
  <si>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</si>
  <si>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</si>
  <si>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</si>
  <si>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</si>
  <si>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</si>
  <si>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</si>
  <si>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</si>
  <si>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</si>
  <si>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</si>
  <si>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</si>
  <si>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</si>
  <si>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</si>
  <si>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</si>
  <si>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</si>
  <si>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</si>
  <si>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t>HOW DOES THE MODEL WORK?</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</si>
  <si>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</si>
  <si>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</si>
  <si>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</si>
  <si>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</si>
  <si>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</si>
  <si>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</si>
  <si>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</si>
  <si>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</si>
  <si>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</si>
  <si>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</si>
  <si>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</si>
  <si>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</si>
  <si>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Schools</t>
  </si>
  <si>
    <t>Light industrial</t>
  </si>
  <si>
    <t>Commercial</t>
  </si>
  <si>
    <t>properties</t>
  </si>
  <si>
    <t>hectares</t>
  </si>
  <si>
    <t>2019-20</t>
  </si>
  <si>
    <t>Light grey - inputs not required, cells should be left unchanged.</t>
  </si>
  <si>
    <t>of which:</t>
  </si>
  <si>
    <t>DSP areas A, B and C</t>
  </si>
  <si>
    <t>DSP areas A and B</t>
  </si>
  <si>
    <t>&gt;</t>
  </si>
  <si>
    <t>A separate worksheet has been provided to calculate the reduction amount:</t>
  </si>
  <si>
    <t>Headworks</t>
  </si>
  <si>
    <t>A separate worksheet has been provided to capture headworks assets:</t>
  </si>
  <si>
    <t>Asset inclusions and exclusions</t>
  </si>
  <si>
    <t>The final worksheet provides information from the Determination about asset inclusions and exclusions.</t>
  </si>
  <si>
    <t>'HEADWORK ASSETS' : CALCULATIONS</t>
  </si>
  <si>
    <t>'REDUCTION AMOUNT' : CALCULATIONS</t>
  </si>
  <si>
    <t xml:space="preserve">An Equivalent Tenement (ET) is a unit that uses X kL/year of water, where X = </t>
  </si>
  <si>
    <t>Unit of measure in (A)</t>
  </si>
  <si>
    <t>filtration plant</t>
  </si>
  <si>
    <t>The plural of the units will only affect headings.</t>
  </si>
  <si>
    <t>ET consumption assumption (kL/year)</t>
  </si>
  <si>
    <t>Non-res 4</t>
  </si>
  <si>
    <t>Non-res 5</t>
  </si>
  <si>
    <t>Non-res 6</t>
  </si>
  <si>
    <t>Non-res 7</t>
  </si>
  <si>
    <t>Non-res 8</t>
  </si>
  <si>
    <t>Regulated Agency (for setting pre-1996 discount rate)</t>
  </si>
  <si>
    <t>Agency name</t>
  </si>
  <si>
    <t>Central Coast Council</t>
  </si>
  <si>
    <t>Hunter Water Corporation</t>
  </si>
  <si>
    <t>Sydney Water Corporation</t>
  </si>
  <si>
    <t>Notes:</t>
  </si>
  <si>
    <t>System name (allows cross checking of headworks costs)</t>
  </si>
  <si>
    <t>System Name</t>
  </si>
  <si>
    <t>metres</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</si>
  <si>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</si>
  <si>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</si>
  <si>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</si>
  <si>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</si>
  <si>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</si>
  <si>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</si>
  <si>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</si>
  <si>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</si>
  <si>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</si>
  <si>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Revenues expected to be recovered from new customers (undiscounted)</t>
  </si>
  <si>
    <t>Operating costs expected to be incurred in providing service to new customers (undiscounted)</t>
  </si>
  <si>
    <t>Please manually enter or link the calculated headwork cost per ET to cell</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</si>
  <si>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</si>
  <si>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</si>
  <si>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</si>
  <si>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</si>
  <si>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</si>
  <si>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</si>
  <si>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</si>
  <si>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</si>
  <si>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</si>
  <si>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that was unreasonably oversized relative to system and capacity requirements, based on available demographic data at the time it was commissioned;</t>
  </si>
  <si>
    <t>(e)</t>
  </si>
  <si>
    <t>Asset exclusions'!A1</t>
  </si>
  <si>
    <t>Link to Report and Determination:</t>
  </si>
  <si>
    <t>Register of uncommissioned assets</t>
  </si>
  <si>
    <t>Example 1</t>
  </si>
  <si>
    <t>Example 2</t>
  </si>
  <si>
    <t>K</t>
  </si>
  <si>
    <t>the Present Value of the Capital Charge for Assets that will serve the relevant DSP Area, calculated in accordance with clause 2.3 of Schedule 4 of the Determination and set out in the relevant DSP.</t>
  </si>
  <si>
    <t>CO</t>
  </si>
  <si>
    <t>2000-01</t>
  </si>
  <si>
    <t>Commissioned assets</t>
  </si>
  <si>
    <t>Uncommissioned assets</t>
  </si>
  <si>
    <t>Value of commissioned assets to be collected through this DSP (undiscounted)</t>
  </si>
  <si>
    <t>Present value of commissioned assets</t>
  </si>
  <si>
    <t>Present value of revenues</t>
  </si>
  <si>
    <t>Present value of operating costs</t>
  </si>
  <si>
    <t>Sum of PV of revenue for new customers</t>
  </si>
  <si>
    <t>Sum of PV of commissioned assets</t>
  </si>
  <si>
    <t>Sum of PV of uncommissioned assets</t>
  </si>
  <si>
    <t>Sum of PV of costs for new ETs</t>
  </si>
  <si>
    <t>Sum of ETs (not discounted)</t>
  </si>
  <si>
    <t>ETs per year for this DSP area (historical and forecast)</t>
  </si>
  <si>
    <t>'COST OFFSETS' : CALCULATIONS</t>
  </si>
  <si>
    <t>Please present, in this worksheet, the underlying high level data and analysis related to the generation of the Cost Offset per ET for each Cost Offset component (ie, Subsidies, Avoided Costs, External Benefits and Government Directions).</t>
  </si>
  <si>
    <t>Cost Offsets 
per ET</t>
  </si>
  <si>
    <t>Reduction for expected revenue and operating costs</t>
  </si>
  <si>
    <t>1990-91</t>
  </si>
  <si>
    <t>1999-00</t>
  </si>
  <si>
    <t>1991-92</t>
  </si>
  <si>
    <t>1992-93</t>
  </si>
  <si>
    <t>1993-94</t>
  </si>
  <si>
    <t>1994-95</t>
  </si>
  <si>
    <t>1995-96</t>
  </si>
  <si>
    <t>1996-97</t>
  </si>
  <si>
    <t>1997-98</t>
  </si>
  <si>
    <t>1998-99</t>
  </si>
  <si>
    <t>2001-02</t>
  </si>
  <si>
    <t>2002-03</t>
  </si>
  <si>
    <t>2003-04</t>
  </si>
  <si>
    <t>2004-05</t>
  </si>
  <si>
    <t>2005-06</t>
  </si>
  <si>
    <t>2006-07</t>
  </si>
  <si>
    <t>2007-08</t>
  </si>
  <si>
    <t>2008-09</t>
  </si>
  <si>
    <t>2009-10</t>
  </si>
  <si>
    <t>2010-11</t>
  </si>
  <si>
    <t>2011-12</t>
  </si>
  <si>
    <t>2012-13</t>
  </si>
  <si>
    <t>2013-14</t>
  </si>
  <si>
    <t>2014-15</t>
  </si>
  <si>
    <t>2015-16</t>
  </si>
  <si>
    <t>2016-17</t>
  </si>
  <si>
    <t>2017-18</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</si>
  <si>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</si>
  <si>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</si>
  <si>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</si>
  <si>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</si>
  <si>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</si>
  <si>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</si>
  <si>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</si>
  <si>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</si>
  <si>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</si>
  <si>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</si>
  <si>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</si>
  <si>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</si>
  <si>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</si>
  <si>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</si>
  <si>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</si>
  <si>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</si>
  <si>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</si>
  <si>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</si>
  <si>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</si>
  <si>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</si>
  <si>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</si>
  <si>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</si>
  <si>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</si>
  <si>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</si>
  <si>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</si>
  <si>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</si>
  <si>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</si>
  <si>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</si>
  <si>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</si>
  <si>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</si>
  <si>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</si>
  <si>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</si>
  <si>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</si>
  <si>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</si>
  <si>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</si>
  <si>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</si>
  <si>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</si>
  <si>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</si>
  <si>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</si>
  <si>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</si>
  <si>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</si>
  <si>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</si>
  <si>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</si>
  <si>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</si>
  <si>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</si>
  <si>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</si>
  <si>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</si>
  <si>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</si>
  <si>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</si>
  <si>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</si>
  <si>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</si>
  <si>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</si>
  <si>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</si>
  <si>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</si>
  <si>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</si>
  <si>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</si>
  <si>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</si>
  <si>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</si>
  <si>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</si>
  <si>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</si>
  <si>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</si>
  <si>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</si>
  <si>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</si>
  <si>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</si>
  <si>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</si>
  <si>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</si>
  <si>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</si>
  <si>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</si>
  <si>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is the offset cost amount</t>
  </si>
  <si>
    <t>EQUIVALENT TENEMENTS (ETs) SINCE 1 JANUARY 2007 RELATING TO THE DSP UNDER CONSIDERATION</t>
  </si>
  <si>
    <t>In which financial year were the first assets with a nexus to this DSP commissioned?</t>
  </si>
  <si>
    <t>Cost Offsets</t>
  </si>
  <si>
    <t>A separate worksheet has been provided to capture Cost Offsets:</t>
  </si>
  <si>
    <t>The purpose of this worksheet is to record, at a high level, the underlying data and analysis that are used to calculate the Cost Offset per ET.</t>
  </si>
  <si>
    <t>The purpose of this worksheet is to record, at a high level, the underlying data and analysis that are used to calculate the Headworks cost per ET.</t>
  </si>
  <si>
    <t>Sum of PV of ETs (for capital analysis)</t>
  </si>
  <si>
    <t>Sum of PV of ETs (for reduction analysis)</t>
  </si>
  <si>
    <r>
      <t>IDC</t>
    </r>
    <r>
      <rPr>
        <vertAlign val="subscript"/>
        <sz val="9"/>
        <rFont val="Arial"/>
        <family val="2"/>
      </rPr>
      <t>RW</t>
    </r>
  </si>
  <si>
    <r>
      <t>L</t>
    </r>
    <r>
      <rPr>
        <vertAlign val="subscript"/>
        <sz val="8"/>
        <rFont val="Arial"/>
        <family val="2"/>
      </rPr>
      <t>1</t>
    </r>
  </si>
  <si>
    <r>
      <t>L</t>
    </r>
    <r>
      <rPr>
        <vertAlign val="subscript"/>
        <sz val="9"/>
        <rFont val="Arial"/>
        <family val="2"/>
      </rPr>
      <t>2</t>
    </r>
  </si>
  <si>
    <t>the Present Value of the Agency’s estimate of the number of Equivalent Tenements in the relevant DSP Area for the Capital Charge and Cost Offset, calculated in accordance with clause 3.2(a) of Schedule 4 of the Determination and set out in the relevant DSP.</t>
  </si>
  <si>
    <t>the Present Value of the Agency’s estimate of the number of Equivalent Tenements for the Reduction Amount, calculated in accordance with clause 3.2(b) of Schedule 4 of the Determination and set out in the relevant DSP.</t>
  </si>
  <si>
    <t>Financial year of registration for the Recycled Water System DSP</t>
  </si>
  <si>
    <t>Present value of ETs per year (forecast only)</t>
  </si>
  <si>
    <t>Register of commissioned assets</t>
  </si>
  <si>
    <t>The future operating, maintenance and administrative costs must be exclusive of all capital costs included in the capital charge calculation.</t>
  </si>
  <si>
    <t>Avoided costs identified and included in the cost offset will in effect reduce the capital costs identified in the commissioned and uncommissioned assets worksheets, and the operating costs in the reduction amount.</t>
  </si>
  <si>
    <t>= the Agency’s estimate of the future periodic revenues to be received from new customers in the relevant DSP Area in each financial year i, estimated in accordance with clause 4 of Schedule 4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</si>
  <si>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4 of the Determination and set out in the relevant DSP.</t>
  </si>
  <si>
    <t>assets funded by Developers and transferred free of charge to the Agency.</t>
  </si>
  <si>
    <t>Present value of ETs per year (historical and forecast)</t>
  </si>
  <si>
    <t>Value of uncommissioned assets to be collected through this DSP (undiscounted)</t>
  </si>
  <si>
    <t>Present value of uncommissioned assets</t>
  </si>
  <si>
    <t>Consideration should be given to the definition of the term 'headworks' in the 'Maximum prices for connecting to a recycled water system' determination (Schedule 6) prior to estimating Headworks costs.</t>
  </si>
  <si>
    <t>INCREMENTAL DEVELOPER CHARGE TEMPLATE (for connecting to a recycled water system)</t>
  </si>
  <si>
    <t>The above two determinations must be read in conjunction to one another.</t>
  </si>
  <si>
    <t>This workbook is a template that agencies can use to calculate the Incremental Developer Charge component of the maximum price for connecting a New Development to a Recycled Water System (where the Recycled Water System is not a Least Cost Servicing Solution).  The use of this template is voluntary. IPART has published a separate template that agencies can use to calculate the Ordinary Developer Charge component of the maximum price.</t>
  </si>
  <si>
    <t>Asset component of the incremental developer charge (excluding headworks and cost offsets).</t>
  </si>
  <si>
    <t>Incremental developer charge calculations and summary of outputs</t>
  </si>
  <si>
    <t>The incremental developer charge is calculated and the results are summarised in:</t>
  </si>
  <si>
    <t>The separate components for the incremental developer charge equation are presented in both the worksheets.</t>
  </si>
  <si>
    <t>Details on the incremental developer charge methodology can be found on IPART's website at:</t>
  </si>
  <si>
    <t>Summary of incremental developer charge for connecting to a recycled water system</t>
  </si>
  <si>
    <t>Incremental developer charge formula:</t>
  </si>
  <si>
    <t>incremental developer charge per equivalent tenement to be serviced by the connection.</t>
  </si>
  <si>
    <t>the Agency’s estimate of the future periodic revenues to be received from supplying the Recycled Water Service to new customers from the Recycled Water System in the relevant DSP Area in each financial year i, estimated in accordance with clause 4 of Schedule 4 of the Determination and set out in the relevant DSP.</t>
  </si>
  <si>
    <r>
      <t xml:space="preserve">the Agency’s estimate of the future operating, maintenance and administration costs of providing new customers in the relevant DSP Area with the services provided by the Recycled Water System in each financial year </t>
    </r>
    <r>
      <rPr>
        <i/>
        <sz val="9"/>
        <rFont val="Arial"/>
        <family val="2"/>
      </rPr>
      <t>i</t>
    </r>
    <r>
      <rPr>
        <sz val="9"/>
        <rFont val="Arial"/>
        <family val="2"/>
      </rPr>
      <t xml:space="preserve"> (excluding, for the avoidance of doubt, any Capital Costs), estimated in accordance with clause 5 of Schedule 4 of the Determination and set out in the relevant DSP.</t>
    </r>
  </si>
  <si>
    <r>
      <t xml:space="preserve">the Present Value of the Cost Offset for the relevant DSP Area in each financial year </t>
    </r>
    <r>
      <rPr>
        <i/>
        <sz val="9"/>
        <rFont val="Arial"/>
        <family val="2"/>
      </rPr>
      <t>i</t>
    </r>
    <r>
      <rPr>
        <sz val="9"/>
        <rFont val="Arial"/>
        <family val="2"/>
      </rPr>
      <t>, calculated in accordance with clause 7 of Schedule 4 of the Determination and set out in the relevant DSP.</t>
    </r>
  </si>
  <si>
    <t>CALCULATION OF INCREMENTAL DEVELOPER CHARGE</t>
  </si>
  <si>
    <t>POST-1996 COMMISSIONED ASSETS WITH A NEXUS TO THE SERVICE FOR WHICH THE INCREMENTAL DEVELOPER CHARGE IS BEING CALCULATED</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</si>
  <si>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</si>
  <si>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</si>
  <si>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</si>
  <si>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</si>
  <si>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</si>
  <si>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</si>
  <si>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</si>
  <si>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all assets or parts of assets (including Headworks) forming part of a Recycled Water System, apart from Excluded Assets, allocated to a DSP where there is a nexus (close connection) to the Development they are intended to serve and includes assets that:</t>
  </si>
  <si>
    <t>For more detail refer to Clause 2 of Schedule 4 of the Determination.</t>
  </si>
  <si>
    <t>Please refer to Clause 3 of Schdule 4 of the Determination for more information on equivalent tenements.</t>
  </si>
  <si>
    <t>Please refer to Clauses 4-6 of Schedule 4 of the Determination.</t>
  </si>
  <si>
    <t>Please refer to Schedule 6 of the Determination for a definition of Headworks.</t>
  </si>
  <si>
    <t>Please refer to Clause 7 of Schedule 4 of the Determination for more information on Cost Offsets.</t>
  </si>
  <si>
    <t>POST-1996 UNCOMMISSIONED ASSETS WITH A NEXUS TO THE SERVICE FOR WHICH THE INCREMENTAL DEVELOPER CHARGE IS BEING CALCULATED</t>
  </si>
  <si>
    <t>Incremental developer charge</t>
  </si>
  <si>
    <t>Please present, in this worksheet, the underlying high level data and analysis related to the generation of the Headworks cost per ET for the service for which this incremental developer charge is being calculated.</t>
  </si>
  <si>
    <t>IPART - Review of recycled water prices for public water utilities 2019</t>
  </si>
  <si>
    <t>IPART - Developer charges and backlog sewerage charges for metropolitan water agencies 2018</t>
  </si>
  <si>
    <t>is the financial year which is 30 years from the financial year in which the relevant DSP was registered with IPART under clause 2(e) of Schedule 3 of the Determination.</t>
  </si>
  <si>
    <t>Scheme name</t>
  </si>
  <si>
    <t>Link to Reports and Determinations:</t>
  </si>
  <si>
    <t>Please manually enter or link the calculated cost offsets per ET to cell</t>
  </si>
  <si>
    <t>2099-00</t>
  </si>
  <si>
    <t>2100-01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</si>
</sst>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s>
  <fonts count="28"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b/>
      <sz val="10"/>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vertAlign val="subscript"/>
      <sz val="8"/>
      <name val="Arial"/>
      <family val="2"/>
    </font>
    <font>
      <sz val="12"/>
      <name val="Arial"/>
      <family val="2"/>
    </font>
  </fonts>
  <fills count="14">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15"/>
      </patternFill>
    </fill>
    <fill>
      <patternFill patternType="solid">
        <fgColor rgb="FFDDDDDD"/>
        <bgColor indexed="64"/>
      </patternFill>
    </fill>
    <fill>
      <patternFill patternType="solid">
        <fgColor theme="0"/>
        <bgColor rgb="FF00FFFF"/>
      </patternFill>
    </fill>
    <fill>
      <patternFill patternType="solid">
        <fgColor indexed="18"/>
        <bgColor rgb="FF00FFFF"/>
      </patternFill>
    </fill>
    <fill>
      <patternFill patternType="solid">
        <fgColor indexed="44"/>
        <bgColor rgb="FF00FFFF"/>
      </patternFill>
    </fill>
  </fills>
  <borders count="21">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style="thin">
        <color indexed="64"/>
      </right>
      <top style="double">
        <color rgb="FFFF0000"/>
      </top>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14"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6"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7" fillId="0" borderId="0" applyFont="0" applyBorder="0" applyAlignment="0" applyProtection="0"/>
    <xf numFmtId="9" fontId="17" fillId="0" borderId="0" applyFont="0" applyBorder="0" applyAlignment="0" applyProtection="0"/>
  </cellStyleXfs>
  <cellXfs count="271">
    <xf numFmtId="0" fontId="0" fillId="0" borderId="0" xfId="0"/>
    <xf numFmtId="0" fontId="0" fillId="0" borderId="0" xfId="0" applyBorder="1"/>
    <xf numFmtId="0" fontId="0" fillId="6" borderId="0" xfId="0" applyFill="1"/>
    <xf numFmtId="0" fontId="11" fillId="0" borderId="0" xfId="0" applyFont="1"/>
    <xf numFmtId="166" fontId="1" fillId="3" borderId="0" xfId="16" applyBorder="1" applyAlignment="1">
      <protection locked="0"/>
    </xf>
    <xf numFmtId="0" fontId="0" fillId="0" borderId="0" xfId="0" applyFont="1" applyBorder="1" applyAlignment="1">
      <alignment wrapText="1"/>
    </xf>
    <xf numFmtId="0" fontId="0" fillId="0" borderId="0" xfId="0" applyFont="1" applyBorder="1" applyAlignment="1">
      <alignment horizontal="left"/>
    </xf>
    <xf numFmtId="0" fontId="12" fillId="6" borderId="0" xfId="14" applyFont="1" applyFill="1"/>
    <xf numFmtId="0" fontId="13" fillId="0" borderId="0" xfId="0" applyFont="1" applyAlignment="1"/>
    <xf numFmtId="0" fontId="0" fillId="0" borderId="0" xfId="0" applyAlignment="1"/>
    <xf numFmtId="0" fontId="15" fillId="0" borderId="0" xfId="0" applyFont="1" applyAlignment="1"/>
    <xf numFmtId="0" fontId="10" fillId="0" borderId="0" xfId="0" applyFont="1" applyAlignment="1"/>
    <xf numFmtId="0" fontId="15" fillId="0" borderId="0" xfId="0" applyFont="1" applyAlignment="1">
      <alignment horizontal="left" vertical="top"/>
    </xf>
    <xf numFmtId="0" fontId="12" fillId="0" borderId="5" xfId="0" applyFont="1" applyBorder="1" applyAlignment="1"/>
    <xf numFmtId="0" fontId="12" fillId="0" borderId="9" xfId="0" applyFont="1" applyBorder="1" applyAlignment="1"/>
    <xf numFmtId="0" fontId="9" fillId="0" borderId="0" xfId="0" applyFont="1" applyAlignment="1"/>
    <xf numFmtId="0" fontId="12" fillId="0" borderId="7" xfId="0" applyFont="1" applyBorder="1" applyAlignment="1">
      <alignment wrapText="1"/>
    </xf>
    <xf numFmtId="0" fontId="12" fillId="0" borderId="0" xfId="0" applyFont="1" applyAlignment="1">
      <alignment wrapText="1"/>
    </xf>
    <xf numFmtId="0" fontId="0" fillId="0" borderId="7" xfId="0" applyFont="1" applyBorder="1" applyAlignment="1">
      <alignment wrapText="1"/>
    </xf>
    <xf numFmtId="0" fontId="0" fillId="0" borderId="0" xfId="0" applyFont="1" applyAlignment="1">
      <alignment wrapText="1"/>
    </xf>
    <xf numFmtId="0" fontId="4" fillId="0" borderId="0" xfId="0" applyFont="1" applyAlignment="1"/>
    <xf numFmtId="0" fontId="12" fillId="0" borderId="6" xfId="0" applyFont="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0" xfId="0" applyFont="1" applyAlignment="1"/>
    <xf numFmtId="0" fontId="12" fillId="0" borderId="0" xfId="0" applyFont="1" applyAlignment="1"/>
    <xf numFmtId="0" fontId="0" fillId="0" borderId="0" xfId="0" applyFill="1" applyAlignment="1"/>
    <xf numFmtId="0" fontId="0" fillId="0" borderId="0" xfId="0" applyFont="1" applyFill="1" applyAlignment="1"/>
    <xf numFmtId="0" fontId="11" fillId="0" borderId="0" xfId="0" applyFont="1" applyFill="1" applyAlignment="1"/>
    <xf numFmtId="0" fontId="10" fillId="0" borderId="0" xfId="0" applyFont="1" applyFill="1" applyAlignment="1">
      <alignment horizontal="left" vertical="top"/>
    </xf>
    <xf numFmtId="0" fontId="0" fillId="0" borderId="0" xfId="0" applyFont="1" applyFill="1" applyAlignment="1">
      <alignment horizontal="left" vertical="top"/>
    </xf>
    <xf numFmtId="0" fontId="12"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5"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10"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5" fillId="0" borderId="0" xfId="1" applyNumberFormat="1" applyFont="1" applyFill="1" applyBorder="1" applyAlignment="1">
      <alignment horizontal="left"/>
    </xf>
    <xf numFmtId="167" fontId="6"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10"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7" xfId="0" applyBorder="1"/>
    <xf numFmtId="0" fontId="0" fillId="0" borderId="8" xfId="0" applyBorder="1"/>
    <xf numFmtId="0" fontId="12" fillId="0" borderId="0" xfId="0" applyFont="1"/>
    <xf numFmtId="0" fontId="12" fillId="0" borderId="0" xfId="0" applyFont="1" applyAlignment="1">
      <alignment horizontal="centerContinuous" wrapText="1"/>
    </xf>
    <xf numFmtId="0" fontId="12"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3" xfId="0" applyBorder="1"/>
    <xf numFmtId="0" fontId="0" fillId="0" borderId="14" xfId="0" applyBorder="1"/>
    <xf numFmtId="0" fontId="0" fillId="0" borderId="15" xfId="0" applyBorder="1"/>
    <xf numFmtId="0" fontId="0" fillId="0" borderId="12" xfId="0" applyBorder="1"/>
    <xf numFmtId="0" fontId="0" fillId="0" borderId="16" xfId="0" applyBorder="1"/>
    <xf numFmtId="0" fontId="0" fillId="0" borderId="17" xfId="0" applyBorder="1"/>
    <xf numFmtId="0" fontId="13" fillId="0" borderId="0" xfId="0" applyFont="1"/>
    <xf numFmtId="0" fontId="12" fillId="0" borderId="2" xfId="0" applyFont="1" applyBorder="1"/>
    <xf numFmtId="0" fontId="22"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5" fillId="0" borderId="5" xfId="8" applyNumberFormat="1" applyBorder="1" applyAlignment="1" applyProtection="1">
      <alignment horizontal="center"/>
    </xf>
    <xf numFmtId="0" fontId="0" fillId="7" borderId="0" xfId="0" applyFill="1"/>
    <xf numFmtId="0" fontId="0" fillId="0" borderId="0" xfId="0" applyAlignment="1"/>
    <xf numFmtId="0" fontId="21" fillId="0" borderId="0" xfId="0" applyFont="1" applyAlignment="1">
      <alignment horizontal="left"/>
    </xf>
    <xf numFmtId="0" fontId="21" fillId="6" borderId="0" xfId="0" applyFont="1" applyFill="1"/>
    <xf numFmtId="0" fontId="14"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2" xfId="0" applyFill="1" applyBorder="1"/>
    <xf numFmtId="0" fontId="0" fillId="0" borderId="2" xfId="0" applyFill="1" applyBorder="1"/>
    <xf numFmtId="0" fontId="0" fillId="0" borderId="17" xfId="0" applyFill="1" applyBorder="1"/>
    <xf numFmtId="0" fontId="0" fillId="0" borderId="3" xfId="0" applyFill="1" applyBorder="1"/>
    <xf numFmtId="0" fontId="8" fillId="0" borderId="0" xfId="0" applyFont="1" applyFill="1"/>
    <xf numFmtId="0" fontId="0" fillId="0" borderId="14" xfId="0" applyFill="1" applyBorder="1"/>
    <xf numFmtId="0" fontId="12" fillId="0" borderId="0" xfId="0" applyFont="1" applyFill="1" applyBorder="1" applyAlignment="1">
      <alignment horizontal="right" wrapText="1"/>
    </xf>
    <xf numFmtId="0" fontId="0" fillId="0" borderId="0" xfId="0" applyFill="1" applyAlignment="1">
      <alignment horizontal="right"/>
    </xf>
    <xf numFmtId="0" fontId="12" fillId="0" borderId="0" xfId="0" applyFont="1" applyFill="1" applyBorder="1"/>
    <xf numFmtId="0" fontId="0" fillId="0" borderId="15" xfId="0" applyFill="1" applyBorder="1"/>
    <xf numFmtId="0" fontId="0" fillId="0" borderId="16" xfId="0" applyFill="1" applyBorder="1"/>
    <xf numFmtId="0" fontId="0" fillId="0" borderId="13" xfId="0" applyFill="1" applyBorder="1"/>
    <xf numFmtId="170" fontId="0" fillId="0" borderId="0" xfId="0" applyNumberFormat="1" applyFill="1" applyBorder="1" applyAlignment="1">
      <alignment horizontal="right"/>
    </xf>
    <xf numFmtId="0" fontId="8" fillId="0" borderId="3" xfId="0" applyFont="1" applyFill="1" applyBorder="1"/>
    <xf numFmtId="170" fontId="0" fillId="0" borderId="3" xfId="0" applyNumberFormat="1" applyFill="1" applyBorder="1" applyAlignment="1">
      <alignment horizontal="right"/>
    </xf>
    <xf numFmtId="0" fontId="0" fillId="0" borderId="0" xfId="0" applyFill="1" applyBorder="1" applyAlignment="1">
      <alignment horizontal="center"/>
    </xf>
    <xf numFmtId="0" fontId="0" fillId="0" borderId="7" xfId="0" applyFill="1" applyBorder="1"/>
    <xf numFmtId="3" fontId="1" fillId="9" borderId="7" xfId="6" applyNumberFormat="1" applyFill="1" applyBorder="1" applyAlignment="1">
      <protection locked="0"/>
    </xf>
    <xf numFmtId="3" fontId="1" fillId="4" borderId="7" xfId="6" applyNumberFormat="1" applyFill="1" applyBorder="1" applyAlignment="1">
      <protection locked="0"/>
    </xf>
    <xf numFmtId="0" fontId="12" fillId="0" borderId="0" xfId="0" applyFont="1" applyFill="1"/>
    <xf numFmtId="0" fontId="0" fillId="0" borderId="0" xfId="0" applyFill="1" applyAlignment="1">
      <alignment horizontal="left" indent="1"/>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2" fillId="0" borderId="0" xfId="0" applyFont="1" applyFill="1" applyAlignment="1">
      <alignment horizontal="left"/>
    </xf>
    <xf numFmtId="0" fontId="0" fillId="0" borderId="6" xfId="0" applyFill="1" applyBorder="1"/>
    <xf numFmtId="0" fontId="5" fillId="0" borderId="0" xfId="8" applyNumberFormat="1" applyFill="1" applyProtection="1"/>
    <xf numFmtId="0" fontId="12" fillId="0" borderId="0" xfId="0" applyFont="1" applyAlignment="1">
      <alignment horizontal="center"/>
    </xf>
    <xf numFmtId="0" fontId="0" fillId="0" borderId="0" xfId="0" applyAlignment="1"/>
    <xf numFmtId="0" fontId="16" fillId="6" borderId="0" xfId="14" applyFill="1"/>
    <xf numFmtId="0" fontId="0" fillId="6" borderId="0" xfId="0" applyFill="1" applyAlignment="1">
      <alignment horizontal="left" indent="1"/>
    </xf>
    <xf numFmtId="0" fontId="0" fillId="10" borderId="0" xfId="0" applyFill="1" applyAlignment="1"/>
    <xf numFmtId="0" fontId="0" fillId="10" borderId="0" xfId="0" applyFont="1" applyFill="1" applyBorder="1" applyAlignment="1">
      <alignment horizontal="left"/>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21" fillId="0" borderId="0" xfId="0" applyFont="1" applyAlignment="1">
      <alignment wrapText="1"/>
    </xf>
    <xf numFmtId="165" fontId="1" fillId="0" borderId="8" xfId="18" applyNumberFormat="1" applyFont="1" applyFill="1" applyBorder="1" applyAlignment="1" applyProtection="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2" fillId="0" borderId="0" xfId="0" applyFont="1" applyFill="1" applyBorder="1" applyAlignment="1">
      <alignment horizontal="left" vertical="top"/>
    </xf>
    <xf numFmtId="0" fontId="0" fillId="0" borderId="0" xfId="0" applyFont="1" applyFill="1" applyBorder="1" applyAlignment="1">
      <alignment horizontal="left"/>
    </xf>
    <xf numFmtId="0" fontId="13" fillId="0" borderId="0" xfId="0" quotePrefix="1" applyFont="1"/>
    <xf numFmtId="0" fontId="0" fillId="0" borderId="0" xfId="0" applyAlignment="1"/>
    <xf numFmtId="0" fontId="14" fillId="0" borderId="0" xfId="11" applyFill="1" applyBorder="1" applyAlignment="1">
      <alignment horizontal="left" vertical="top"/>
    </xf>
    <xf numFmtId="0" fontId="0" fillId="6" borderId="3" xfId="0" applyFill="1" applyBorder="1"/>
    <xf numFmtId="0" fontId="0" fillId="6" borderId="2" xfId="0" applyFill="1" applyBorder="1"/>
    <xf numFmtId="0" fontId="16" fillId="0" borderId="0" xfId="0" applyFont="1" applyFill="1"/>
    <xf numFmtId="169" fontId="1" fillId="4" borderId="8" xfId="6" applyNumberFormat="1" applyFill="1" applyBorder="1" applyAlignment="1">
      <alignment horizontal="center"/>
      <protection locked="0"/>
    </xf>
    <xf numFmtId="170" fontId="1" fillId="4" borderId="8" xfId="6" applyNumberFormat="1" applyFill="1" applyBorder="1" applyAlignment="1">
      <alignment horizontal="center"/>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0" fontId="0" fillId="6" borderId="3" xfId="0" applyFill="1" applyBorder="1" applyAlignment="1">
      <alignment wrapText="1"/>
    </xf>
    <xf numFmtId="0" fontId="0" fillId="6" borderId="0" xfId="0" applyFill="1" applyBorder="1" applyAlignment="1">
      <alignment wrapText="1"/>
    </xf>
    <xf numFmtId="0" fontId="0" fillId="6" borderId="5" xfId="0" applyFill="1" applyBorder="1" applyAlignment="1">
      <alignment horizontal="center" wrapText="1"/>
    </xf>
    <xf numFmtId="0" fontId="12" fillId="6" borderId="0" xfId="0" applyFont="1" applyFill="1" applyBorder="1" applyAlignment="1">
      <alignment wrapText="1"/>
    </xf>
    <xf numFmtId="0" fontId="0" fillId="0" borderId="7" xfId="0" applyFill="1" applyBorder="1" applyAlignment="1">
      <alignment horizontal="center"/>
    </xf>
    <xf numFmtId="9" fontId="12" fillId="0" borderId="0" xfId="18" applyFont="1" applyBorder="1" applyAlignment="1">
      <alignment horizontal="right" wrapText="1"/>
    </xf>
    <xf numFmtId="9" fontId="12" fillId="0" borderId="0" xfId="18" applyFont="1" applyAlignment="1">
      <alignment horizontal="right" wrapText="1"/>
    </xf>
    <xf numFmtId="0" fontId="8" fillId="0" borderId="0" xfId="0" applyFont="1" applyFill="1" applyBorder="1"/>
    <xf numFmtId="0" fontId="12" fillId="6" borderId="0" xfId="14" applyFont="1" applyFill="1" applyBorder="1" applyAlignment="1">
      <alignment horizontal="center" wrapText="1"/>
    </xf>
    <xf numFmtId="0" fontId="1" fillId="6" borderId="0" xfId="0" applyFont="1" applyFill="1" applyBorder="1"/>
    <xf numFmtId="0" fontId="0" fillId="6" borderId="11" xfId="0" applyFill="1" applyBorder="1" applyAlignment="1">
      <alignment horizontal="centerContinuous"/>
    </xf>
    <xf numFmtId="0" fontId="14" fillId="6" borderId="0" xfId="11" quotePrefix="1" applyFill="1"/>
    <xf numFmtId="0" fontId="0" fillId="6" borderId="0" xfId="0" applyFill="1" applyAlignment="1">
      <alignment wrapText="1"/>
    </xf>
    <xf numFmtId="0" fontId="0" fillId="6" borderId="0" xfId="0" applyFont="1" applyFill="1" applyBorder="1" applyAlignment="1">
      <alignment wrapText="1"/>
    </xf>
    <xf numFmtId="0" fontId="12" fillId="6" borderId="0" xfId="14" applyFont="1" applyFill="1" applyBorder="1" applyAlignment="1">
      <alignment horizontal="right"/>
    </xf>
    <xf numFmtId="0" fontId="1" fillId="6" borderId="0" xfId="14" applyFont="1" applyFill="1" applyAlignment="1">
      <alignment horizontal="center" wrapText="1"/>
    </xf>
    <xf numFmtId="0" fontId="13"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5" fillId="6" borderId="0" xfId="14" applyFont="1" applyFill="1"/>
    <xf numFmtId="0" fontId="11" fillId="0" borderId="0" xfId="0" applyFont="1" applyFill="1"/>
    <xf numFmtId="0" fontId="25" fillId="6" borderId="0" xfId="14" quotePrefix="1" applyFont="1" applyFill="1"/>
    <xf numFmtId="0" fontId="0" fillId="0" borderId="0" xfId="0" applyAlignment="1">
      <alignment wrapText="1"/>
    </xf>
    <xf numFmtId="4" fontId="1" fillId="4" borderId="18" xfId="6" applyBorder="1" applyAlignment="1">
      <protection locked="0"/>
    </xf>
    <xf numFmtId="165" fontId="1" fillId="4" borderId="5" xfId="7" applyBorder="1" applyAlignment="1">
      <alignment horizontal="center"/>
      <protection locked="0"/>
    </xf>
    <xf numFmtId="3" fontId="1" fillId="4" borderId="5" xfId="6" applyNumberFormat="1" applyBorder="1" applyAlignment="1">
      <protection locked="0"/>
    </xf>
    <xf numFmtId="3" fontId="1" fillId="4" borderId="9" xfId="6" applyNumberFormat="1" applyBorder="1" applyAlignment="1">
      <protection locked="0"/>
    </xf>
    <xf numFmtId="0" fontId="0" fillId="0" borderId="0" xfId="0" applyAlignment="1">
      <alignment wrapText="1"/>
    </xf>
    <xf numFmtId="0" fontId="0" fillId="0" borderId="0" xfId="0" applyAlignment="1"/>
    <xf numFmtId="0" fontId="5" fillId="0" borderId="0" xfId="8" applyNumberFormat="1" applyFill="1" applyAlignment="1" applyProtection="1">
      <alignment horizontal="right"/>
    </xf>
    <xf numFmtId="0" fontId="12" fillId="0" borderId="0" xfId="0" applyFont="1" applyFill="1" applyBorder="1" applyAlignment="1"/>
    <xf numFmtId="0" fontId="1" fillId="6" borderId="7" xfId="14" applyFont="1" applyFill="1" applyBorder="1"/>
    <xf numFmtId="0" fontId="0" fillId="0" borderId="0" xfId="0" applyAlignment="1"/>
    <xf numFmtId="0" fontId="0" fillId="0" borderId="0" xfId="0" applyFont="1" applyFill="1" applyBorder="1" applyAlignment="1">
      <alignment wrapText="1"/>
    </xf>
    <xf numFmtId="0" fontId="0" fillId="0" borderId="0" xfId="0" applyFont="1" applyFill="1" applyBorder="1" applyAlignment="1"/>
    <xf numFmtId="0" fontId="0" fillId="11" borderId="0" xfId="0" applyFill="1"/>
    <xf numFmtId="3" fontId="0" fillId="0" borderId="2" xfId="0" applyNumberFormat="1" applyBorder="1"/>
    <xf numFmtId="0" fontId="0" fillId="0" borderId="0" xfId="0" applyFill="1" applyAlignment="1">
      <alignment wrapText="1"/>
    </xf>
    <xf numFmtId="0" fontId="14" fillId="0" borderId="0" xfId="11" applyFill="1" applyAlignment="1">
      <alignment vertical="top"/>
    </xf>
    <xf numFmtId="172" fontId="6" fillId="12" borderId="0" xfId="9" applyNumberFormat="1" applyFill="1"/>
    <xf numFmtId="172" fontId="12" fillId="11" borderId="0" xfId="14" applyNumberFormat="1" applyFont="1" applyFill="1"/>
    <xf numFmtId="0" fontId="27" fillId="0" borderId="0" xfId="0" applyFont="1" applyFill="1"/>
    <xf numFmtId="172" fontId="0" fillId="0" borderId="0" xfId="0" applyNumberFormat="1" applyFill="1"/>
    <xf numFmtId="3" fontId="0" fillId="0" borderId="0" xfId="0" applyNumberFormat="1" applyFill="1"/>
    <xf numFmtId="0" fontId="0" fillId="0" borderId="0" xfId="0" applyFill="1" applyAlignment="1">
      <alignment wrapText="1"/>
    </xf>
    <xf numFmtId="0" fontId="0" fillId="0" borderId="3" xfId="0" applyFont="1" applyFill="1" applyBorder="1" applyAlignment="1">
      <alignment wrapText="1"/>
    </xf>
    <xf numFmtId="0" fontId="0" fillId="0" borderId="3" xfId="0" applyFill="1" applyBorder="1" applyAlignment="1">
      <alignment wrapText="1"/>
    </xf>
    <xf numFmtId="0" fontId="22" fillId="0" borderId="0" xfId="0" applyFont="1" applyFill="1"/>
    <xf numFmtId="3" fontId="0" fillId="0" borderId="5" xfId="0" applyNumberFormat="1" applyFill="1" applyBorder="1"/>
    <xf numFmtId="3" fontId="0" fillId="0" borderId="11" xfId="0" applyNumberFormat="1" applyFill="1" applyBorder="1"/>
    <xf numFmtId="3" fontId="6" fillId="12" borderId="0" xfId="9" applyNumberFormat="1" applyFill="1" applyBorder="1"/>
    <xf numFmtId="3" fontId="6" fillId="12" borderId="5" xfId="9" applyNumberFormat="1" applyFill="1" applyBorder="1"/>
    <xf numFmtId="3" fontId="6" fillId="12" borderId="11" xfId="9" applyNumberFormat="1" applyFill="1" applyBorder="1"/>
    <xf numFmtId="0" fontId="0" fillId="0" borderId="0" xfId="0" applyFill="1" applyBorder="1" applyAlignment="1">
      <alignment horizontal="right"/>
    </xf>
    <xf numFmtId="0" fontId="2" fillId="11" borderId="3" xfId="4" applyNumberFormat="1" applyFont="1" applyFill="1" applyBorder="1" applyAlignment="1">
      <alignment horizontal="center" wrapText="1"/>
    </xf>
    <xf numFmtId="0" fontId="2" fillId="11" borderId="3" xfId="4" applyNumberFormat="1" applyFill="1" applyBorder="1" applyAlignment="1">
      <alignment horizontal="center" wrapText="1"/>
    </xf>
    <xf numFmtId="4" fontId="1" fillId="11" borderId="19" xfId="8" applyNumberFormat="1" applyFont="1" applyFill="1" applyBorder="1" applyAlignment="1" applyProtection="1">
      <alignment horizontal="right"/>
    </xf>
    <xf numFmtId="3" fontId="0" fillId="0" borderId="6" xfId="0" applyNumberFormat="1" applyFill="1" applyBorder="1"/>
    <xf numFmtId="3" fontId="0" fillId="0" borderId="7" xfId="0" applyNumberFormat="1" applyFill="1" applyBorder="1"/>
    <xf numFmtId="3" fontId="1" fillId="11" borderId="6" xfId="14" applyNumberFormat="1" applyFont="1" applyFill="1" applyBorder="1"/>
    <xf numFmtId="169" fontId="0" fillId="4" borderId="5" xfId="6" applyNumberFormat="1" applyFont="1" applyBorder="1" applyAlignment="1">
      <alignment horizontal="center"/>
      <protection locked="0"/>
    </xf>
    <xf numFmtId="0" fontId="0" fillId="0" borderId="8" xfId="0" applyFill="1" applyBorder="1"/>
    <xf numFmtId="0" fontId="0" fillId="0" borderId="6" xfId="0" applyFont="1" applyFill="1" applyBorder="1"/>
    <xf numFmtId="0" fontId="0" fillId="0" borderId="7" xfId="0" applyFont="1" applyFill="1" applyBorder="1"/>
    <xf numFmtId="170" fontId="0" fillId="4" borderId="6" xfId="6" applyNumberFormat="1" applyFont="1" applyBorder="1" applyAlignment="1">
      <alignment horizontal="center"/>
      <protection locked="0"/>
    </xf>
    <xf numFmtId="0" fontId="16" fillId="11" borderId="0" xfId="14" applyFill="1"/>
    <xf numFmtId="171" fontId="1" fillId="11" borderId="6" xfId="13" applyNumberFormat="1" applyFill="1" applyBorder="1" applyAlignment="1">
      <alignment horizontal="center"/>
      <protection locked="0"/>
    </xf>
    <xf numFmtId="171" fontId="1" fillId="11" borderId="7" xfId="13" applyNumberFormat="1" applyFill="1" applyBorder="1" applyAlignment="1">
      <alignment horizontal="center"/>
      <protection locked="0"/>
    </xf>
    <xf numFmtId="0" fontId="1" fillId="11" borderId="8" xfId="13" applyNumberFormat="1" applyFill="1" applyBorder="1" applyAlignment="1">
      <alignment horizontal="center"/>
      <protection locked="0"/>
    </xf>
    <xf numFmtId="3" fontId="1" fillId="11" borderId="6" xfId="6" applyNumberFormat="1" applyFill="1" applyBorder="1" applyAlignment="1">
      <alignment horizontal="center"/>
      <protection locked="0"/>
    </xf>
    <xf numFmtId="3" fontId="1" fillId="11" borderId="7" xfId="6" applyNumberFormat="1" applyFill="1" applyBorder="1" applyAlignment="1">
      <alignment horizontal="center"/>
      <protection locked="0"/>
    </xf>
    <xf numFmtId="4" fontId="1" fillId="11" borderId="8" xfId="6" applyFill="1" applyBorder="1" applyAlignment="1">
      <alignment horizontal="center"/>
      <protection locked="0"/>
    </xf>
    <xf numFmtId="4" fontId="21" fillId="13" borderId="8" xfId="6" applyFont="1" applyFill="1" applyBorder="1" applyAlignment="1">
      <alignment horizontal="center" wrapText="1"/>
      <protection locked="0"/>
    </xf>
    <xf numFmtId="0" fontId="1" fillId="11" borderId="6" xfId="13" applyNumberFormat="1" applyFill="1" applyBorder="1" applyAlignment="1">
      <alignment horizontal="center"/>
      <protection locked="0"/>
    </xf>
    <xf numFmtId="0" fontId="1" fillId="11" borderId="7" xfId="13" applyNumberFormat="1" applyFill="1" applyBorder="1" applyAlignment="1">
      <alignment horizontal="center"/>
      <protection locked="0"/>
    </xf>
    <xf numFmtId="0" fontId="0" fillId="0" borderId="5" xfId="0" applyFill="1" applyBorder="1" applyAlignment="1">
      <alignment horizontal="center"/>
    </xf>
    <xf numFmtId="3" fontId="1" fillId="11" borderId="5" xfId="6" applyNumberFormat="1" applyFill="1" applyBorder="1" applyAlignment="1">
      <protection locked="0"/>
    </xf>
    <xf numFmtId="0" fontId="1" fillId="11" borderId="0" xfId="14" applyFont="1" applyFill="1" applyAlignment="1">
      <alignment horizontal="left" indent="1"/>
    </xf>
    <xf numFmtId="0" fontId="0" fillId="0" borderId="19" xfId="0" applyFill="1" applyBorder="1" applyAlignment="1">
      <alignment horizontal="right"/>
    </xf>
    <xf numFmtId="0" fontId="0" fillId="0" borderId="20" xfId="0" applyFill="1" applyBorder="1" applyAlignment="1">
      <alignment horizontal="right"/>
    </xf>
    <xf numFmtId="4" fontId="1" fillId="13" borderId="8" xfId="6" applyFill="1" applyBorder="1" applyAlignment="1">
      <protection locked="0"/>
    </xf>
    <xf numFmtId="0" fontId="0" fillId="11" borderId="18" xfId="0" applyFill="1" applyBorder="1" applyAlignment="1">
      <alignment horizontal="centerContinuous"/>
    </xf>
    <xf numFmtId="4" fontId="0" fillId="11" borderId="5" xfId="0" applyNumberFormat="1" applyFill="1" applyBorder="1" applyAlignment="1">
      <alignment horizontal="center"/>
    </xf>
    <xf numFmtId="0" fontId="0" fillId="11" borderId="5" xfId="0" applyFill="1" applyBorder="1" applyAlignment="1">
      <alignment horizontal="center"/>
    </xf>
    <xf numFmtId="0" fontId="21" fillId="0" borderId="0" xfId="0"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0" xfId="0" applyFont="1" applyFill="1" applyBorder="1" applyAlignment="1"/>
    <xf numFmtId="0" fontId="0" fillId="0" borderId="0" xfId="0" applyFill="1" applyAlignment="1"/>
    <xf numFmtId="0" fontId="0" fillId="0" borderId="0" xfId="0" applyAlignment="1"/>
    <xf numFmtId="4" fontId="1" fillId="4" borderId="18" xfId="6" applyBorder="1" applyAlignment="1">
      <protection locked="0"/>
    </xf>
    <xf numFmtId="0" fontId="0" fillId="0" borderId="11" xfId="0" applyBorder="1" applyAlignment="1"/>
    <xf numFmtId="4" fontId="0" fillId="4" borderId="18" xfId="6" applyFont="1" applyBorder="1" applyAlignment="1">
      <protection locked="0"/>
    </xf>
    <xf numFmtId="4" fontId="12" fillId="4" borderId="18" xfId="6" applyFont="1" applyBorder="1" applyAlignment="1">
      <alignment horizontal="center" wrapText="1"/>
      <protection locked="0"/>
    </xf>
    <xf numFmtId="0" fontId="0" fillId="0" borderId="11" xfId="0" applyBorder="1" applyAlignment="1">
      <alignment horizontal="center"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1" builtinId="8"/>
    <cellStyle name="Info/Default #" xfId="16"/>
    <cellStyle name="Info/default %" xfId="13"/>
    <cellStyle name="Info/import #" xfId="12"/>
    <cellStyle name="Info/import %" xfId="15"/>
    <cellStyle name="Input #" xfId="6"/>
    <cellStyle name="Input %" xfId="7"/>
    <cellStyle name="Input % 2" xfId="17"/>
    <cellStyle name="Input2" xfId="8"/>
    <cellStyle name="Key Outputs" xfId="9"/>
    <cellStyle name="Links from other files (green) style" xfId="10"/>
    <cellStyle name="Normal" xfId="0" builtinId="0" customBuiltin="1"/>
    <cellStyle name="Percent 2" xfId="18"/>
    <cellStyle name="Percent 2 2" xfId="19"/>
    <cellStyle name="QA" xfId="14"/>
  </cellStyles>
  <dxfs count="13">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476249</xdr:colOff>
      <xdr:row>10</xdr:row>
      <xdr:rowOff>66675</xdr:rowOff>
    </xdr:from>
    <xdr:ext cx="5253991" cy="552450"/>
    <mc:AlternateContent xmlns:mc="http://schemas.openxmlformats.org/markup-compatibility/2006" xmlns:a14="http://schemas.microsoft.com/office/drawing/2010/main">
      <mc:Choice Requires="a14">
        <xdr:sp macro="" textlink="">
          <xdr:nvSpPr>
            <xdr:cNvPr id="3" name="TextBox 2"/>
            <xdr:cNvSpPr txBox="1"/>
          </xdr:nvSpPr>
          <xdr:spPr>
            <a:xfrm>
              <a:off x="3089909" y="1506855"/>
              <a:ext cx="525399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14:m>
                <m:oMath xmlns:m="http://schemas.openxmlformats.org/officeDocument/2006/math">
                  <m:sSub>
                    <m:sSubPr>
                      <m:ctrlPr>
                        <a:rPr lang="en-AU" sz="1400" b="0" i="1">
                          <a:latin typeface="Cambria Math" panose="02040503050406030204" pitchFamily="18" charset="0"/>
                        </a:rPr>
                      </m:ctrlPr>
                    </m:sSubPr>
                    <m:e>
                      <m:r>
                        <a:rPr lang="en-AU" sz="1400" b="0" i="1">
                          <a:latin typeface="Cambria Math" panose="02040503050406030204" pitchFamily="18" charset="0"/>
                        </a:rPr>
                        <m:t>𝐼𝐷𝐶</m:t>
                      </m:r>
                    </m:e>
                    <m:sub>
                      <m:r>
                        <a:rPr lang="en-AU" sz="1400" b="0" i="1">
                          <a:latin typeface="Cambria Math" panose="02040503050406030204" pitchFamily="18" charset="0"/>
                        </a:rPr>
                        <m:t>𝑅𝑊</m:t>
                      </m:r>
                    </m:sub>
                  </m:sSub>
                  <m:r>
                    <a:rPr lang="en-AU" sz="1400" b="0" i="1">
                      <a:latin typeface="Cambria Math"/>
                    </a:rPr>
                    <m:t>=</m:t>
                  </m:r>
                  <m:f>
                    <m:fPr>
                      <m:ctrlPr>
                        <a:rPr lang="en-AU" sz="1400" b="0" i="1">
                          <a:latin typeface="Cambria Math" panose="02040503050406030204" pitchFamily="18" charset="0"/>
                        </a:rPr>
                      </m:ctrlPr>
                    </m:fPr>
                    <m:num>
                      <m:r>
                        <a:rPr lang="en-AU" sz="1400" b="0" i="1">
                          <a:latin typeface="Cambria Math" panose="02040503050406030204" pitchFamily="18" charset="0"/>
                        </a:rPr>
                        <m:t>𝐾</m:t>
                      </m:r>
                    </m:num>
                    <m:den>
                      <m:sSub>
                        <m:sSubPr>
                          <m:ctrlPr>
                            <a:rPr lang="en-AU" sz="1400" b="0" i="1">
                              <a:latin typeface="Cambria Math" panose="02040503050406030204" pitchFamily="18" charset="0"/>
                            </a:rPr>
                          </m:ctrlPr>
                        </m:sSubPr>
                        <m:e>
                          <m:r>
                            <a:rPr lang="en-AU" sz="1400" b="0" i="1">
                              <a:latin typeface="Cambria Math" panose="02040503050406030204" pitchFamily="18" charset="0"/>
                            </a:rPr>
                            <m:t>𝐿</m:t>
                          </m:r>
                        </m:e>
                        <m:sub>
                          <m:r>
                            <a:rPr lang="en-AU" sz="1400" b="0" i="1">
                              <a:latin typeface="Cambria Math" panose="02040503050406030204" pitchFamily="18" charset="0"/>
                            </a:rPr>
                            <m:t>1</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panose="02040503050406030204" pitchFamily="18" charset="0"/>
                            </a:rPr>
                            <m:t>𝐿</m:t>
                          </m:r>
                        </m:e>
                        <m:sub>
                          <m:r>
                            <a:rPr lang="en-AU" sz="1400" b="0" i="1">
                              <a:latin typeface="Cambria Math" panose="02040503050406030204" pitchFamily="18" charset="0"/>
                            </a:rPr>
                            <m:t>2</m:t>
                          </m:r>
                        </m:sub>
                      </m:sSub>
                    </m:den>
                  </m:f>
                  <m:r>
                    <a:rPr lang="en-AU" sz="1400" b="0" i="1">
                      <a:latin typeface="Cambria Math" panose="02040503050406030204" pitchFamily="18" charset="0"/>
                    </a:rPr>
                    <m:t>−</m:t>
                  </m:r>
                  <m:f>
                    <m:fPr>
                      <m:ctrlPr>
                        <a:rPr lang="en-AU" sz="1400" b="0" i="1">
                          <a:solidFill>
                            <a:schemeClr val="tx1"/>
                          </a:solidFill>
                          <a:effectLst/>
                          <a:latin typeface="Cambria Math" panose="02040503050406030204" pitchFamily="18" charset="0"/>
                          <a:ea typeface="+mn-ea"/>
                          <a:cs typeface="+mn-cs"/>
                        </a:rPr>
                      </m:ctrlPr>
                    </m:fPr>
                    <m:num>
                      <m:r>
                        <a:rPr lang="en-AU" sz="1400" b="0" i="1">
                          <a:solidFill>
                            <a:schemeClr val="tx1"/>
                          </a:solidFill>
                          <a:effectLst/>
                          <a:latin typeface="Cambria Math" panose="02040503050406030204" pitchFamily="18" charset="0"/>
                          <a:ea typeface="+mn-ea"/>
                          <a:cs typeface="+mn-cs"/>
                        </a:rPr>
                        <m:t>𝐶𝑂</m:t>
                      </m:r>
                    </m:num>
                    <m:den>
                      <m:sSub>
                        <m:sSubPr>
                          <m:ctrlPr>
                            <a:rPr lang="en-AU" sz="1400" b="0" i="1">
                              <a:solidFill>
                                <a:schemeClr val="tx1"/>
                              </a:solidFill>
                              <a:effectLst/>
                              <a:latin typeface="Cambria Math" panose="02040503050406030204" pitchFamily="18" charset="0"/>
                              <a:ea typeface="+mn-ea"/>
                              <a:cs typeface="+mn-cs"/>
                            </a:rPr>
                          </m:ctrlPr>
                        </m:sSubPr>
                        <m:e>
                          <m:r>
                            <a:rPr lang="en-AU" sz="1400" b="0" i="1">
                              <a:solidFill>
                                <a:schemeClr val="tx1"/>
                              </a:solidFill>
                              <a:effectLst/>
                              <a:latin typeface="Cambria Math" panose="02040503050406030204" pitchFamily="18" charset="0"/>
                              <a:ea typeface="+mn-ea"/>
                              <a:cs typeface="+mn-cs"/>
                            </a:rPr>
                            <m:t>𝐿</m:t>
                          </m:r>
                        </m:e>
                        <m:sub>
                          <m:r>
                            <a:rPr lang="en-AU" sz="1400" b="0" i="1">
                              <a:solidFill>
                                <a:schemeClr val="tx1"/>
                              </a:solidFill>
                              <a:effectLst/>
                              <a:latin typeface="Cambria Math" panose="02040503050406030204" pitchFamily="18" charset="0"/>
                              <a:ea typeface="+mn-ea"/>
                              <a:cs typeface="+mn-cs"/>
                            </a:rPr>
                            <m:t>1</m:t>
                          </m:r>
                        </m:sub>
                      </m:sSub>
                    </m:den>
                  </m:f>
                  <m:r>
                    <a:rPr lang="en-AU" sz="1400" b="0" i="1">
                      <a:latin typeface="Cambria Math" panose="02040503050406030204" pitchFamily="18" charset="0"/>
                    </a:rPr>
                    <m:t>−</m:t>
                  </m:r>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089909" y="1506855"/>
              <a:ext cx="525399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AU" sz="1400" b="0" i="0">
                  <a:latin typeface="Cambria Math" panose="02040503050406030204" pitchFamily="18" charset="0"/>
                </a:rPr>
                <a:t>〖𝐼𝐷𝐶〗_𝑅𝑊</a:t>
              </a:r>
              <a:r>
                <a:rPr lang="en-AU" sz="1400" b="0" i="0">
                  <a:latin typeface="Cambria Math"/>
                </a:rPr>
                <a:t>=</a:t>
              </a:r>
              <a:r>
                <a:rPr lang="en-AU" sz="1400" b="0" i="0">
                  <a:latin typeface="Cambria Math" panose="02040503050406030204" pitchFamily="18" charset="0"/>
                </a:rPr>
                <a:t>𝐾/𝐿_1 </a:t>
              </a:r>
              <a:r>
                <a:rPr lang="en-AU" sz="1400" b="0" i="0">
                  <a:latin typeface="Cambria Math"/>
                </a:rPr>
                <a:t>−𝑁𝑃𝑉</a:t>
              </a:r>
              <a:r>
                <a:rPr lang="en-AU" sz="1400" b="0" i="0">
                  <a:latin typeface="Cambria Math" panose="02040503050406030204" pitchFamily="18" charset="0"/>
                </a:rPr>
                <a:t>(</a:t>
              </a:r>
              <a:r>
                <a:rPr lang="en-AU" sz="1400" b="0" i="0">
                  <a:latin typeface="Cambria Math"/>
                </a:rPr>
                <a:t>𝑅</a:t>
              </a:r>
              <a:r>
                <a:rPr lang="en-AU" sz="1400" b="0" i="0">
                  <a:latin typeface="Cambria Math" panose="02040503050406030204" pitchFamily="18" charset="0"/>
                </a:rPr>
                <a:t>_</a:t>
              </a:r>
              <a:r>
                <a:rPr lang="en-AU" sz="1400" b="0" i="0">
                  <a:latin typeface="Cambria Math"/>
                </a:rPr>
                <a:t>𝑖−𝐶</a:t>
              </a:r>
              <a:r>
                <a:rPr lang="en-AU" sz="1400" b="0" i="0">
                  <a:latin typeface="Cambria Math" panose="02040503050406030204" pitchFamily="18" charset="0"/>
                </a:rPr>
                <a:t>_</a:t>
              </a:r>
              <a:r>
                <a:rPr lang="en-AU" sz="1400" b="0" i="0">
                  <a:latin typeface="Cambria Math"/>
                </a:rPr>
                <a:t>𝑖</a:t>
              </a:r>
              <a:r>
                <a:rPr lang="en-AU" sz="1400" b="0" i="0">
                  <a:latin typeface="Cambria Math" panose="02040503050406030204" pitchFamily="18" charset="0"/>
                </a:rPr>
                <a:t> )/𝐿_2 −</a:t>
              </a:r>
              <a:r>
                <a:rPr lang="en-AU" sz="1400" b="0" i="0">
                  <a:solidFill>
                    <a:schemeClr val="tx1"/>
                  </a:solidFill>
                  <a:effectLst/>
                  <a:latin typeface="Cambria Math" panose="02040503050406030204" pitchFamily="18" charset="0"/>
                  <a:ea typeface="+mn-ea"/>
                  <a:cs typeface="+mn-cs"/>
                </a:rPr>
                <a:t>𝐶𝑂/𝐿_1 </a:t>
              </a:r>
              <a:r>
                <a:rPr lang="en-AU" sz="1400" b="0" i="0">
                  <a:latin typeface="Cambria Math" panose="02040503050406030204" pitchFamily="18" charset="0"/>
                </a:rPr>
                <a:t>−</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part.nsw.gov.au/Home/Industries/Water/Reviews/Metro-Pricing/Developer-charges-and-backlog-sewerage-charges-for-metropolitan-water-agencies-2017" TargetMode="External"/><Relationship Id="rId2" Type="http://schemas.openxmlformats.org/officeDocument/2006/relationships/hyperlink" Target="https://www.ipart.nsw.gov.au/Home/Industries/Water/Reviews/Metro-Pricing/Review-of-recycled-water-prices-for-public-water-utilities"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G31"/>
  <sheetViews>
    <sheetView showGridLines="0" zoomScaleNormal="100" workbookViewId="0"/>
  </sheetViews>
  <sheetFormatPr defaultColWidth="9.09765625" defaultRowHeight="11.5" x14ac:dyDescent="0.25"/>
  <cols>
    <col min="1" max="1" width="4.09765625" style="9" customWidth="1"/>
    <col min="2" max="2" width="57" style="9" customWidth="1"/>
    <col min="3" max="3" width="15.19921875" style="9" customWidth="1"/>
    <col min="4" max="5" width="13" style="9" customWidth="1"/>
    <col min="6" max="6" width="40.59765625" style="9" customWidth="1"/>
    <col min="7" max="16384" width="9.09765625" style="9"/>
  </cols>
  <sheetData>
    <row r="2" spans="2:7" ht="20" x14ac:dyDescent="0.4">
      <c r="B2" s="8" t="s">
        <v>10</v>
      </c>
    </row>
    <row r="4" spans="2:7" ht="14" x14ac:dyDescent="0.3">
      <c r="B4" s="10" t="s">
        <v>11</v>
      </c>
      <c r="C4" s="11"/>
      <c r="D4" s="11"/>
      <c r="E4" s="11"/>
      <c r="F4" s="11"/>
    </row>
    <row r="5" spans="2:7" ht="14" x14ac:dyDescent="0.3">
      <c r="B5" s="10" t="s">
        <v>12</v>
      </c>
      <c r="C5" s="11"/>
      <c r="D5" s="11"/>
      <c r="E5" s="11"/>
      <c r="F5" s="11"/>
    </row>
    <row r="6" spans="2:7" ht="14" x14ac:dyDescent="0.3">
      <c r="B6" s="10"/>
      <c r="C6" s="11"/>
      <c r="D6" s="11"/>
      <c r="E6" s="11"/>
      <c r="F6" s="11"/>
    </row>
    <row r="7" spans="2:7" ht="14.25" customHeight="1" x14ac:dyDescent="0.25">
      <c r="B7" s="12" t="s">
        <v>13</v>
      </c>
      <c r="C7" s="12"/>
      <c r="D7" s="12"/>
      <c r="E7" s="12"/>
      <c r="F7" s="12"/>
    </row>
    <row r="9" spans="2:7" ht="13" x14ac:dyDescent="0.3">
      <c r="B9" s="13" t="s">
        <v>1</v>
      </c>
      <c r="C9" s="14" t="s">
        <v>2</v>
      </c>
      <c r="D9" s="13" t="s">
        <v>3</v>
      </c>
      <c r="E9" s="14" t="s">
        <v>4</v>
      </c>
      <c r="F9" s="13" t="s">
        <v>5</v>
      </c>
      <c r="G9" s="15"/>
    </row>
    <row r="10" spans="2:7" ht="23.5" x14ac:dyDescent="0.3">
      <c r="B10" s="16" t="s">
        <v>6</v>
      </c>
      <c r="C10" s="17"/>
      <c r="D10" s="16"/>
      <c r="E10" s="17"/>
      <c r="F10" s="16"/>
      <c r="G10" s="15"/>
    </row>
    <row r="11" spans="2:7" ht="12.5" x14ac:dyDescent="0.25">
      <c r="B11" s="18"/>
      <c r="C11" s="19"/>
      <c r="D11" s="18"/>
      <c r="E11" s="19"/>
      <c r="F11" s="18"/>
      <c r="G11" s="20"/>
    </row>
    <row r="12" spans="2:7" ht="12.5" x14ac:dyDescent="0.25">
      <c r="B12" s="18"/>
      <c r="C12" s="19"/>
      <c r="D12" s="18"/>
      <c r="E12" s="19"/>
      <c r="F12" s="18"/>
      <c r="G12" s="20"/>
    </row>
    <row r="13" spans="2:7" ht="12.5" x14ac:dyDescent="0.25">
      <c r="B13" s="18"/>
      <c r="C13" s="19"/>
      <c r="D13" s="18"/>
      <c r="E13" s="19"/>
      <c r="F13" s="18"/>
      <c r="G13" s="20"/>
    </row>
    <row r="14" spans="2:7" ht="12.5" x14ac:dyDescent="0.25">
      <c r="B14" s="18"/>
      <c r="C14" s="19"/>
      <c r="D14" s="18"/>
      <c r="E14" s="19"/>
      <c r="F14" s="18"/>
      <c r="G14" s="20"/>
    </row>
    <row r="15" spans="2:7" ht="12.5" x14ac:dyDescent="0.25">
      <c r="B15" s="21" t="s">
        <v>7</v>
      </c>
      <c r="C15" s="22"/>
      <c r="D15" s="23"/>
      <c r="E15" s="22"/>
      <c r="F15" s="23"/>
      <c r="G15" s="20"/>
    </row>
    <row r="16" spans="2:7" ht="12.5" x14ac:dyDescent="0.25">
      <c r="B16" s="18"/>
      <c r="C16" s="5"/>
      <c r="D16" s="18"/>
      <c r="E16" s="5"/>
      <c r="F16" s="18"/>
      <c r="G16" s="20"/>
    </row>
    <row r="17" spans="2:7" ht="12.5" x14ac:dyDescent="0.25">
      <c r="B17" s="18"/>
      <c r="C17" s="5"/>
      <c r="D17" s="18"/>
      <c r="E17" s="5"/>
      <c r="F17" s="18"/>
      <c r="G17" s="20"/>
    </row>
    <row r="18" spans="2:7" ht="12.5" x14ac:dyDescent="0.25">
      <c r="B18" s="18"/>
      <c r="C18" s="5"/>
      <c r="D18" s="18"/>
      <c r="E18" s="5"/>
      <c r="F18" s="18"/>
      <c r="G18" s="20"/>
    </row>
    <row r="19" spans="2:7" ht="12.5" x14ac:dyDescent="0.25">
      <c r="B19" s="24"/>
      <c r="C19" s="25"/>
      <c r="D19" s="24"/>
      <c r="E19" s="25"/>
      <c r="F19" s="24"/>
      <c r="G19" s="20"/>
    </row>
    <row r="20" spans="2:7" ht="12.5" x14ac:dyDescent="0.25">
      <c r="B20" s="16" t="s">
        <v>8</v>
      </c>
      <c r="C20" s="19"/>
      <c r="D20" s="18"/>
      <c r="E20" s="19"/>
      <c r="F20" s="18"/>
      <c r="G20" s="20"/>
    </row>
    <row r="21" spans="2:7" ht="12.5" x14ac:dyDescent="0.25">
      <c r="B21" s="18"/>
      <c r="C21" s="19"/>
      <c r="D21" s="18"/>
      <c r="E21" s="19"/>
      <c r="F21" s="18"/>
      <c r="G21" s="20"/>
    </row>
    <row r="22" spans="2:7" ht="12.5" x14ac:dyDescent="0.25">
      <c r="B22" s="18"/>
      <c r="C22" s="19"/>
      <c r="D22" s="18"/>
      <c r="E22" s="19"/>
      <c r="F22" s="18"/>
      <c r="G22" s="20"/>
    </row>
    <row r="23" spans="2:7" ht="12.5" x14ac:dyDescent="0.25">
      <c r="B23" s="18"/>
      <c r="C23" s="19"/>
      <c r="D23" s="18"/>
      <c r="E23" s="19"/>
      <c r="F23" s="18"/>
      <c r="G23" s="20"/>
    </row>
    <row r="24" spans="2:7" ht="12.5" x14ac:dyDescent="0.25">
      <c r="B24" s="18"/>
      <c r="C24" s="19"/>
      <c r="D24" s="18"/>
      <c r="E24" s="19"/>
      <c r="F24" s="18"/>
      <c r="G24" s="20"/>
    </row>
    <row r="25" spans="2:7" ht="12.5" x14ac:dyDescent="0.25">
      <c r="B25" s="21" t="s">
        <v>9</v>
      </c>
      <c r="C25" s="22"/>
      <c r="D25" s="23"/>
      <c r="E25" s="22"/>
      <c r="F25" s="23"/>
      <c r="G25" s="20"/>
    </row>
    <row r="26" spans="2:7" ht="12.5" x14ac:dyDescent="0.25">
      <c r="B26" s="18"/>
      <c r="C26" s="5"/>
      <c r="D26" s="18"/>
      <c r="E26" s="5"/>
      <c r="F26" s="18"/>
      <c r="G26" s="20"/>
    </row>
    <row r="27" spans="2:7" ht="12.5" x14ac:dyDescent="0.25">
      <c r="B27" s="18"/>
      <c r="C27" s="5"/>
      <c r="D27" s="18"/>
      <c r="E27" s="5"/>
      <c r="F27" s="18"/>
      <c r="G27" s="20"/>
    </row>
    <row r="28" spans="2:7" ht="12.5" x14ac:dyDescent="0.25">
      <c r="B28" s="18"/>
      <c r="C28" s="5"/>
      <c r="D28" s="18"/>
      <c r="E28" s="5"/>
      <c r="F28" s="18"/>
      <c r="G28" s="20"/>
    </row>
    <row r="29" spans="2:7" ht="12.5" x14ac:dyDescent="0.25">
      <c r="B29" s="24"/>
      <c r="C29" s="25"/>
      <c r="D29" s="24"/>
      <c r="E29" s="25"/>
      <c r="F29" s="24"/>
      <c r="G29" s="20"/>
    </row>
    <row r="30" spans="2:7" ht="12.5" x14ac:dyDescent="0.25">
      <c r="B30" s="26"/>
      <c r="C30" s="26"/>
      <c r="D30" s="26"/>
      <c r="E30" s="26"/>
      <c r="F30" s="26"/>
      <c r="G30" s="20"/>
    </row>
    <row r="31" spans="2:7" x14ac:dyDescent="0.25">
      <c r="B31" s="27"/>
      <c r="C31" s="27"/>
      <c r="D31" s="27"/>
      <c r="E31" s="27"/>
      <c r="F31" s="26"/>
    </row>
  </sheetData>
  <pageMargins left="0.7" right="0.7" top="0.75" bottom="0.75" header="0.3" footer="0.3"/>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60" t="s">
        <v>116</v>
      </c>
      <c r="M3" s="162"/>
    </row>
    <row r="6" spans="1:30" x14ac:dyDescent="0.25">
      <c r="C6" t="s">
        <v>342</v>
      </c>
      <c r="G6" s="213" t="s">
        <v>338</v>
      </c>
      <c r="N6" t="s">
        <v>333</v>
      </c>
    </row>
    <row r="8" spans="1:30" x14ac:dyDescent="0.25">
      <c r="C8" t="s">
        <v>337</v>
      </c>
    </row>
    <row r="10" spans="1:30" x14ac:dyDescent="0.25">
      <c r="C10" t="s">
        <v>148</v>
      </c>
      <c r="J10" s="258" t="str">
        <f>ADDRESS(ROW('DC Calculations'!$H$21),COLUMN('DC Calculations'!$H$21))</f>
        <v>$H$21</v>
      </c>
      <c r="K10" s="104" t="str">
        <f ca="1">"on the "&amp;MID(CELL("filename",'DC Calculations'!$A$1),FIND("]",CELL("filename",'DC Calculations'!$A$1))+1,255)&amp;" worksheet."</f>
        <v>on the DC Calculations worksheet.</v>
      </c>
      <c r="L10" s="104"/>
      <c r="M10" s="104"/>
      <c r="N10" s="104"/>
      <c r="O10" s="104"/>
      <c r="P10" s="104"/>
    </row>
    <row r="11" spans="1:30" x14ac:dyDescent="0.25">
      <c r="K11" s="104"/>
      <c r="L11" s="104"/>
      <c r="M11" s="104"/>
      <c r="N11" s="104"/>
      <c r="O11" s="104"/>
      <c r="P11" s="104"/>
    </row>
    <row r="12" spans="1:30" x14ac:dyDescent="0.25">
      <c r="C12" s="98" t="s">
        <v>82</v>
      </c>
      <c r="K12" s="104"/>
      <c r="L12" s="104"/>
      <c r="M12" s="104"/>
      <c r="N12" s="104"/>
      <c r="O12" s="104"/>
      <c r="P12" s="104"/>
    </row>
    <row r="13" spans="1:30" x14ac:dyDescent="0.25">
      <c r="C13" s="98"/>
      <c r="D13" s="97" t="s">
        <v>305</v>
      </c>
      <c r="K13" s="104"/>
      <c r="L13" s="104"/>
      <c r="M13" s="104"/>
      <c r="N13" s="104"/>
      <c r="O13" s="104"/>
      <c r="P13" s="104"/>
    </row>
    <row r="14" spans="1:30" x14ac:dyDescent="0.25">
      <c r="D14" s="259" t="str">
        <f ca="1">"All calculations on this worksheet need to be converted into "&amp;'General inputs'!$H$32&amp;", $"&amp;'General inputs'!$I$30&amp;" before being linked into the "&amp;MID(CELL("filename",'DC Calculations'!$A$1),FIND("]",CELL("filename",'DC Calculations'!$A$1))+1,255)&amp;"."</f>
        <v>All calculations on this worksheet need to be converted into $'000, $2019-20 before being linked into the DC Calculations.</v>
      </c>
      <c r="E14" s="104"/>
      <c r="F14" s="104"/>
      <c r="G14" s="104"/>
      <c r="H14" s="104"/>
      <c r="I14" s="104"/>
      <c r="J14" s="104"/>
      <c r="K14" s="104"/>
      <c r="L14" s="104"/>
      <c r="M14" s="104"/>
      <c r="N14" s="104"/>
      <c r="O14" s="104"/>
      <c r="P14" s="104"/>
    </row>
    <row r="15" spans="1:30" x14ac:dyDescent="0.25">
      <c r="D15" s="104"/>
      <c r="E15" s="104"/>
      <c r="F15" s="104"/>
      <c r="G15" s="104"/>
      <c r="H15" s="104"/>
      <c r="I15" s="104"/>
      <c r="J15" s="104"/>
      <c r="K15" s="104"/>
      <c r="L15" s="104"/>
      <c r="M15" s="104"/>
      <c r="N15" s="104"/>
      <c r="O15" s="104"/>
      <c r="P15" s="104"/>
    </row>
    <row r="16" spans="1:30" x14ac:dyDescent="0.25">
      <c r="A16" s="95"/>
      <c r="B16" s="95"/>
      <c r="C16" s="95" t="s">
        <v>77</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8" spans="4:4" x14ac:dyDescent="0.25">
      <c r="D18" s="97"/>
    </row>
  </sheetData>
  <hyperlinks>
    <hyperlink ref="G6" r:id="rId1" display="IPART - Maximum prices for connecting to a recycled water system - July 201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60" t="s">
        <v>181</v>
      </c>
      <c r="M3" s="162"/>
    </row>
    <row r="6" spans="1:30" x14ac:dyDescent="0.25">
      <c r="C6" t="s">
        <v>342</v>
      </c>
      <c r="G6" s="213" t="s">
        <v>338</v>
      </c>
      <c r="N6" t="s">
        <v>334</v>
      </c>
    </row>
    <row r="8" spans="1:30" x14ac:dyDescent="0.25">
      <c r="C8" t="s">
        <v>182</v>
      </c>
    </row>
    <row r="10" spans="1:30" x14ac:dyDescent="0.25">
      <c r="C10" t="s">
        <v>343</v>
      </c>
      <c r="J10" s="258" t="str">
        <f>ADDRESS(ROW('DC Calculations'!$J$21),COLUMN('DC Calculations'!$J$21))</f>
        <v>$J$21</v>
      </c>
      <c r="K10" s="104" t="str">
        <f ca="1">"on the "&amp;MID(CELL("filename",'DC Calculations'!$A$1),FIND("]",CELL("filename",'DC Calculations'!$A$1))+1,255)&amp;" worksheet."</f>
        <v>on the DC Calculations worksheet.</v>
      </c>
      <c r="L10" s="104"/>
      <c r="M10" s="104"/>
      <c r="N10" s="104"/>
      <c r="O10" s="104"/>
      <c r="P10" s="104"/>
    </row>
    <row r="11" spans="1:30" x14ac:dyDescent="0.25">
      <c r="K11" s="104"/>
      <c r="L11" s="104"/>
      <c r="M11" s="104"/>
      <c r="N11" s="104"/>
      <c r="O11" s="104"/>
      <c r="P11" s="104"/>
    </row>
    <row r="12" spans="1:30" x14ac:dyDescent="0.25">
      <c r="C12" s="98" t="s">
        <v>82</v>
      </c>
      <c r="K12" s="104"/>
      <c r="L12" s="104"/>
      <c r="M12" s="104"/>
      <c r="N12" s="104"/>
      <c r="O12" s="104"/>
      <c r="P12" s="104"/>
    </row>
    <row r="13" spans="1:30" x14ac:dyDescent="0.25">
      <c r="C13" s="98"/>
      <c r="D13" s="97" t="s">
        <v>298</v>
      </c>
      <c r="K13" s="104"/>
      <c r="L13" s="104"/>
      <c r="M13" s="104"/>
      <c r="N13" s="104"/>
      <c r="O13" s="104"/>
      <c r="P13" s="104"/>
    </row>
    <row r="14" spans="1:30" x14ac:dyDescent="0.25">
      <c r="D14" s="259" t="str">
        <f ca="1">"All calculations on this worksheet need to be converted into "&amp;'General inputs'!$H$32&amp;", $"&amp;'General inputs'!$I$30&amp;" before being linked into the "&amp;MID(CELL("filename",'DC Calculations'!$A$1),FIND("]",CELL("filename",'DC Calculations'!$A$1))+1,255)&amp;"."</f>
        <v>All calculations on this worksheet need to be converted into $'000, $2019-20 before being linked into the DC Calculations.</v>
      </c>
      <c r="E14" s="104"/>
      <c r="F14" s="104"/>
      <c r="G14" s="104"/>
      <c r="H14" s="104"/>
      <c r="I14" s="104"/>
      <c r="J14" s="104"/>
      <c r="K14" s="104"/>
      <c r="L14" s="104"/>
      <c r="M14" s="104"/>
      <c r="N14" s="104"/>
      <c r="O14" s="104"/>
      <c r="P14" s="104"/>
    </row>
    <row r="15" spans="1:30" x14ac:dyDescent="0.25">
      <c r="D15" s="104"/>
      <c r="E15" s="104"/>
      <c r="F15" s="104"/>
      <c r="G15" s="104"/>
      <c r="H15" s="104"/>
      <c r="I15" s="104"/>
      <c r="J15" s="104"/>
      <c r="K15" s="104"/>
      <c r="L15" s="104"/>
      <c r="M15" s="104"/>
      <c r="N15" s="104"/>
      <c r="O15" s="104"/>
      <c r="P15" s="104"/>
    </row>
    <row r="16" spans="1:30" x14ac:dyDescent="0.25">
      <c r="A16" s="95"/>
      <c r="B16" s="95"/>
      <c r="C16" s="95" t="s">
        <v>77</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8" spans="4:4" x14ac:dyDescent="0.25">
      <c r="D18" s="97"/>
    </row>
  </sheetData>
  <hyperlinks>
    <hyperlink ref="G6" r:id="rId1" display="IPART - Maximum prices for connecting to a recycled water system - July 2019"/>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0"/>
  <sheetViews>
    <sheetView showGridLines="0" workbookViewId="0"/>
  </sheetViews>
  <sheetFormatPr defaultRowHeight="11.5" x14ac:dyDescent="0.25"/>
  <cols>
    <col min="1" max="2" width="2.69921875" customWidth="1"/>
    <col min="3" max="3" width="5.69921875" customWidth="1"/>
  </cols>
  <sheetData>
    <row r="1" spans="1:7" x14ac:dyDescent="0.25">
      <c r="A1" s="2"/>
    </row>
    <row r="3" spans="1:7" ht="20" x14ac:dyDescent="0.4">
      <c r="C3" s="87" t="s">
        <v>149</v>
      </c>
    </row>
    <row r="6" spans="1:7" x14ac:dyDescent="0.25">
      <c r="C6" t="s">
        <v>161</v>
      </c>
      <c r="G6" s="213" t="s">
        <v>338</v>
      </c>
    </row>
    <row r="8" spans="1:7" x14ac:dyDescent="0.25">
      <c r="C8" s="73" t="s">
        <v>150</v>
      </c>
      <c r="G8" s="162"/>
    </row>
    <row r="10" spans="1:7" x14ac:dyDescent="0.25">
      <c r="C10" t="s">
        <v>151</v>
      </c>
      <c r="D10" t="s">
        <v>152</v>
      </c>
    </row>
    <row r="12" spans="1:7" x14ac:dyDescent="0.25">
      <c r="C12" t="s">
        <v>153</v>
      </c>
      <c r="D12" t="s">
        <v>154</v>
      </c>
    </row>
    <row r="14" spans="1:7" x14ac:dyDescent="0.25">
      <c r="C14" t="s">
        <v>155</v>
      </c>
      <c r="D14" t="s">
        <v>156</v>
      </c>
    </row>
    <row r="16" spans="1:7" x14ac:dyDescent="0.25">
      <c r="C16" t="s">
        <v>157</v>
      </c>
      <c r="D16" t="s">
        <v>158</v>
      </c>
    </row>
    <row r="18" spans="3:4" x14ac:dyDescent="0.25">
      <c r="C18" t="s">
        <v>159</v>
      </c>
      <c r="D18" t="s">
        <v>301</v>
      </c>
    </row>
    <row r="22" spans="3:4" x14ac:dyDescent="0.25">
      <c r="C22" s="73" t="s">
        <v>322</v>
      </c>
    </row>
    <row r="24" spans="3:4" x14ac:dyDescent="0.25">
      <c r="C24" t="s">
        <v>329</v>
      </c>
    </row>
    <row r="26" spans="3:4" x14ac:dyDescent="0.25">
      <c r="C26" t="s">
        <v>323</v>
      </c>
      <c r="D26" t="s">
        <v>324</v>
      </c>
    </row>
    <row r="28" spans="3:4" x14ac:dyDescent="0.25">
      <c r="C28" t="s">
        <v>325</v>
      </c>
      <c r="D28" t="s">
        <v>326</v>
      </c>
    </row>
    <row r="30" spans="3:4" x14ac:dyDescent="0.25">
      <c r="C30" t="s">
        <v>327</v>
      </c>
      <c r="D30" t="s">
        <v>328</v>
      </c>
    </row>
  </sheetData>
  <hyperlinks>
    <hyperlink ref="G6" r:id="rId1" display="IPART - Maximum prices for connecting to a recycled water system - July 20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125"/>
  <sheetViews>
    <sheetView showGridLines="0" tabSelected="1" zoomScale="115" zoomScaleNormal="115" workbookViewId="0"/>
  </sheetViews>
  <sheetFormatPr defaultColWidth="9.09765625" defaultRowHeight="11.5" x14ac:dyDescent="0.25"/>
  <cols>
    <col min="1" max="1" width="2.69921875" style="191" customWidth="1"/>
    <col min="2" max="3" width="2.69921875" style="9" customWidth="1"/>
    <col min="4" max="4" width="9.3984375" style="9" customWidth="1"/>
    <col min="5" max="5" width="139.69921875" style="9" customWidth="1"/>
    <col min="6" max="23" width="9.09765625" style="29"/>
    <col min="24" max="29" width="9.09765625" style="28"/>
    <col min="30" max="16384" width="9.09765625" style="9"/>
  </cols>
  <sheetData>
    <row r="1" spans="1:29" ht="12" customHeight="1" x14ac:dyDescent="0.25">
      <c r="B1" s="171"/>
      <c r="C1" s="171"/>
      <c r="D1" s="171"/>
      <c r="E1" s="28"/>
      <c r="J1" s="9"/>
      <c r="K1" s="9"/>
      <c r="L1" s="9"/>
      <c r="M1" s="9"/>
      <c r="N1" s="9"/>
      <c r="O1" s="9"/>
      <c r="P1" s="9"/>
      <c r="Q1" s="9"/>
      <c r="R1" s="9"/>
      <c r="S1" s="9"/>
      <c r="T1" s="9"/>
      <c r="U1" s="9"/>
      <c r="V1" s="9"/>
      <c r="W1" s="9"/>
      <c r="X1" s="9"/>
      <c r="Y1" s="9"/>
      <c r="Z1" s="9"/>
      <c r="AA1" s="9"/>
      <c r="AB1" s="9"/>
      <c r="AC1" s="9"/>
    </row>
    <row r="2" spans="1:29" ht="12" customHeight="1" x14ac:dyDescent="0.35">
      <c r="B2" s="28"/>
      <c r="D2" s="30"/>
      <c r="E2" s="30"/>
      <c r="J2" s="9"/>
      <c r="K2" s="9"/>
      <c r="L2" s="9"/>
      <c r="M2" s="9"/>
      <c r="N2" s="9"/>
      <c r="O2" s="9"/>
      <c r="P2" s="9"/>
      <c r="Q2" s="9"/>
      <c r="R2" s="9"/>
      <c r="S2" s="9"/>
      <c r="T2" s="9"/>
      <c r="U2" s="9"/>
      <c r="V2" s="9"/>
      <c r="W2" s="9"/>
      <c r="X2" s="9"/>
      <c r="Y2" s="9"/>
      <c r="Z2" s="9"/>
      <c r="AA2" s="9"/>
      <c r="AB2" s="9"/>
      <c r="AC2" s="9"/>
    </row>
    <row r="3" spans="1:29" ht="20.25" customHeight="1" x14ac:dyDescent="0.35">
      <c r="B3" s="28"/>
      <c r="C3" s="30" t="s">
        <v>306</v>
      </c>
      <c r="D3" s="31"/>
      <c r="E3" s="31"/>
      <c r="F3" s="32"/>
      <c r="G3" s="32"/>
      <c r="H3" s="32"/>
      <c r="I3" s="32"/>
      <c r="J3" s="9"/>
      <c r="K3" s="9"/>
      <c r="L3" s="9"/>
      <c r="M3" s="9"/>
      <c r="N3" s="9"/>
      <c r="O3" s="9"/>
      <c r="P3" s="9"/>
      <c r="Q3" s="9"/>
      <c r="R3" s="9"/>
      <c r="S3" s="9"/>
      <c r="T3" s="9"/>
      <c r="U3" s="9"/>
      <c r="V3" s="9"/>
      <c r="W3" s="9"/>
      <c r="X3" s="9"/>
      <c r="Y3" s="9"/>
      <c r="Z3" s="9"/>
      <c r="AA3" s="9"/>
      <c r="AB3" s="9"/>
      <c r="AC3" s="9"/>
    </row>
    <row r="4" spans="1:29" ht="12" customHeight="1" x14ac:dyDescent="0.25">
      <c r="B4" s="28"/>
      <c r="C4" s="31"/>
      <c r="D4" s="31"/>
      <c r="E4" s="31"/>
      <c r="F4" s="32"/>
      <c r="G4" s="32"/>
      <c r="H4" s="32"/>
      <c r="I4" s="32"/>
      <c r="J4" s="9"/>
      <c r="K4" s="9"/>
      <c r="L4" s="9"/>
      <c r="M4" s="9"/>
      <c r="N4" s="9"/>
      <c r="O4" s="9"/>
      <c r="P4" s="9"/>
      <c r="Q4" s="9"/>
      <c r="R4" s="9"/>
      <c r="S4" s="9"/>
      <c r="T4" s="9"/>
      <c r="U4" s="9"/>
      <c r="V4" s="9"/>
      <c r="W4" s="9"/>
      <c r="X4" s="9"/>
      <c r="Y4" s="9"/>
      <c r="Z4" s="9"/>
      <c r="AA4" s="9"/>
      <c r="AB4" s="9"/>
      <c r="AC4" s="9"/>
    </row>
    <row r="5" spans="1:29" x14ac:dyDescent="0.25">
      <c r="B5" s="28"/>
      <c r="C5" s="33" t="s">
        <v>14</v>
      </c>
      <c r="D5" s="33"/>
      <c r="E5" s="34" t="s">
        <v>83</v>
      </c>
      <c r="F5" s="35"/>
      <c r="G5" s="35"/>
      <c r="H5"/>
      <c r="I5" s="35"/>
      <c r="J5" s="9"/>
      <c r="K5" s="9"/>
      <c r="L5" s="9"/>
      <c r="M5" s="9"/>
      <c r="N5" s="9"/>
      <c r="O5" s="9"/>
      <c r="P5" s="9"/>
      <c r="Q5" s="9"/>
      <c r="R5" s="9"/>
      <c r="S5" s="9"/>
      <c r="T5" s="9"/>
      <c r="U5" s="9"/>
      <c r="V5" s="9"/>
      <c r="W5" s="9"/>
      <c r="X5" s="9"/>
      <c r="Y5" s="9"/>
      <c r="Z5" s="9"/>
      <c r="AA5" s="9"/>
      <c r="AB5" s="9"/>
      <c r="AC5" s="9"/>
    </row>
    <row r="6" spans="1:29" x14ac:dyDescent="0.25">
      <c r="B6" s="28"/>
      <c r="C6" s="29" t="s">
        <v>15</v>
      </c>
      <c r="D6" s="29"/>
      <c r="E6" s="99" t="s">
        <v>84</v>
      </c>
      <c r="F6" s="35"/>
      <c r="G6" s="35"/>
      <c r="H6"/>
      <c r="I6" s="35"/>
      <c r="J6" s="9"/>
      <c r="K6" s="9"/>
      <c r="L6" s="9"/>
      <c r="M6" s="9"/>
      <c r="N6" s="9"/>
      <c r="O6" s="9"/>
      <c r="P6" s="9"/>
      <c r="Q6" s="9"/>
      <c r="R6" s="9"/>
      <c r="S6" s="9"/>
      <c r="T6" s="9"/>
      <c r="U6" s="9"/>
      <c r="V6" s="9"/>
      <c r="W6" s="9"/>
      <c r="X6" s="9"/>
      <c r="Y6" s="9"/>
      <c r="Z6" s="9"/>
      <c r="AA6" s="9"/>
      <c r="AB6" s="9"/>
      <c r="AC6" s="9"/>
    </row>
    <row r="7" spans="1:29" x14ac:dyDescent="0.25">
      <c r="B7" s="28"/>
      <c r="D7" s="29"/>
      <c r="H7"/>
      <c r="J7" s="9"/>
      <c r="K7" s="9"/>
      <c r="L7" s="9"/>
      <c r="M7" s="9"/>
      <c r="N7" s="9"/>
      <c r="O7" s="9"/>
      <c r="P7" s="9"/>
      <c r="Q7" s="9"/>
      <c r="R7" s="9"/>
      <c r="S7" s="9"/>
      <c r="T7" s="9"/>
      <c r="U7" s="9"/>
      <c r="V7" s="9"/>
      <c r="W7" s="9"/>
      <c r="X7" s="9"/>
      <c r="Y7" s="9"/>
      <c r="Z7" s="9"/>
      <c r="AA7" s="9"/>
      <c r="AB7" s="9"/>
      <c r="AC7" s="9"/>
    </row>
    <row r="8" spans="1:29" ht="15.75" customHeight="1" x14ac:dyDescent="0.25">
      <c r="B8" s="28"/>
      <c r="C8" s="31"/>
      <c r="D8" s="31"/>
      <c r="E8" s="31"/>
      <c r="F8" s="32"/>
      <c r="G8" s="32"/>
      <c r="H8"/>
      <c r="J8" s="9"/>
      <c r="K8" s="9"/>
      <c r="L8" s="9"/>
      <c r="M8" s="9"/>
      <c r="N8" s="9"/>
      <c r="O8" s="9"/>
      <c r="P8" s="9"/>
      <c r="Q8" s="9"/>
      <c r="R8" s="9"/>
      <c r="S8" s="9"/>
      <c r="T8" s="9"/>
      <c r="U8" s="9"/>
      <c r="V8" s="9"/>
      <c r="W8" s="9"/>
      <c r="X8" s="9"/>
      <c r="Y8" s="9"/>
      <c r="Z8" s="9"/>
      <c r="AA8" s="9"/>
      <c r="AB8" s="9"/>
      <c r="AC8" s="9"/>
    </row>
    <row r="9" spans="1:29" x14ac:dyDescent="0.25">
      <c r="H9"/>
    </row>
    <row r="10" spans="1:29" ht="14" x14ac:dyDescent="0.3">
      <c r="B10" s="28"/>
      <c r="C10" s="36" t="s">
        <v>16</v>
      </c>
      <c r="D10" s="36"/>
      <c r="E10" s="37"/>
      <c r="F10" s="38"/>
      <c r="G10" s="38"/>
      <c r="H10"/>
      <c r="I10" s="38"/>
      <c r="J10" s="9"/>
      <c r="K10" s="9"/>
      <c r="L10" s="9"/>
      <c r="M10" s="9"/>
      <c r="N10" s="9"/>
      <c r="O10" s="9"/>
      <c r="P10" s="9"/>
      <c r="Q10" s="9"/>
      <c r="R10" s="9"/>
      <c r="S10" s="9"/>
      <c r="T10" s="9"/>
      <c r="U10" s="9"/>
      <c r="V10" s="9"/>
      <c r="W10" s="9"/>
      <c r="X10" s="9"/>
      <c r="Y10" s="9"/>
      <c r="Z10" s="9"/>
      <c r="AA10" s="9"/>
      <c r="AB10" s="9"/>
      <c r="AC10" s="9"/>
    </row>
    <row r="11" spans="1:29" x14ac:dyDescent="0.25">
      <c r="B11" s="28"/>
      <c r="C11" s="38"/>
      <c r="D11" s="38"/>
      <c r="E11" s="38"/>
      <c r="F11" s="38"/>
      <c r="G11" s="38"/>
      <c r="H11"/>
      <c r="I11" s="38"/>
      <c r="J11" s="9"/>
      <c r="K11" s="9"/>
      <c r="L11" s="9"/>
      <c r="M11" s="9"/>
      <c r="N11" s="9"/>
      <c r="O11" s="9"/>
      <c r="P11" s="9"/>
      <c r="Q11" s="9"/>
      <c r="R11" s="9"/>
      <c r="S11" s="9"/>
      <c r="T11" s="9"/>
      <c r="U11" s="9"/>
      <c r="V11" s="9"/>
      <c r="W11" s="9"/>
      <c r="X11" s="9"/>
      <c r="Y11" s="9"/>
      <c r="Z11" s="9"/>
      <c r="AA11" s="9"/>
      <c r="AB11" s="9"/>
      <c r="AC11" s="9"/>
    </row>
    <row r="12" spans="1:29" s="207" customFormat="1" ht="37.25" customHeight="1" x14ac:dyDescent="0.25">
      <c r="B12" s="28"/>
      <c r="C12" s="260" t="s">
        <v>308</v>
      </c>
      <c r="D12" s="261"/>
      <c r="E12" s="261"/>
      <c r="F12" s="35"/>
      <c r="G12" s="35"/>
      <c r="H12"/>
      <c r="I12" s="35"/>
    </row>
    <row r="13" spans="1:29" ht="15" customHeight="1" x14ac:dyDescent="0.25">
      <c r="B13" s="28"/>
      <c r="C13" s="39"/>
      <c r="D13" s="39"/>
      <c r="E13" s="35"/>
      <c r="F13" s="35"/>
      <c r="G13" s="35"/>
      <c r="H13"/>
      <c r="I13" s="35"/>
      <c r="J13" s="9"/>
      <c r="K13" s="9"/>
      <c r="L13" s="9"/>
      <c r="M13" s="9"/>
      <c r="N13" s="9"/>
      <c r="O13" s="9"/>
      <c r="P13" s="9"/>
      <c r="Q13" s="9"/>
      <c r="R13" s="9"/>
      <c r="S13" s="9"/>
      <c r="T13" s="9"/>
      <c r="U13" s="9"/>
      <c r="V13" s="9"/>
      <c r="W13" s="9"/>
      <c r="X13" s="9"/>
      <c r="Y13" s="9"/>
      <c r="Z13" s="9"/>
      <c r="AA13" s="9"/>
      <c r="AB13" s="9"/>
      <c r="AC13" s="9"/>
    </row>
    <row r="14" spans="1:29" ht="15" customHeight="1" x14ac:dyDescent="0.3">
      <c r="B14" s="28"/>
      <c r="C14" s="36" t="s">
        <v>87</v>
      </c>
      <c r="D14" s="36"/>
      <c r="E14" s="40"/>
      <c r="F14" s="35"/>
      <c r="G14" s="35"/>
      <c r="H14"/>
      <c r="I14" s="35"/>
      <c r="J14" s="9"/>
      <c r="K14" s="9"/>
      <c r="L14" s="9"/>
      <c r="M14" s="9"/>
      <c r="N14" s="9"/>
      <c r="O14" s="9"/>
      <c r="P14" s="9"/>
      <c r="Q14" s="9"/>
      <c r="R14" s="9"/>
      <c r="S14" s="9"/>
      <c r="T14" s="9"/>
      <c r="U14" s="9"/>
      <c r="V14" s="9"/>
      <c r="W14" s="9"/>
      <c r="X14" s="9"/>
      <c r="Y14" s="9"/>
      <c r="Z14" s="9"/>
      <c r="AA14" s="9"/>
      <c r="AB14" s="9"/>
      <c r="AC14" s="9"/>
    </row>
    <row r="15" spans="1:29" ht="15" customHeight="1" x14ac:dyDescent="0.25">
      <c r="B15" s="28"/>
      <c r="C15" s="39"/>
      <c r="D15" s="39"/>
      <c r="E15" s="35"/>
      <c r="F15" s="35"/>
      <c r="G15" s="35"/>
      <c r="H15"/>
      <c r="I15" s="35"/>
      <c r="J15" s="9"/>
      <c r="K15" s="9"/>
      <c r="L15" s="9"/>
      <c r="M15" s="9"/>
      <c r="N15" s="9"/>
      <c r="O15" s="9"/>
      <c r="P15" s="9"/>
      <c r="Q15" s="9"/>
      <c r="R15" s="9"/>
      <c r="S15" s="9"/>
      <c r="T15" s="9"/>
      <c r="U15" s="9"/>
      <c r="V15" s="9"/>
      <c r="W15" s="9"/>
      <c r="X15" s="9"/>
      <c r="Y15" s="9"/>
      <c r="Z15" s="9"/>
      <c r="AA15" s="9"/>
      <c r="AB15" s="9"/>
      <c r="AC15" s="9"/>
    </row>
    <row r="16" spans="1:29" s="96" customFormat="1" ht="37.5" customHeight="1" x14ac:dyDescent="0.25">
      <c r="A16" s="191"/>
      <c r="B16" s="28"/>
      <c r="C16" s="260" t="str">
        <f ca="1">"The template is designed to calculate the asset related components of an incremental developer charge (excluding headwork assets and cost offsets).  Some example data has been included for illustrative purposes in the '"&amp;MID(CELL("filename",'Commissioned assets'!$A$1),FIND("]",CELL("filename",'Commissioned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an incremental developer charge (excluding headwork assets and cost offsets).  Some example data has been included for illustrative purposes in the 'Commissioned assets', 'Uncommissioned assets', and 'ET inputs' worksheets.  Please delete all illustrative data to ensure the template produces the correct results.</v>
      </c>
      <c r="D16" s="262"/>
      <c r="E16" s="262"/>
      <c r="F16"/>
      <c r="G16" s="35"/>
      <c r="H16"/>
      <c r="I16" s="35"/>
    </row>
    <row r="17" spans="1:9" s="96" customFormat="1" ht="6" customHeight="1" x14ac:dyDescent="0.25">
      <c r="A17" s="191"/>
      <c r="B17" s="28"/>
      <c r="C17" s="209"/>
      <c r="D17" s="39"/>
      <c r="E17" s="35"/>
      <c r="F17"/>
      <c r="G17" s="35"/>
      <c r="H17"/>
      <c r="I17" s="35"/>
    </row>
    <row r="18" spans="1:9" s="146" customFormat="1" ht="37.5" customHeight="1" x14ac:dyDescent="0.25">
      <c r="A18" s="191"/>
      <c r="B18" s="155"/>
      <c r="C18" s="260"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incremental developer charge. Please note that the formatting on the '"&amp;MID(CELL("filename",'DC Calculations'!A2),FIND("]",CELL("filename",'DC Calculations'!A2))+1,255)&amp;"' worksheet has been automated to reflect the date ranges selected by the user."</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incremental developer charge. Please note that the formatting on the 'DC Calculations' worksheet has been automated to reflect the date ranges selected by the user.</v>
      </c>
      <c r="D18" s="262"/>
      <c r="E18" s="262"/>
      <c r="F18"/>
      <c r="G18" s="35"/>
      <c r="H18"/>
      <c r="I18" s="35"/>
    </row>
    <row r="19" spans="1:9" s="146" customFormat="1" ht="15" customHeight="1" x14ac:dyDescent="0.25">
      <c r="A19" s="191"/>
      <c r="B19" s="28"/>
      <c r="C19" s="209"/>
      <c r="D19" s="39"/>
      <c r="E19" s="35"/>
      <c r="F19" s="35"/>
      <c r="G19" s="35"/>
      <c r="H19"/>
      <c r="I19" s="35"/>
    </row>
    <row r="20" spans="1:9" s="146" customFormat="1" ht="15" customHeight="1" x14ac:dyDescent="0.25">
      <c r="A20" s="191"/>
      <c r="B20" s="28"/>
      <c r="C20" s="33" t="s">
        <v>309</v>
      </c>
      <c r="D20" s="39"/>
      <c r="E20" s="35"/>
      <c r="F20" s="35"/>
      <c r="G20" s="35"/>
      <c r="H20"/>
      <c r="I20" s="35"/>
    </row>
    <row r="21" spans="1:9" s="146" customFormat="1" ht="6" customHeight="1" x14ac:dyDescent="0.25">
      <c r="A21" s="191"/>
      <c r="B21" s="28"/>
      <c r="C21" s="209"/>
      <c r="D21" s="39"/>
      <c r="E21" s="35"/>
      <c r="F21" s="35"/>
      <c r="G21" s="35"/>
      <c r="H21"/>
      <c r="I21" s="35"/>
    </row>
    <row r="22" spans="1:9" s="96" customFormat="1" ht="15" customHeight="1" x14ac:dyDescent="0.25">
      <c r="A22" s="191"/>
      <c r="B22" s="28"/>
      <c r="C22" s="263" t="s">
        <v>85</v>
      </c>
      <c r="D22" s="264"/>
      <c r="E22" s="264"/>
      <c r="F22" s="35"/>
      <c r="G22" s="35"/>
      <c r="H22" s="35"/>
      <c r="I22" s="35"/>
    </row>
    <row r="23" spans="1:9" s="96" customFormat="1" ht="6" customHeight="1" x14ac:dyDescent="0.25">
      <c r="A23" s="191"/>
      <c r="B23" s="28"/>
      <c r="C23" s="209"/>
      <c r="D23" s="39"/>
      <c r="E23" s="35"/>
      <c r="F23" s="35"/>
      <c r="G23" s="35"/>
      <c r="H23" s="35"/>
      <c r="I23" s="35"/>
    </row>
    <row r="24" spans="1:9" s="96" customFormat="1" ht="15" customHeight="1" x14ac:dyDescent="0.25">
      <c r="A24" s="191"/>
      <c r="B24" s="28"/>
      <c r="C24" s="156" t="s">
        <v>110</v>
      </c>
      <c r="D24" s="100" t="str">
        <f ca="1">MID(CELL("filename",'General inputs'!$A$1),FIND("]",CELL("filename",'General inputs'!$A$1))+1,255)</f>
        <v>General inputs</v>
      </c>
      <c r="E24"/>
      <c r="F24" s="35"/>
      <c r="G24" s="35"/>
      <c r="H24" s="35"/>
      <c r="I24" s="35"/>
    </row>
    <row r="25" spans="1:9" s="96" customFormat="1" ht="15" customHeight="1" x14ac:dyDescent="0.25">
      <c r="A25" s="191"/>
      <c r="B25" s="28"/>
      <c r="C25" s="156" t="s">
        <v>110</v>
      </c>
      <c r="D25" s="35" t="str">
        <f ca="1">MID(CELL("filename",'Commissioned assets'!$A$1),FIND("]",CELL("filename",'Commissioned assets'!$A$1))+1,255)</f>
        <v>Commissioned assets</v>
      </c>
      <c r="E25"/>
      <c r="F25" s="35"/>
      <c r="G25" s="35"/>
      <c r="H25" s="35"/>
      <c r="I25" s="35"/>
    </row>
    <row r="26" spans="1:9" s="96" customFormat="1" ht="15" customHeight="1" x14ac:dyDescent="0.25">
      <c r="A26" s="191"/>
      <c r="B26" s="28"/>
      <c r="C26" s="156" t="s">
        <v>110</v>
      </c>
      <c r="D26" s="35" t="str">
        <f ca="1">MID(CELL("filename",'Uncommissioned assets'!$A$1),FIND("]",CELL("filename",'Uncommissioned assets'!$A$1))+1,255)</f>
        <v>Uncommissioned assets</v>
      </c>
      <c r="E26"/>
      <c r="F26" s="35"/>
      <c r="G26" s="35"/>
      <c r="H26" s="35"/>
      <c r="I26" s="35"/>
    </row>
    <row r="27" spans="1:9" s="96" customFormat="1" ht="15" customHeight="1" x14ac:dyDescent="0.25">
      <c r="A27" s="191"/>
      <c r="B27" s="28"/>
      <c r="C27" s="156" t="s">
        <v>110</v>
      </c>
      <c r="D27" s="35" t="str">
        <f ca="1">MID(CELL("filename",'ET inputs'!$A$1),FIND("]",CELL("filename",'ET inputs'!$A$1))+1,255)</f>
        <v>ET inputs</v>
      </c>
      <c r="E27"/>
      <c r="F27" s="35"/>
      <c r="G27" s="35"/>
      <c r="H27" s="35"/>
      <c r="I27" s="35"/>
    </row>
    <row r="28" spans="1:9" s="96" customFormat="1" ht="15" customHeight="1" x14ac:dyDescent="0.25">
      <c r="A28" s="191"/>
      <c r="B28" s="28"/>
      <c r="C28" s="38"/>
      <c r="D28" s="35"/>
      <c r="E28" s="35"/>
      <c r="F28" s="35"/>
      <c r="G28" s="35"/>
      <c r="H28" s="35"/>
      <c r="I28" s="35"/>
    </row>
    <row r="29" spans="1:9" s="96" customFormat="1" x14ac:dyDescent="0.25">
      <c r="A29" s="191"/>
      <c r="B29" s="28"/>
      <c r="C29" s="27" t="s">
        <v>76</v>
      </c>
      <c r="D29" s="28"/>
      <c r="F29" s="35"/>
      <c r="G29" s="35"/>
      <c r="H29" s="35"/>
      <c r="I29" s="35"/>
    </row>
    <row r="30" spans="1:9" s="102" customFormat="1" ht="6" customHeight="1" x14ac:dyDescent="0.25">
      <c r="A30" s="191"/>
      <c r="B30" s="28"/>
      <c r="C30" s="101"/>
      <c r="D30" s="212"/>
      <c r="E30" s="68"/>
      <c r="F30" s="35"/>
      <c r="G30" s="35"/>
      <c r="H30" s="35"/>
      <c r="I30" s="35"/>
    </row>
    <row r="31" spans="1:9" s="96" customFormat="1" ht="15" customHeight="1" x14ac:dyDescent="0.25">
      <c r="A31" s="191"/>
      <c r="B31" s="28"/>
      <c r="C31" s="260" t="s">
        <v>111</v>
      </c>
      <c r="D31" s="262"/>
      <c r="E31" s="261"/>
      <c r="F31" s="35"/>
      <c r="G31" s="35"/>
      <c r="H31" s="35"/>
      <c r="I31" s="35"/>
    </row>
    <row r="32" spans="1:9" s="96" customFormat="1" ht="6" customHeight="1" x14ac:dyDescent="0.25">
      <c r="A32" s="191"/>
      <c r="B32" s="28"/>
      <c r="C32" s="145"/>
      <c r="D32" s="39"/>
      <c r="E32" s="35"/>
      <c r="F32" s="35"/>
      <c r="G32" s="35"/>
      <c r="H32" s="35"/>
      <c r="I32" s="35"/>
    </row>
    <row r="33" spans="1:9" s="96" customFormat="1" ht="15" customHeight="1" x14ac:dyDescent="0.25">
      <c r="A33" s="191"/>
      <c r="B33" s="28"/>
      <c r="C33" s="157" t="s">
        <v>110</v>
      </c>
      <c r="D33" s="35" t="str">
        <f ca="1">MID(CELL("filename",'Reduction amount'!$A$1),FIND("]",CELL("filename",'Reduction amount'!$A$1))+1,255)</f>
        <v>Reduction amount</v>
      </c>
      <c r="E33"/>
      <c r="F33" s="35"/>
      <c r="G33" s="35"/>
      <c r="H33" s="35"/>
      <c r="I33" s="35"/>
    </row>
    <row r="34" spans="1:9" s="96" customFormat="1" ht="6" customHeight="1" x14ac:dyDescent="0.25">
      <c r="A34" s="191"/>
      <c r="B34" s="28"/>
      <c r="C34" s="38"/>
      <c r="D34" s="39"/>
      <c r="E34" s="35"/>
      <c r="F34" s="35"/>
      <c r="G34" s="35"/>
      <c r="H34" s="35"/>
      <c r="I34" s="35"/>
    </row>
    <row r="35" spans="1:9" s="96" customFormat="1" ht="39" customHeight="1" x14ac:dyDescent="0.25">
      <c r="A35" s="191"/>
      <c r="B35" s="28"/>
      <c r="C35" s="260" t="str">
        <f ca="1">"On this worksheet the agency can generate the time series for Ri (revenue) and Ci (opex) over the required timeframe. These time series can be copied or linked through to the '"&amp;MID(CELL("filename",'DC Calculations'!$A$1),FIND("]",CELL("filename",'DC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'DC Calculations' worksheet, where the reduction amount is calculated.  (This template does not generate the Ri and Ci components of the reduction amount because of the differences in price structures and operating environments between the agencies.)</v>
      </c>
      <c r="D35" s="262"/>
      <c r="E35" s="262"/>
      <c r="F35"/>
      <c r="G35" s="35"/>
      <c r="H35" s="35"/>
      <c r="I35" s="35"/>
    </row>
    <row r="36" spans="1:9" s="96" customFormat="1" ht="6" customHeight="1" x14ac:dyDescent="0.25">
      <c r="A36" s="191"/>
      <c r="B36" s="28"/>
      <c r="C36" s="209"/>
      <c r="D36" s="35"/>
      <c r="E36" s="35"/>
      <c r="F36" s="35"/>
      <c r="G36" s="35"/>
      <c r="H36" s="35"/>
      <c r="I36" s="35"/>
    </row>
    <row r="37" spans="1:9" s="96" customFormat="1" ht="15" customHeight="1" x14ac:dyDescent="0.25">
      <c r="A37" s="191"/>
      <c r="B37" s="28"/>
      <c r="C37" s="209" t="str">
        <f ca="1">"The '"&amp;MID(CELL("filename",'Reduction amount'!$A$1),FIND("]",CELL("filename",'Reduction amount'!$A$1))+1,255)&amp;"' worksheet provides instructions on how to incorporate the results in the incremental developer charge calculations."</f>
        <v>The 'Reduction amount' worksheet provides instructions on how to incorporate the results in the incremental developer charge calculations.</v>
      </c>
      <c r="D37"/>
      <c r="E37" s="35"/>
      <c r="F37" s="35"/>
      <c r="G37" s="35"/>
      <c r="H37" s="35"/>
      <c r="I37" s="35"/>
    </row>
    <row r="38" spans="1:9" s="146" customFormat="1" ht="15" customHeight="1" x14ac:dyDescent="0.25">
      <c r="A38" s="191"/>
      <c r="B38" s="28"/>
      <c r="C38" s="209"/>
      <c r="D38" s="35"/>
      <c r="E38" s="35"/>
      <c r="F38" s="35"/>
      <c r="G38" s="35"/>
      <c r="H38" s="35"/>
      <c r="I38" s="35"/>
    </row>
    <row r="39" spans="1:9" s="146" customFormat="1" ht="15" customHeight="1" x14ac:dyDescent="0.25">
      <c r="A39" s="191"/>
      <c r="B39" s="28"/>
      <c r="C39" s="33" t="s">
        <v>112</v>
      </c>
      <c r="D39" s="35"/>
      <c r="E39" s="35"/>
      <c r="F39" s="35"/>
      <c r="G39" s="35"/>
      <c r="H39" s="35"/>
      <c r="I39" s="35"/>
    </row>
    <row r="40" spans="1:9" s="146" customFormat="1" ht="6" customHeight="1" x14ac:dyDescent="0.25">
      <c r="A40" s="191"/>
      <c r="B40" s="28"/>
      <c r="C40" s="33"/>
      <c r="D40" s="35"/>
      <c r="E40" s="35"/>
      <c r="F40" s="35"/>
      <c r="G40" s="35"/>
      <c r="H40" s="35"/>
      <c r="I40" s="35"/>
    </row>
    <row r="41" spans="1:9" s="146" customFormat="1" ht="15" customHeight="1" x14ac:dyDescent="0.25">
      <c r="A41" s="191"/>
      <c r="B41" s="28"/>
      <c r="C41" s="260" t="s">
        <v>113</v>
      </c>
      <c r="D41" s="261"/>
      <c r="E41" s="261"/>
      <c r="F41" s="35"/>
      <c r="G41" s="35"/>
      <c r="H41" s="35"/>
      <c r="I41" s="35"/>
    </row>
    <row r="42" spans="1:9" s="146" customFormat="1" ht="6" customHeight="1" x14ac:dyDescent="0.25">
      <c r="A42" s="191"/>
      <c r="B42" s="28"/>
      <c r="C42" s="208"/>
      <c r="D42" s="144"/>
      <c r="E42" s="144"/>
      <c r="F42" s="35"/>
      <c r="G42" s="35"/>
      <c r="H42" s="35"/>
      <c r="I42" s="35"/>
    </row>
    <row r="43" spans="1:9" s="146" customFormat="1" ht="15" customHeight="1" x14ac:dyDescent="0.25">
      <c r="A43" s="191"/>
      <c r="B43" s="28"/>
      <c r="C43" s="157" t="s">
        <v>110</v>
      </c>
      <c r="D43" s="35" t="str">
        <f ca="1">MID(CELL("filename",'Headwork assets'!$A$1),FIND("]",CELL("filename",'Headwork assets'!$A$1))+1,255)</f>
        <v>Headwork assets</v>
      </c>
      <c r="E43"/>
      <c r="F43" s="35"/>
      <c r="G43" s="35"/>
      <c r="H43" s="35"/>
      <c r="I43" s="35"/>
    </row>
    <row r="44" spans="1:9" s="146" customFormat="1" ht="6" customHeight="1" x14ac:dyDescent="0.25">
      <c r="A44" s="191"/>
      <c r="B44" s="28"/>
      <c r="C44" s="157"/>
      <c r="D44" s="35"/>
      <c r="E44" s="35"/>
      <c r="F44" s="35"/>
      <c r="G44" s="35"/>
      <c r="H44" s="35"/>
      <c r="I44" s="35"/>
    </row>
    <row r="45" spans="1:9" s="146" customFormat="1" ht="15" customHeight="1" x14ac:dyDescent="0.25">
      <c r="A45" s="191"/>
      <c r="B45" s="28"/>
      <c r="C45" s="263" t="s">
        <v>286</v>
      </c>
      <c r="D45" s="264"/>
      <c r="E45" s="265"/>
      <c r="F45" s="35"/>
      <c r="G45" s="35"/>
      <c r="H45" s="35"/>
      <c r="I45" s="35"/>
    </row>
    <row r="46" spans="1:9" s="146" customFormat="1" ht="6" customHeight="1" x14ac:dyDescent="0.25">
      <c r="A46" s="191"/>
      <c r="B46" s="28"/>
      <c r="C46" s="209"/>
      <c r="D46" s="28"/>
      <c r="F46" s="35"/>
      <c r="G46" s="35"/>
      <c r="H46" s="35"/>
      <c r="I46" s="35"/>
    </row>
    <row r="47" spans="1:9" s="146" customFormat="1" ht="24" customHeight="1" x14ac:dyDescent="0.25">
      <c r="A47" s="191"/>
      <c r="B47" s="28"/>
      <c r="C47" s="260" t="s">
        <v>91</v>
      </c>
      <c r="D47" s="262"/>
      <c r="E47" s="261"/>
      <c r="F47" s="35"/>
      <c r="G47" s="35"/>
      <c r="H47" s="35"/>
      <c r="I47" s="35"/>
    </row>
    <row r="48" spans="1:9" s="146" customFormat="1" ht="6" customHeight="1" x14ac:dyDescent="0.25">
      <c r="A48" s="191"/>
      <c r="B48" s="28"/>
      <c r="C48" s="208"/>
      <c r="D48" s="212"/>
      <c r="E48" s="144"/>
      <c r="F48" s="35"/>
      <c r="G48" s="35"/>
      <c r="H48" s="35"/>
      <c r="I48" s="35"/>
    </row>
    <row r="49" spans="1:9" s="146" customFormat="1" ht="15" customHeight="1" x14ac:dyDescent="0.25">
      <c r="A49" s="191"/>
      <c r="B49" s="28"/>
      <c r="C49" s="209" t="str">
        <f ca="1">"The '"&amp;MID(CELL("filename",'Headwork assets'!$A$1),FIND("]",CELL("filename",'Headwork assets'!$A$1))+1,255)&amp;"' worksheet provides instructions on how to incorporate the results in the incremental developer charge calculations."</f>
        <v>The 'Headwork assets' worksheet provides instructions on how to incorporate the results in the incremental developer charge calculations.</v>
      </c>
      <c r="D49"/>
      <c r="E49" s="144"/>
      <c r="F49" s="35"/>
      <c r="G49" s="35"/>
      <c r="H49" s="35"/>
      <c r="I49" s="35"/>
    </row>
    <row r="50" spans="1:9" s="203" customFormat="1" ht="15" customHeight="1" x14ac:dyDescent="0.25">
      <c r="B50" s="28"/>
      <c r="C50" s="209"/>
      <c r="D50" s="202"/>
      <c r="E50" s="202"/>
      <c r="F50" s="35"/>
      <c r="G50" s="35"/>
      <c r="H50" s="35"/>
      <c r="I50" s="35"/>
    </row>
    <row r="51" spans="1:9" s="203" customFormat="1" ht="15" customHeight="1" x14ac:dyDescent="0.25">
      <c r="B51" s="28"/>
      <c r="C51" s="205" t="s">
        <v>283</v>
      </c>
      <c r="D51" s="202"/>
      <c r="E51" s="202"/>
      <c r="F51" s="35"/>
      <c r="G51" s="35"/>
      <c r="H51" s="35"/>
      <c r="I51" s="35"/>
    </row>
    <row r="52" spans="1:9" s="203" customFormat="1" ht="6" customHeight="1" x14ac:dyDescent="0.25">
      <c r="B52" s="28"/>
      <c r="C52" s="209"/>
      <c r="D52" s="202"/>
      <c r="E52" s="202"/>
      <c r="F52" s="35"/>
      <c r="G52" s="35"/>
      <c r="H52" s="35"/>
      <c r="I52" s="35"/>
    </row>
    <row r="53" spans="1:9" s="203" customFormat="1" ht="15" customHeight="1" x14ac:dyDescent="0.25">
      <c r="B53" s="28"/>
      <c r="C53" s="260" t="s">
        <v>284</v>
      </c>
      <c r="D53" s="261"/>
      <c r="E53" s="261"/>
      <c r="F53" s="35"/>
      <c r="G53" s="35"/>
      <c r="H53" s="35"/>
      <c r="I53" s="35"/>
    </row>
    <row r="54" spans="1:9" s="203" customFormat="1" ht="6" customHeight="1" x14ac:dyDescent="0.25">
      <c r="B54" s="28"/>
      <c r="C54" s="208"/>
      <c r="D54" s="202"/>
      <c r="E54" s="202"/>
      <c r="F54" s="35"/>
      <c r="G54" s="35"/>
      <c r="H54" s="35"/>
      <c r="I54" s="35"/>
    </row>
    <row r="55" spans="1:9" s="203" customFormat="1" ht="15" customHeight="1" x14ac:dyDescent="0.25">
      <c r="B55" s="28"/>
      <c r="C55" s="157" t="s">
        <v>110</v>
      </c>
      <c r="D55" s="35" t="str">
        <f ca="1">MID(CELL("filename",'Cost Offsets'!A1),FIND("]",CELL("filename",'Cost Offsets'!A1))+1,255)</f>
        <v>Cost Offsets</v>
      </c>
      <c r="E55"/>
      <c r="F55" s="35"/>
      <c r="G55" s="35"/>
      <c r="H55" s="35"/>
      <c r="I55" s="35"/>
    </row>
    <row r="56" spans="1:9" s="203" customFormat="1" ht="6" customHeight="1" x14ac:dyDescent="0.25">
      <c r="B56" s="28"/>
      <c r="C56" s="157"/>
      <c r="D56" s="35"/>
      <c r="E56" s="35"/>
      <c r="F56" s="35"/>
      <c r="G56" s="35"/>
      <c r="H56" s="35"/>
      <c r="I56" s="35"/>
    </row>
    <row r="57" spans="1:9" s="203" customFormat="1" ht="15" customHeight="1" x14ac:dyDescent="0.25">
      <c r="B57" s="28"/>
      <c r="C57" s="263" t="s">
        <v>285</v>
      </c>
      <c r="D57" s="264"/>
      <c r="E57" s="265"/>
      <c r="F57" s="35"/>
      <c r="G57" s="35"/>
      <c r="H57" s="35"/>
      <c r="I57" s="35"/>
    </row>
    <row r="58" spans="1:9" s="203" customFormat="1" ht="6" customHeight="1" x14ac:dyDescent="0.25">
      <c r="B58" s="28"/>
      <c r="C58" s="209"/>
      <c r="D58" s="28"/>
      <c r="F58" s="35"/>
      <c r="G58" s="35"/>
      <c r="H58" s="35"/>
      <c r="I58" s="35"/>
    </row>
    <row r="59" spans="1:9" s="203" customFormat="1" ht="15" customHeight="1" x14ac:dyDescent="0.25">
      <c r="B59" s="28"/>
      <c r="C59" s="209" t="str">
        <f ca="1">"The '"&amp;MID(CELL("filename",'Cost Offsets'!$A$1),FIND("]",CELL("filename",'Cost Offsets'!$A$1))+1,255)&amp;"' worksheet provides instructions on how to incorporate the results in the incremental developer charge calculations."</f>
        <v>The 'Cost Offsets' worksheet provides instructions on how to incorporate the results in the incremental developer charge calculations.</v>
      </c>
      <c r="D59"/>
      <c r="E59" s="202"/>
      <c r="F59" s="35"/>
      <c r="G59" s="35"/>
      <c r="H59" s="35"/>
      <c r="I59" s="35"/>
    </row>
    <row r="60" spans="1:9" s="146" customFormat="1" ht="15" customHeight="1" x14ac:dyDescent="0.25">
      <c r="A60" s="191"/>
      <c r="B60" s="28"/>
      <c r="C60" s="208"/>
      <c r="D60" s="144"/>
      <c r="E60" s="144"/>
      <c r="F60" s="35"/>
      <c r="G60" s="35"/>
      <c r="H60" s="35"/>
      <c r="I60" s="35"/>
    </row>
    <row r="61" spans="1:9" s="146" customFormat="1" ht="15" customHeight="1" x14ac:dyDescent="0.25">
      <c r="A61" s="191"/>
      <c r="B61" s="28"/>
      <c r="C61" s="33" t="s">
        <v>310</v>
      </c>
      <c r="D61" s="27"/>
      <c r="E61" s="158"/>
      <c r="F61" s="35"/>
      <c r="G61" s="35"/>
      <c r="H61" s="35"/>
      <c r="I61" s="35"/>
    </row>
    <row r="62" spans="1:9" s="146" customFormat="1" ht="6" customHeight="1" x14ac:dyDescent="0.25">
      <c r="A62" s="191"/>
      <c r="B62" s="28"/>
      <c r="C62" s="33"/>
      <c r="D62" s="27"/>
      <c r="E62" s="158"/>
      <c r="F62" s="35"/>
      <c r="G62" s="35"/>
      <c r="H62" s="35"/>
      <c r="I62" s="35"/>
    </row>
    <row r="63" spans="1:9" s="146" customFormat="1" ht="15" customHeight="1" x14ac:dyDescent="0.25">
      <c r="A63" s="191"/>
      <c r="B63" s="28"/>
      <c r="C63" s="159" t="s">
        <v>311</v>
      </c>
      <c r="D63" s="27"/>
      <c r="E63" s="158"/>
      <c r="F63" s="35"/>
      <c r="G63" s="35"/>
      <c r="H63" s="35"/>
      <c r="I63" s="35"/>
    </row>
    <row r="64" spans="1:9" s="146" customFormat="1" ht="6" customHeight="1" x14ac:dyDescent="0.25">
      <c r="A64" s="191"/>
      <c r="B64" s="28"/>
      <c r="C64" s="159"/>
      <c r="D64" s="27"/>
      <c r="E64" s="158"/>
      <c r="F64" s="35"/>
      <c r="G64" s="35"/>
      <c r="H64" s="35"/>
      <c r="I64" s="35"/>
    </row>
    <row r="65" spans="1:9" s="96" customFormat="1" x14ac:dyDescent="0.25">
      <c r="A65" s="191"/>
      <c r="B65" s="28"/>
      <c r="C65" s="157" t="s">
        <v>110</v>
      </c>
      <c r="D65" s="100" t="str">
        <f ca="1">MID(CELL("filename",'DC Calculations'!A8),FIND("]",CELL("filename",'DC Calculations'!A8))+1,255)</f>
        <v>DC Calculations</v>
      </c>
      <c r="E65"/>
      <c r="F65" s="35"/>
      <c r="G65" s="35"/>
      <c r="H65" s="35"/>
      <c r="I65" s="35"/>
    </row>
    <row r="66" spans="1:9" s="96" customFormat="1" x14ac:dyDescent="0.25">
      <c r="A66" s="191"/>
      <c r="B66" s="28"/>
      <c r="C66" s="157" t="s">
        <v>110</v>
      </c>
      <c r="D66" s="100" t="str">
        <f ca="1">MID(CELL("filename",'Summary of result'!A10),FIND("]",CELL("filename",'Summary of result'!A10))+1,255)</f>
        <v>Summary of result</v>
      </c>
      <c r="E66"/>
      <c r="F66" s="35"/>
      <c r="G66" s="35"/>
      <c r="H66" s="35"/>
      <c r="I66" s="35"/>
    </row>
    <row r="67" spans="1:9" s="146" customFormat="1" ht="6" customHeight="1" x14ac:dyDescent="0.25">
      <c r="A67" s="191"/>
      <c r="B67" s="28"/>
      <c r="C67" s="157"/>
      <c r="D67" s="100"/>
      <c r="E67" s="158"/>
      <c r="F67" s="35"/>
      <c r="G67" s="35"/>
      <c r="H67" s="35"/>
      <c r="I67" s="35"/>
    </row>
    <row r="68" spans="1:9" s="102" customFormat="1" x14ac:dyDescent="0.25">
      <c r="A68" s="191"/>
      <c r="B68" s="28"/>
      <c r="C68" s="260" t="s">
        <v>312</v>
      </c>
      <c r="D68" s="262"/>
      <c r="E68" s="261"/>
      <c r="F68" s="35"/>
      <c r="G68" s="35"/>
      <c r="H68" s="35"/>
      <c r="I68" s="35"/>
    </row>
    <row r="69" spans="1:9" s="96" customFormat="1" ht="15" customHeight="1" x14ac:dyDescent="0.25">
      <c r="A69" s="191"/>
      <c r="B69" s="28"/>
      <c r="C69" s="209"/>
      <c r="D69" s="39"/>
      <c r="E69" s="35"/>
      <c r="F69" s="35"/>
      <c r="G69" s="35"/>
      <c r="H69" s="35"/>
      <c r="I69" s="35"/>
    </row>
    <row r="70" spans="1:9" s="146" customFormat="1" ht="15" customHeight="1" x14ac:dyDescent="0.25">
      <c r="A70" s="191"/>
      <c r="B70" s="28"/>
      <c r="C70" s="33" t="s">
        <v>114</v>
      </c>
      <c r="D70" s="39"/>
      <c r="E70" s="35"/>
      <c r="F70" s="35"/>
      <c r="G70" s="35"/>
      <c r="H70" s="35"/>
      <c r="I70" s="35"/>
    </row>
    <row r="71" spans="1:9" s="146" customFormat="1" ht="6" customHeight="1" x14ac:dyDescent="0.25">
      <c r="A71" s="191"/>
      <c r="B71" s="28"/>
      <c r="C71" s="209"/>
      <c r="D71" s="39"/>
      <c r="E71" s="35"/>
      <c r="F71" s="35"/>
      <c r="G71" s="35"/>
      <c r="H71" s="35"/>
      <c r="I71" s="35"/>
    </row>
    <row r="72" spans="1:9" s="146" customFormat="1" ht="15" customHeight="1" x14ac:dyDescent="0.25">
      <c r="A72" s="191"/>
      <c r="B72" s="28"/>
      <c r="C72" s="35" t="s">
        <v>115</v>
      </c>
      <c r="D72" s="39"/>
      <c r="E72" s="35"/>
      <c r="F72" s="35"/>
      <c r="G72" s="35"/>
      <c r="H72" s="35"/>
      <c r="I72" s="35"/>
    </row>
    <row r="73" spans="1:9" s="146" customFormat="1" ht="6" customHeight="1" x14ac:dyDescent="0.25">
      <c r="A73" s="191"/>
      <c r="B73" s="28"/>
      <c r="C73" s="35"/>
      <c r="D73" s="39"/>
      <c r="E73" s="35"/>
      <c r="F73" s="35"/>
      <c r="G73" s="35"/>
      <c r="H73" s="35"/>
      <c r="I73" s="35"/>
    </row>
    <row r="74" spans="1:9" s="96" customFormat="1" ht="15" customHeight="1" x14ac:dyDescent="0.25">
      <c r="A74" s="191"/>
      <c r="B74" s="28"/>
      <c r="C74" s="157" t="s">
        <v>110</v>
      </c>
      <c r="D74" s="100" t="str">
        <f ca="1">MID(CELL("filename",'Asset exclusions'!A14),FIND("]",CELL("filename",'Asset exclusions'!A14))+1,255)</f>
        <v>Asset exclusions</v>
      </c>
      <c r="E74"/>
      <c r="F74" s="35"/>
      <c r="G74" s="35"/>
      <c r="H74" s="35"/>
      <c r="I74" s="35"/>
    </row>
    <row r="75" spans="1:9" s="96" customFormat="1" ht="15" customHeight="1" x14ac:dyDescent="0.25">
      <c r="A75" s="191"/>
      <c r="B75" s="28"/>
      <c r="C75" s="39"/>
      <c r="D75" s="39"/>
      <c r="E75" s="35"/>
      <c r="F75" s="35"/>
      <c r="G75" s="35"/>
      <c r="H75" s="35"/>
      <c r="I75" s="35"/>
    </row>
    <row r="76" spans="1:9" s="161" customFormat="1" ht="15" customHeight="1" x14ac:dyDescent="0.25">
      <c r="A76" s="191"/>
      <c r="B76" s="28"/>
      <c r="C76" s="158" t="s">
        <v>313</v>
      </c>
      <c r="D76" s="39"/>
      <c r="E76" s="35"/>
      <c r="F76" s="35"/>
      <c r="G76" s="35"/>
      <c r="H76" s="35"/>
      <c r="I76" s="35"/>
    </row>
    <row r="77" spans="1:9" s="161" customFormat="1" ht="15" customHeight="1" x14ac:dyDescent="0.25">
      <c r="A77" s="191"/>
      <c r="B77" s="28"/>
      <c r="C77" s="157" t="s">
        <v>110</v>
      </c>
      <c r="D77" s="213" t="s">
        <v>338</v>
      </c>
      <c r="F77" s="35"/>
      <c r="G77" s="35"/>
      <c r="H77" s="35"/>
      <c r="I77" s="35"/>
    </row>
    <row r="78" spans="1:9" s="207" customFormat="1" ht="15" customHeight="1" x14ac:dyDescent="0.25">
      <c r="B78" s="28"/>
      <c r="C78" s="157" t="s">
        <v>110</v>
      </c>
      <c r="D78" s="162" t="s">
        <v>339</v>
      </c>
      <c r="F78" s="35"/>
      <c r="G78" s="35"/>
      <c r="H78" s="35"/>
      <c r="I78" s="35"/>
    </row>
    <row r="79" spans="1:9" s="207" customFormat="1" ht="15" customHeight="1" x14ac:dyDescent="0.25">
      <c r="B79" s="28"/>
      <c r="C79" s="157"/>
      <c r="D79" s="162"/>
      <c r="F79" s="35"/>
      <c r="G79" s="35"/>
      <c r="H79" s="35"/>
      <c r="I79" s="35"/>
    </row>
    <row r="80" spans="1:9" s="207" customFormat="1" ht="15" customHeight="1" x14ac:dyDescent="0.25">
      <c r="B80" s="28"/>
      <c r="C80" s="35" t="s">
        <v>307</v>
      </c>
      <c r="D80" s="162"/>
      <c r="F80" s="35"/>
      <c r="G80" s="35"/>
      <c r="H80" s="35"/>
      <c r="I80" s="35"/>
    </row>
    <row r="81" spans="1:29" ht="15" customHeight="1" x14ac:dyDescent="0.25">
      <c r="B81" s="28"/>
      <c r="C81" s="39"/>
      <c r="D81" s="39"/>
      <c r="E81" s="35"/>
      <c r="F81" s="35"/>
      <c r="G81" s="35"/>
      <c r="H81" s="35"/>
      <c r="I81" s="35"/>
      <c r="J81" s="9"/>
      <c r="K81" s="9"/>
      <c r="L81" s="9"/>
      <c r="M81" s="9"/>
      <c r="N81" s="9"/>
      <c r="O81" s="9"/>
      <c r="P81" s="9"/>
      <c r="Q81" s="9"/>
      <c r="R81" s="9"/>
      <c r="S81" s="9"/>
      <c r="T81" s="9"/>
      <c r="U81" s="9"/>
      <c r="V81" s="9"/>
      <c r="W81" s="9"/>
      <c r="X81" s="9"/>
      <c r="Y81" s="9"/>
      <c r="Z81" s="9"/>
      <c r="AA81" s="9"/>
      <c r="AB81" s="9"/>
      <c r="AC81" s="9"/>
    </row>
    <row r="82" spans="1:29" ht="15" customHeight="1" x14ac:dyDescent="0.3">
      <c r="B82" s="28"/>
      <c r="C82" s="36" t="s">
        <v>17</v>
      </c>
      <c r="D82" s="36"/>
      <c r="E82" s="40"/>
      <c r="F82" s="35"/>
      <c r="G82" s="35"/>
      <c r="H82" s="35"/>
      <c r="I82" s="35"/>
      <c r="J82" s="9"/>
      <c r="K82" s="9"/>
      <c r="L82" s="9"/>
      <c r="M82" s="9"/>
      <c r="N82" s="9"/>
      <c r="O82" s="9"/>
      <c r="P82" s="9"/>
      <c r="Q82" s="9"/>
      <c r="R82" s="9"/>
      <c r="S82" s="9"/>
      <c r="T82" s="9"/>
      <c r="U82" s="9"/>
      <c r="V82" s="9"/>
      <c r="W82" s="9"/>
      <c r="X82" s="9"/>
      <c r="Y82" s="9"/>
      <c r="Z82" s="9"/>
      <c r="AA82" s="9"/>
      <c r="AB82" s="9"/>
      <c r="AC82" s="9"/>
    </row>
    <row r="83" spans="1:29" ht="15" customHeight="1" x14ac:dyDescent="0.25">
      <c r="B83" s="28"/>
      <c r="C83" s="41" t="s">
        <v>18</v>
      </c>
      <c r="D83" s="41"/>
      <c r="E83" s="35"/>
      <c r="F83" s="35"/>
      <c r="G83" s="35"/>
      <c r="H83" s="35"/>
      <c r="I83" s="35"/>
      <c r="J83" s="9"/>
      <c r="K83" s="9"/>
      <c r="L83" s="9"/>
      <c r="M83" s="9"/>
      <c r="N83" s="9"/>
      <c r="O83" s="9"/>
      <c r="P83" s="9"/>
      <c r="Q83" s="9"/>
      <c r="R83" s="9"/>
      <c r="S83" s="9"/>
      <c r="T83" s="9"/>
      <c r="U83" s="9"/>
      <c r="V83" s="9"/>
      <c r="W83" s="9"/>
      <c r="X83" s="9"/>
      <c r="Y83" s="9"/>
      <c r="Z83" s="9"/>
      <c r="AA83" s="9"/>
      <c r="AB83" s="9"/>
      <c r="AC83" s="9"/>
    </row>
    <row r="84" spans="1:29" ht="15" customHeight="1" x14ac:dyDescent="0.25">
      <c r="B84" s="28"/>
      <c r="C84" s="42" t="s">
        <v>19</v>
      </c>
      <c r="D84" s="42"/>
      <c r="E84" s="42"/>
      <c r="F84" s="35"/>
      <c r="G84" s="35"/>
      <c r="H84" s="35"/>
      <c r="I84" s="35"/>
      <c r="J84" s="9"/>
      <c r="K84" s="9"/>
      <c r="L84" s="9"/>
      <c r="M84" s="9"/>
      <c r="N84" s="9"/>
      <c r="O84" s="9"/>
      <c r="P84" s="9"/>
      <c r="Q84" s="9"/>
      <c r="R84" s="9"/>
      <c r="S84" s="9"/>
      <c r="T84" s="9"/>
      <c r="U84" s="9"/>
      <c r="V84" s="9"/>
      <c r="W84" s="9"/>
      <c r="X84" s="9"/>
      <c r="Y84" s="9"/>
      <c r="Z84" s="9"/>
      <c r="AA84" s="9"/>
      <c r="AB84" s="9"/>
      <c r="AC84" s="9"/>
    </row>
    <row r="85" spans="1:29" ht="15" customHeight="1" x14ac:dyDescent="0.25">
      <c r="B85" s="28"/>
      <c r="C85" s="4" t="s">
        <v>20</v>
      </c>
      <c r="D85" s="43"/>
      <c r="E85" s="43"/>
      <c r="F85" s="35"/>
      <c r="G85" s="35"/>
      <c r="H85" s="35"/>
      <c r="I85" s="35"/>
      <c r="J85" s="9"/>
      <c r="K85" s="9"/>
      <c r="L85" s="9"/>
      <c r="M85" s="9"/>
      <c r="N85" s="9"/>
      <c r="O85" s="9"/>
      <c r="P85" s="9"/>
      <c r="Q85" s="9"/>
      <c r="R85" s="9"/>
      <c r="S85" s="9"/>
      <c r="T85" s="9"/>
      <c r="U85" s="9"/>
      <c r="V85" s="9"/>
      <c r="W85" s="9"/>
      <c r="X85" s="9"/>
      <c r="Y85" s="9"/>
      <c r="Z85" s="9"/>
      <c r="AA85" s="9"/>
      <c r="AB85" s="9"/>
      <c r="AC85" s="9"/>
    </row>
    <row r="86" spans="1:29" ht="15" customHeight="1" x14ac:dyDescent="0.3">
      <c r="B86" s="28"/>
      <c r="C86" s="6"/>
      <c r="D86" s="6"/>
      <c r="E86" s="6" t="s">
        <v>21</v>
      </c>
      <c r="F86" s="35"/>
      <c r="G86" s="35"/>
      <c r="H86" s="35"/>
      <c r="I86" s="35"/>
      <c r="J86" s="9"/>
      <c r="K86" s="9"/>
      <c r="L86" s="9"/>
      <c r="M86" s="9"/>
      <c r="N86" s="9"/>
      <c r="O86" s="9"/>
      <c r="P86" s="9"/>
      <c r="Q86" s="9"/>
      <c r="R86" s="9"/>
      <c r="S86" s="9"/>
      <c r="T86" s="9"/>
      <c r="U86" s="9"/>
      <c r="V86" s="9"/>
      <c r="W86" s="9"/>
      <c r="X86" s="9"/>
      <c r="Y86" s="9"/>
      <c r="Z86" s="9"/>
      <c r="AA86" s="9"/>
      <c r="AB86" s="9"/>
      <c r="AC86" s="9"/>
    </row>
    <row r="87" spans="1:29" s="139" customFormat="1" ht="15" customHeight="1" x14ac:dyDescent="0.25">
      <c r="A87" s="191"/>
      <c r="B87" s="28"/>
      <c r="C87" s="142" t="s">
        <v>106</v>
      </c>
      <c r="D87" s="143"/>
      <c r="E87" s="143"/>
      <c r="F87" s="35"/>
      <c r="G87" s="35"/>
      <c r="H87" s="35"/>
      <c r="I87" s="35"/>
    </row>
    <row r="88" spans="1:29" ht="15" customHeight="1" x14ac:dyDescent="0.25">
      <c r="B88" s="28"/>
      <c r="C88" s="44" t="s">
        <v>22</v>
      </c>
      <c r="D88" s="44"/>
      <c r="E88" s="44"/>
      <c r="F88" s="35"/>
      <c r="G88" s="35"/>
      <c r="H88" s="35"/>
      <c r="I88" s="35"/>
      <c r="J88" s="9"/>
      <c r="K88" s="9"/>
      <c r="L88" s="9"/>
      <c r="M88" s="9"/>
      <c r="N88" s="9"/>
      <c r="O88" s="9"/>
      <c r="P88" s="9"/>
      <c r="Q88" s="9"/>
      <c r="R88" s="9"/>
      <c r="S88" s="9"/>
      <c r="T88" s="9"/>
      <c r="U88" s="9"/>
      <c r="V88" s="9"/>
      <c r="W88" s="9"/>
      <c r="X88" s="9"/>
      <c r="Y88" s="9"/>
      <c r="Z88" s="9"/>
      <c r="AA88" s="9"/>
      <c r="AB88" s="9"/>
      <c r="AC88" s="9"/>
    </row>
    <row r="89" spans="1:29" ht="15" customHeight="1" x14ac:dyDescent="0.25">
      <c r="B89" s="28"/>
      <c r="C89" s="45" t="s">
        <v>0</v>
      </c>
      <c r="D89" s="45"/>
      <c r="E89" s="45"/>
      <c r="F89" s="35"/>
      <c r="G89" s="35"/>
      <c r="H89" s="35"/>
      <c r="I89" s="35"/>
      <c r="J89" s="9"/>
      <c r="K89" s="9"/>
      <c r="L89" s="9"/>
      <c r="M89" s="9"/>
      <c r="N89" s="9"/>
      <c r="O89" s="9"/>
      <c r="P89" s="9"/>
      <c r="Q89" s="9"/>
      <c r="R89" s="9"/>
      <c r="S89" s="9"/>
      <c r="T89" s="9"/>
      <c r="U89" s="9"/>
      <c r="V89" s="9"/>
      <c r="W89" s="9"/>
      <c r="X89" s="9"/>
      <c r="Y89" s="9"/>
      <c r="Z89" s="9"/>
      <c r="AA89" s="9"/>
      <c r="AB89" s="9"/>
      <c r="AC89" s="9"/>
    </row>
    <row r="90" spans="1:29" ht="15" customHeight="1" x14ac:dyDescent="0.25">
      <c r="B90" s="28"/>
      <c r="C90" s="46" t="s">
        <v>23</v>
      </c>
      <c r="D90" s="46"/>
      <c r="E90" s="47"/>
      <c r="F90" s="35"/>
      <c r="G90" s="35"/>
      <c r="H90" s="35"/>
      <c r="I90" s="35"/>
      <c r="J90" s="9"/>
      <c r="K90" s="9"/>
      <c r="L90" s="9"/>
      <c r="M90" s="9"/>
      <c r="N90" s="9"/>
      <c r="O90" s="9"/>
      <c r="P90" s="9"/>
      <c r="Q90" s="9"/>
      <c r="R90" s="9"/>
      <c r="S90" s="9"/>
      <c r="T90" s="9"/>
      <c r="U90" s="9"/>
      <c r="V90" s="9"/>
      <c r="W90" s="9"/>
      <c r="X90" s="9"/>
      <c r="Y90" s="9"/>
      <c r="Z90" s="9"/>
      <c r="AA90" s="9"/>
      <c r="AB90" s="9"/>
      <c r="AC90" s="9"/>
    </row>
    <row r="91" spans="1:29" ht="15" customHeight="1" x14ac:dyDescent="0.25">
      <c r="B91" s="28"/>
      <c r="C91" s="48" t="s">
        <v>24</v>
      </c>
      <c r="D91" s="48"/>
      <c r="E91" s="49"/>
      <c r="F91" s="35"/>
      <c r="G91" s="35"/>
      <c r="H91" s="35"/>
      <c r="I91" s="35"/>
      <c r="J91" s="9"/>
      <c r="K91" s="9"/>
      <c r="L91" s="9"/>
      <c r="M91" s="9"/>
      <c r="N91" s="9"/>
      <c r="O91" s="9"/>
      <c r="P91" s="9"/>
      <c r="Q91" s="9"/>
      <c r="R91" s="9"/>
      <c r="S91" s="9"/>
      <c r="T91" s="9"/>
      <c r="U91" s="9"/>
      <c r="V91" s="9"/>
      <c r="W91" s="9"/>
      <c r="X91" s="9"/>
      <c r="Y91" s="9"/>
      <c r="Z91" s="9"/>
      <c r="AA91" s="9"/>
      <c r="AB91" s="9"/>
      <c r="AC91" s="9"/>
    </row>
    <row r="92" spans="1:29" ht="15" customHeight="1" x14ac:dyDescent="0.25">
      <c r="B92" s="28"/>
      <c r="C92" s="50" t="s">
        <v>86</v>
      </c>
      <c r="D92" s="51"/>
      <c r="E92" s="51"/>
      <c r="F92" s="35"/>
      <c r="G92" s="35"/>
      <c r="H92" s="35"/>
      <c r="I92" s="35"/>
      <c r="J92" s="9"/>
      <c r="K92" s="9"/>
      <c r="L92" s="9"/>
      <c r="M92" s="9"/>
      <c r="N92" s="9"/>
      <c r="O92" s="9"/>
      <c r="P92" s="9"/>
      <c r="Q92" s="9"/>
      <c r="R92" s="9"/>
      <c r="S92" s="9"/>
      <c r="T92" s="9"/>
      <c r="U92" s="9"/>
      <c r="V92" s="9"/>
      <c r="W92" s="9"/>
      <c r="X92" s="9"/>
      <c r="Y92" s="9"/>
      <c r="Z92" s="9"/>
      <c r="AA92" s="9"/>
      <c r="AB92" s="9"/>
      <c r="AC92" s="9"/>
    </row>
    <row r="93" spans="1:29" ht="15" customHeight="1" x14ac:dyDescent="0.25">
      <c r="B93" s="28"/>
      <c r="C93" s="39"/>
      <c r="D93" s="39"/>
      <c r="E93" s="35"/>
      <c r="F93" s="35"/>
      <c r="G93" s="35"/>
      <c r="H93" s="35"/>
      <c r="I93" s="35"/>
      <c r="J93" s="9"/>
      <c r="K93" s="9"/>
      <c r="L93" s="9"/>
      <c r="M93" s="9"/>
      <c r="N93" s="9"/>
      <c r="O93" s="9"/>
      <c r="P93" s="9"/>
      <c r="Q93" s="9"/>
      <c r="R93" s="9"/>
      <c r="S93" s="9"/>
      <c r="T93" s="9"/>
      <c r="U93" s="9"/>
      <c r="V93" s="9"/>
      <c r="W93" s="9"/>
      <c r="X93" s="9"/>
      <c r="Y93" s="9"/>
      <c r="Z93" s="9"/>
      <c r="AA93" s="9"/>
      <c r="AB93" s="9"/>
      <c r="AC93" s="9"/>
    </row>
    <row r="94" spans="1:29" x14ac:dyDescent="0.25">
      <c r="B94" s="28"/>
      <c r="C94" s="39"/>
      <c r="D94" s="39"/>
      <c r="E94" s="35"/>
      <c r="F94" s="35"/>
      <c r="G94" s="35"/>
      <c r="H94" s="35"/>
      <c r="I94" s="35"/>
      <c r="J94" s="9"/>
      <c r="K94" s="9"/>
      <c r="L94" s="9"/>
      <c r="M94" s="9"/>
      <c r="N94" s="9"/>
      <c r="O94" s="9"/>
      <c r="P94" s="9"/>
      <c r="Q94" s="9"/>
      <c r="R94" s="9"/>
      <c r="S94" s="9"/>
      <c r="T94" s="9"/>
      <c r="U94" s="9"/>
      <c r="V94" s="9"/>
      <c r="W94" s="9"/>
      <c r="X94" s="9"/>
      <c r="Y94" s="9"/>
      <c r="Z94" s="9"/>
      <c r="AA94" s="9"/>
      <c r="AB94" s="9"/>
      <c r="AC94" s="9"/>
    </row>
    <row r="98" spans="2:29" x14ac:dyDescent="0.25">
      <c r="B98" s="28"/>
      <c r="C98" s="29"/>
      <c r="D98" s="29"/>
      <c r="E98" s="29"/>
      <c r="J98" s="9"/>
      <c r="K98" s="9"/>
      <c r="L98" s="9"/>
      <c r="M98" s="9"/>
      <c r="N98" s="9"/>
      <c r="O98" s="9"/>
      <c r="P98" s="9"/>
      <c r="Q98" s="9"/>
      <c r="R98" s="9"/>
      <c r="S98" s="9"/>
      <c r="T98" s="9"/>
      <c r="U98" s="9"/>
      <c r="V98" s="9"/>
      <c r="W98" s="9"/>
      <c r="X98" s="9"/>
      <c r="Y98" s="9"/>
      <c r="Z98" s="9"/>
      <c r="AA98" s="9"/>
      <c r="AB98" s="9"/>
      <c r="AC98" s="9"/>
    </row>
    <row r="99" spans="2:29" x14ac:dyDescent="0.25">
      <c r="C99" s="26"/>
      <c r="D99" s="26"/>
      <c r="E99" s="26"/>
      <c r="J99" s="9"/>
      <c r="K99" s="9"/>
      <c r="L99" s="9"/>
      <c r="M99" s="9"/>
      <c r="N99" s="9"/>
      <c r="O99" s="9"/>
      <c r="P99" s="9"/>
      <c r="Q99" s="9"/>
      <c r="R99" s="9"/>
      <c r="S99" s="9"/>
      <c r="T99" s="9"/>
      <c r="U99" s="9"/>
      <c r="V99" s="9"/>
      <c r="W99" s="9"/>
      <c r="X99" s="9"/>
      <c r="Y99" s="9"/>
      <c r="Z99" s="9"/>
      <c r="AA99" s="9"/>
      <c r="AB99" s="9"/>
      <c r="AC99" s="9"/>
    </row>
    <row r="100" spans="2:29" x14ac:dyDescent="0.25">
      <c r="C100" s="26"/>
      <c r="D100" s="26"/>
      <c r="E100" s="26"/>
      <c r="J100" s="9"/>
      <c r="K100" s="9"/>
      <c r="L100" s="9"/>
      <c r="M100" s="9"/>
      <c r="N100" s="9"/>
      <c r="O100" s="9"/>
      <c r="P100" s="9"/>
      <c r="Q100" s="9"/>
      <c r="R100" s="9"/>
      <c r="S100" s="9"/>
      <c r="T100" s="9"/>
      <c r="U100" s="9"/>
      <c r="V100" s="9"/>
      <c r="W100" s="9"/>
      <c r="X100" s="9"/>
      <c r="Y100" s="9"/>
      <c r="Z100" s="9"/>
      <c r="AA100" s="9"/>
      <c r="AB100" s="9"/>
      <c r="AC100" s="9"/>
    </row>
    <row r="101" spans="2:29" x14ac:dyDescent="0.25">
      <c r="C101" s="26"/>
      <c r="D101" s="26"/>
      <c r="E101" s="26"/>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2:29" x14ac:dyDescent="0.25">
      <c r="C102" s="26"/>
      <c r="D102" s="26"/>
      <c r="E102" s="26"/>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2:29" x14ac:dyDescent="0.25">
      <c r="C103" s="26"/>
      <c r="D103" s="26"/>
      <c r="E103" s="26"/>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2:29" x14ac:dyDescent="0.25">
      <c r="C104" s="26"/>
      <c r="D104" s="26"/>
      <c r="E104" s="26"/>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2:29" x14ac:dyDescent="0.25">
      <c r="C105" s="26"/>
      <c r="D105" s="26"/>
      <c r="E105" s="26"/>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2:29" x14ac:dyDescent="0.25">
      <c r="C106" s="26"/>
      <c r="D106" s="26"/>
      <c r="E106" s="26"/>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2:29" x14ac:dyDescent="0.25">
      <c r="C107" s="26"/>
      <c r="D107" s="26"/>
      <c r="E107" s="26"/>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2:29" x14ac:dyDescent="0.25">
      <c r="C108" s="26"/>
      <c r="D108" s="26"/>
      <c r="E108" s="26"/>
      <c r="F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2:29" x14ac:dyDescent="0.25">
      <c r="C109" s="26"/>
      <c r="D109" s="26"/>
      <c r="E109" s="26"/>
      <c r="F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2:29" x14ac:dyDescent="0.25">
      <c r="C110" s="26"/>
      <c r="D110" s="26"/>
      <c r="E110" s="26"/>
      <c r="F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2:29" x14ac:dyDescent="0.25">
      <c r="C111" s="26"/>
      <c r="D111" s="26"/>
      <c r="E111" s="26"/>
      <c r="F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2:29" x14ac:dyDescent="0.25">
      <c r="C112" s="26"/>
      <c r="D112" s="26"/>
      <c r="E112" s="26"/>
      <c r="F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3:29" x14ac:dyDescent="0.25">
      <c r="C113" s="26"/>
      <c r="D113" s="26"/>
      <c r="E113" s="26"/>
      <c r="F113" s="9"/>
      <c r="G113" s="9"/>
      <c r="H113" s="9"/>
      <c r="I113" s="9"/>
      <c r="J113" s="9"/>
      <c r="K113" s="9"/>
      <c r="L113" s="9"/>
      <c r="M113" s="9"/>
      <c r="N113" s="9"/>
      <c r="O113" s="9"/>
      <c r="P113" s="9"/>
      <c r="Q113" s="9"/>
      <c r="R113" s="9"/>
      <c r="S113" s="9"/>
      <c r="T113" s="9"/>
      <c r="U113" s="9"/>
      <c r="V113" s="9"/>
      <c r="W113" s="9"/>
      <c r="X113" s="9"/>
      <c r="Y113" s="9"/>
      <c r="Z113" s="9"/>
      <c r="AA113" s="9"/>
      <c r="AB113" s="9"/>
      <c r="AC113" s="9"/>
    </row>
    <row r="114" spans="3:29" x14ac:dyDescent="0.25">
      <c r="C114" s="26"/>
      <c r="D114" s="26"/>
      <c r="E114" s="26"/>
      <c r="F114" s="9"/>
      <c r="G114" s="9"/>
      <c r="H114" s="9"/>
      <c r="I114" s="9"/>
      <c r="J114" s="9"/>
      <c r="K114" s="9"/>
      <c r="L114" s="9"/>
      <c r="M114" s="9"/>
      <c r="N114" s="9"/>
      <c r="O114" s="9"/>
      <c r="P114" s="9"/>
      <c r="Q114" s="9"/>
      <c r="R114" s="9"/>
      <c r="S114" s="9"/>
      <c r="T114" s="9"/>
      <c r="U114" s="9"/>
      <c r="V114" s="9"/>
      <c r="W114" s="9"/>
      <c r="X114" s="9"/>
      <c r="Y114" s="9"/>
      <c r="Z114" s="9"/>
      <c r="AA114" s="9"/>
      <c r="AB114" s="9"/>
      <c r="AC114" s="9"/>
    </row>
    <row r="115" spans="3:29" x14ac:dyDescent="0.25">
      <c r="C115" s="26"/>
      <c r="D115" s="26"/>
      <c r="E115" s="26"/>
      <c r="F115" s="9"/>
      <c r="G115" s="9"/>
      <c r="H115" s="9"/>
      <c r="I115" s="9"/>
      <c r="J115" s="9"/>
      <c r="K115" s="9"/>
      <c r="L115" s="9"/>
      <c r="M115" s="9"/>
      <c r="N115" s="9"/>
      <c r="O115" s="9"/>
      <c r="P115" s="9"/>
      <c r="Q115" s="9"/>
      <c r="R115" s="9"/>
      <c r="S115" s="9"/>
      <c r="T115" s="9"/>
      <c r="U115" s="9"/>
      <c r="V115" s="9"/>
      <c r="W115" s="9"/>
      <c r="X115" s="9"/>
      <c r="Y115" s="9"/>
      <c r="Z115" s="9"/>
      <c r="AA115" s="9"/>
      <c r="AB115" s="9"/>
      <c r="AC115" s="9"/>
    </row>
    <row r="116" spans="3:29" x14ac:dyDescent="0.25">
      <c r="C116" s="26"/>
      <c r="D116" s="26"/>
      <c r="E116" s="26"/>
      <c r="F116" s="9"/>
      <c r="G116" s="9"/>
      <c r="H116" s="9"/>
      <c r="I116" s="9"/>
      <c r="J116" s="9"/>
      <c r="K116" s="9"/>
      <c r="L116" s="9"/>
      <c r="M116" s="9"/>
      <c r="N116" s="9"/>
      <c r="O116" s="9"/>
      <c r="P116" s="9"/>
      <c r="Q116" s="9"/>
      <c r="R116" s="9"/>
      <c r="S116" s="9"/>
      <c r="T116" s="9"/>
      <c r="U116" s="9"/>
      <c r="V116" s="9"/>
      <c r="W116" s="9"/>
      <c r="X116" s="9"/>
      <c r="Y116" s="9"/>
      <c r="Z116" s="9"/>
      <c r="AA116" s="9"/>
      <c r="AB116" s="9"/>
      <c r="AC116" s="9"/>
    </row>
    <row r="117" spans="3:29" x14ac:dyDescent="0.25">
      <c r="C117" s="26"/>
      <c r="D117" s="26"/>
      <c r="E117" s="26"/>
      <c r="F117" s="9"/>
      <c r="G117" s="9"/>
      <c r="H117" s="9"/>
      <c r="I117" s="9"/>
      <c r="J117" s="9"/>
      <c r="K117" s="9"/>
      <c r="L117" s="9"/>
      <c r="M117" s="9"/>
      <c r="N117" s="9"/>
      <c r="O117" s="9"/>
      <c r="P117" s="9"/>
      <c r="Q117" s="9"/>
      <c r="R117" s="9"/>
      <c r="S117" s="9"/>
      <c r="T117" s="9"/>
      <c r="U117" s="9"/>
      <c r="V117" s="9"/>
      <c r="W117" s="9"/>
      <c r="X117" s="9"/>
      <c r="Y117" s="9"/>
      <c r="Z117" s="9"/>
      <c r="AA117" s="9"/>
      <c r="AB117" s="9"/>
      <c r="AC117" s="9"/>
    </row>
    <row r="118" spans="3:29" x14ac:dyDescent="0.25">
      <c r="C118" s="26"/>
      <c r="D118" s="26"/>
      <c r="E118" s="26"/>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3:29" x14ac:dyDescent="0.25">
      <c r="C119" s="26"/>
      <c r="D119" s="26"/>
      <c r="E119" s="26"/>
      <c r="F119" s="9"/>
      <c r="G119" s="9"/>
      <c r="H119" s="9"/>
      <c r="I119" s="9"/>
      <c r="J119" s="9"/>
      <c r="K119" s="9"/>
      <c r="L119" s="9"/>
      <c r="M119" s="9"/>
      <c r="N119" s="9"/>
      <c r="O119" s="9"/>
      <c r="P119" s="9"/>
      <c r="Q119" s="9"/>
      <c r="R119" s="9"/>
      <c r="S119" s="9"/>
      <c r="T119" s="9"/>
      <c r="U119" s="9"/>
      <c r="V119" s="9"/>
      <c r="W119" s="9"/>
      <c r="X119" s="9"/>
      <c r="Y119" s="9"/>
      <c r="Z119" s="9"/>
      <c r="AA119" s="9"/>
      <c r="AB119" s="9"/>
      <c r="AC119" s="9"/>
    </row>
    <row r="120" spans="3:29" x14ac:dyDescent="0.25">
      <c r="C120" s="26"/>
      <c r="D120" s="26"/>
      <c r="E120" s="26"/>
      <c r="F120" s="9"/>
      <c r="G120" s="9"/>
      <c r="H120" s="9"/>
      <c r="I120" s="9"/>
      <c r="J120" s="9"/>
      <c r="K120" s="9"/>
      <c r="L120" s="9"/>
      <c r="M120" s="9"/>
      <c r="N120" s="9"/>
      <c r="O120" s="9"/>
      <c r="P120" s="9"/>
      <c r="Q120" s="9"/>
      <c r="R120" s="9"/>
      <c r="S120" s="9"/>
      <c r="T120" s="9"/>
      <c r="U120" s="9"/>
      <c r="V120" s="9"/>
      <c r="W120" s="9"/>
      <c r="X120" s="9"/>
      <c r="Y120" s="9"/>
      <c r="Z120" s="9"/>
      <c r="AA120" s="9"/>
      <c r="AB120" s="9"/>
      <c r="AC120" s="9"/>
    </row>
    <row r="121" spans="3:29" x14ac:dyDescent="0.25">
      <c r="C121" s="26"/>
      <c r="D121" s="26"/>
      <c r="E121" s="26"/>
      <c r="F121" s="9"/>
      <c r="G121" s="9"/>
      <c r="H121" s="9"/>
      <c r="I121" s="9"/>
      <c r="J121" s="9"/>
      <c r="K121" s="9"/>
      <c r="L121" s="9"/>
      <c r="M121" s="9"/>
      <c r="N121" s="9"/>
      <c r="O121" s="9"/>
      <c r="P121" s="9"/>
      <c r="Q121" s="9"/>
      <c r="R121" s="9"/>
      <c r="S121" s="9"/>
      <c r="T121" s="9"/>
      <c r="U121" s="9"/>
      <c r="V121" s="9"/>
      <c r="W121" s="9"/>
      <c r="X121" s="9"/>
      <c r="Y121" s="9"/>
      <c r="Z121" s="9"/>
      <c r="AA121" s="9"/>
      <c r="AB121" s="9"/>
      <c r="AC121" s="9"/>
    </row>
    <row r="122" spans="3:29" x14ac:dyDescent="0.25">
      <c r="C122" s="26"/>
      <c r="D122" s="26"/>
      <c r="E122" s="26"/>
      <c r="F122" s="9"/>
      <c r="G122" s="9"/>
      <c r="H122" s="9"/>
      <c r="I122" s="9"/>
      <c r="J122" s="9"/>
      <c r="K122" s="9"/>
      <c r="L122" s="9"/>
      <c r="M122" s="9"/>
      <c r="N122" s="9"/>
      <c r="O122" s="9"/>
      <c r="P122" s="9"/>
      <c r="Q122" s="9"/>
      <c r="R122" s="9"/>
      <c r="S122" s="9"/>
      <c r="T122" s="9"/>
      <c r="U122" s="9"/>
      <c r="V122" s="9"/>
      <c r="W122" s="9"/>
      <c r="X122" s="9"/>
      <c r="Y122" s="9"/>
      <c r="Z122" s="9"/>
      <c r="AA122" s="9"/>
      <c r="AB122" s="9"/>
      <c r="AC122" s="9"/>
    </row>
    <row r="123" spans="3:29" x14ac:dyDescent="0.25">
      <c r="C123" s="26"/>
      <c r="D123" s="26"/>
      <c r="E123" s="26"/>
      <c r="F123" s="9"/>
      <c r="G123" s="9"/>
      <c r="H123" s="9"/>
      <c r="I123" s="9"/>
      <c r="J123" s="9"/>
      <c r="K123" s="9"/>
      <c r="L123" s="9"/>
      <c r="M123" s="9"/>
      <c r="N123" s="9"/>
      <c r="O123" s="9"/>
      <c r="P123" s="9"/>
      <c r="Q123" s="9"/>
      <c r="R123" s="9"/>
      <c r="S123" s="9"/>
      <c r="T123" s="9"/>
      <c r="U123" s="9"/>
      <c r="V123" s="9"/>
      <c r="W123" s="9"/>
      <c r="X123" s="9"/>
      <c r="Y123" s="9"/>
      <c r="Z123" s="9"/>
      <c r="AA123" s="9"/>
      <c r="AB123" s="9"/>
      <c r="AC123" s="9"/>
    </row>
    <row r="124" spans="3:29" x14ac:dyDescent="0.25">
      <c r="C124" s="26"/>
      <c r="D124" s="26"/>
      <c r="E124" s="26"/>
      <c r="F124" s="9"/>
      <c r="G124" s="9"/>
      <c r="H124" s="9"/>
      <c r="I124" s="9"/>
      <c r="J124" s="9"/>
      <c r="K124" s="9"/>
      <c r="L124" s="9"/>
      <c r="M124" s="9"/>
      <c r="N124" s="9"/>
      <c r="O124" s="9"/>
      <c r="P124" s="9"/>
      <c r="Q124" s="9"/>
      <c r="R124" s="9"/>
      <c r="S124" s="9"/>
      <c r="T124" s="9"/>
      <c r="U124" s="9"/>
      <c r="V124" s="9"/>
      <c r="W124" s="9"/>
      <c r="X124" s="9"/>
      <c r="Y124" s="9"/>
      <c r="Z124" s="9"/>
      <c r="AA124" s="9"/>
      <c r="AB124" s="9"/>
      <c r="AC124" s="9"/>
    </row>
    <row r="125" spans="3:29" x14ac:dyDescent="0.25">
      <c r="C125" s="26"/>
      <c r="D125" s="26"/>
      <c r="E125" s="26"/>
      <c r="F125" s="9"/>
      <c r="G125" s="9"/>
      <c r="H125" s="9"/>
      <c r="I125" s="9"/>
      <c r="J125" s="9"/>
      <c r="K125" s="9"/>
      <c r="L125" s="9"/>
      <c r="M125" s="9"/>
      <c r="N125" s="9"/>
      <c r="O125" s="9"/>
      <c r="P125" s="9"/>
      <c r="Q125" s="9"/>
      <c r="R125" s="9"/>
      <c r="S125" s="9"/>
      <c r="T125" s="9"/>
      <c r="U125" s="9"/>
      <c r="V125" s="9"/>
      <c r="W125" s="9"/>
      <c r="X125" s="9"/>
      <c r="Y125" s="9"/>
      <c r="Z125" s="9"/>
      <c r="AA125" s="9"/>
      <c r="AB125" s="9"/>
      <c r="AC125" s="9"/>
    </row>
  </sheetData>
  <mergeCells count="12">
    <mergeCell ref="C12:E12"/>
    <mergeCell ref="C68:E68"/>
    <mergeCell ref="C16:E16"/>
    <mergeCell ref="C22:E22"/>
    <mergeCell ref="C18:E18"/>
    <mergeCell ref="C31:E31"/>
    <mergeCell ref="C35:E35"/>
    <mergeCell ref="C41:E41"/>
    <mergeCell ref="C45:E45"/>
    <mergeCell ref="C47:E47"/>
    <mergeCell ref="C53:E53"/>
    <mergeCell ref="C57:E57"/>
  </mergeCells>
  <hyperlinks>
    <hyperlink ref="E6" r:id="rId1"/>
    <hyperlink ref="D77" r:id="rId2" display="IPART - Maximum prices for connecting to a recycled water system - July 2019"/>
    <hyperlink ref="D78" r:id="rId3" display="IPART - Developer charges and backlog sewerage charges for metropolitan water agencies 2017"/>
  </hyperlinks>
  <pageMargins left="0.7" right="0.7" top="0.75" bottom="0.75" header="0.3" footer="0.3"/>
  <pageSetup paperSize="9" scale="94" orientation="landscape" horizontalDpi="200" verticalDpi="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3:U29"/>
  <sheetViews>
    <sheetView showGridLines="0" zoomScaleNormal="100" workbookViewId="0"/>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3" ht="20" x14ac:dyDescent="0.4">
      <c r="C3" s="190" t="s">
        <v>314</v>
      </c>
    </row>
    <row r="6" spans="1:13" x14ac:dyDescent="0.25">
      <c r="D6" s="210" t="str">
        <f>"The incremental developer charge for the recycled water scheme '"&amp;'General inputs'!H7&amp;"' is:"</f>
        <v>The incremental developer charge for the recycled water scheme 'Scheme name' is:</v>
      </c>
      <c r="J6" s="214">
        <f ca="1">G18</f>
        <v>14425.873373728127</v>
      </c>
      <c r="K6" t="str">
        <f>"per ET ($"&amp;'General inputs'!$I$30&amp;")."</f>
        <v>per ET ($2019-20).</v>
      </c>
    </row>
    <row r="8" spans="1:13" x14ac:dyDescent="0.25">
      <c r="A8" s="140"/>
      <c r="B8" s="140"/>
      <c r="C8" s="2"/>
      <c r="D8" s="141" t="s">
        <v>107</v>
      </c>
      <c r="E8" s="2"/>
      <c r="F8" s="2"/>
      <c r="G8" s="2"/>
      <c r="H8" s="2"/>
      <c r="J8" s="215">
        <f ca="1">IF($J$6&lt;=0,0,IF('General inputs'!$H$32='General inputs'!$L$12,'DC Calculations'!H21,IF('General inputs'!$H$32='General inputs'!$L$13,'DC Calculations'!H21*1000,'DC Calculations'!H21*1000000)))</f>
        <v>0</v>
      </c>
      <c r="K8" s="2" t="s">
        <v>94</v>
      </c>
    </row>
    <row r="9" spans="1:13" x14ac:dyDescent="0.25">
      <c r="A9" s="140"/>
      <c r="B9" s="140"/>
      <c r="C9" s="2"/>
      <c r="D9" s="141"/>
      <c r="E9" s="2"/>
      <c r="F9" s="2"/>
      <c r="G9" s="2"/>
      <c r="H9" s="2"/>
      <c r="J9" s="215">
        <f>G24</f>
        <v>0</v>
      </c>
      <c r="K9" s="2" t="s">
        <v>280</v>
      </c>
    </row>
    <row r="11" spans="1:13" x14ac:dyDescent="0.25">
      <c r="G11" s="2"/>
    </row>
    <row r="12" spans="1:13" x14ac:dyDescent="0.25">
      <c r="D12" s="141" t="s">
        <v>315</v>
      </c>
      <c r="G12" s="2"/>
    </row>
    <row r="13" spans="1:13" x14ac:dyDescent="0.25">
      <c r="G13" s="2"/>
    </row>
    <row r="14" spans="1:13" x14ac:dyDescent="0.25">
      <c r="G14" s="2"/>
    </row>
    <row r="16" spans="1:13" x14ac:dyDescent="0.25">
      <c r="D16" s="104" t="str">
        <f>"in $, $"&amp;'General inputs'!$I$30&amp;", where:"</f>
        <v>in $, $2019-20, where:</v>
      </c>
      <c r="E16" s="104"/>
      <c r="F16" s="104"/>
      <c r="G16" s="104"/>
      <c r="H16" s="104"/>
      <c r="I16" s="104"/>
      <c r="J16" s="104"/>
      <c r="K16" s="104"/>
      <c r="L16" s="104"/>
      <c r="M16" s="104"/>
    </row>
    <row r="17" spans="4:21" ht="15.5" x14ac:dyDescent="0.35">
      <c r="D17" s="104"/>
      <c r="E17" s="104"/>
      <c r="F17" s="104"/>
      <c r="G17" s="216"/>
      <c r="H17" s="104"/>
      <c r="I17" s="104"/>
      <c r="J17" s="104"/>
      <c r="K17" s="104"/>
      <c r="L17" s="104"/>
      <c r="M17" s="104"/>
    </row>
    <row r="18" spans="4:21" ht="13.5" x14ac:dyDescent="0.35">
      <c r="E18" t="s">
        <v>289</v>
      </c>
      <c r="F18" s="64" t="s">
        <v>74</v>
      </c>
      <c r="G18" s="217">
        <f ca="1">IF('General inputs'!$H$32='General inputs'!$L$12,'DC Calculations'!C21,IF('General inputs'!$H$32='General inputs'!$L$13,'DC Calculations'!C21*1000,'DC Calculations'!C21*1000000))</f>
        <v>14425.873373728127</v>
      </c>
      <c r="H18" s="64" t="s">
        <v>74</v>
      </c>
      <c r="I18" s="194" t="s">
        <v>316</v>
      </c>
      <c r="K18" s="2"/>
      <c r="L18" s="2"/>
      <c r="M18" s="2"/>
      <c r="N18" s="2"/>
      <c r="O18" s="2"/>
      <c r="P18" s="2"/>
      <c r="Q18" s="2"/>
      <c r="R18" s="2"/>
      <c r="S18" s="2"/>
      <c r="T18" s="2"/>
      <c r="U18" s="2"/>
    </row>
    <row r="19" spans="4:21" x14ac:dyDescent="0.25">
      <c r="E19" t="s">
        <v>165</v>
      </c>
      <c r="F19" s="64" t="s">
        <v>74</v>
      </c>
      <c r="G19" s="217">
        <f ca="1">SUM('DC Calculations'!K28,'DC Calculations'!M28)</f>
        <v>27246.484133469494</v>
      </c>
      <c r="H19" s="64" t="s">
        <v>74</v>
      </c>
      <c r="I19" s="2" t="s">
        <v>166</v>
      </c>
      <c r="K19" s="2"/>
      <c r="L19" s="2"/>
      <c r="M19" s="2"/>
      <c r="N19" s="2"/>
      <c r="O19" s="2"/>
      <c r="P19" s="2"/>
      <c r="Q19" s="2"/>
      <c r="R19" s="2"/>
      <c r="S19" s="2"/>
      <c r="T19" s="2"/>
      <c r="U19" s="2"/>
    </row>
    <row r="20" spans="4:21" ht="13" x14ac:dyDescent="0.35">
      <c r="E20" t="s">
        <v>290</v>
      </c>
      <c r="F20" s="64" t="s">
        <v>74</v>
      </c>
      <c r="G20" s="218">
        <f ca="1">'DC Calculations'!G28</f>
        <v>1888.7233672166979</v>
      </c>
      <c r="H20" s="64" t="s">
        <v>74</v>
      </c>
      <c r="I20" s="192" t="s">
        <v>292</v>
      </c>
      <c r="K20" s="193"/>
      <c r="L20" s="193"/>
      <c r="M20" s="193"/>
      <c r="N20" s="193"/>
      <c r="O20" s="193"/>
      <c r="P20" s="193"/>
      <c r="Q20" s="193"/>
      <c r="R20" s="193"/>
      <c r="S20" s="193"/>
      <c r="T20" s="193"/>
      <c r="U20" s="193"/>
    </row>
    <row r="21" spans="4:21" ht="13.5" x14ac:dyDescent="0.35">
      <c r="E21" t="s">
        <v>291</v>
      </c>
      <c r="F21" s="64" t="s">
        <v>74</v>
      </c>
      <c r="G21" s="218">
        <f ca="1">'DC Calculations'!H28</f>
        <v>1308.5320859666981</v>
      </c>
      <c r="H21" s="64" t="s">
        <v>74</v>
      </c>
      <c r="I21" s="192" t="s">
        <v>293</v>
      </c>
      <c r="K21" s="193"/>
      <c r="L21" s="193"/>
      <c r="M21" s="193"/>
      <c r="N21" s="193"/>
      <c r="O21" s="193"/>
      <c r="P21" s="193"/>
      <c r="Q21" s="193"/>
      <c r="R21" s="193"/>
      <c r="S21" s="193"/>
      <c r="T21" s="193"/>
      <c r="U21" s="193"/>
    </row>
    <row r="22" spans="4:21" ht="13.5" x14ac:dyDescent="0.35">
      <c r="E22" t="s">
        <v>78</v>
      </c>
      <c r="F22" s="64" t="s">
        <v>74</v>
      </c>
      <c r="G22" s="217">
        <f ca="1">'DC Calculations'!P28</f>
        <v>0</v>
      </c>
      <c r="H22" s="64" t="s">
        <v>74</v>
      </c>
      <c r="I22" s="192" t="s">
        <v>317</v>
      </c>
      <c r="K22" s="2"/>
      <c r="L22" s="2"/>
      <c r="M22" s="2"/>
      <c r="N22" s="2"/>
      <c r="O22" s="2"/>
      <c r="P22" s="2"/>
      <c r="Q22" s="2"/>
      <c r="R22" s="2"/>
      <c r="S22" s="2"/>
      <c r="T22" s="2"/>
      <c r="U22" s="2"/>
    </row>
    <row r="23" spans="4:21" ht="13.5" x14ac:dyDescent="0.35">
      <c r="E23" t="s">
        <v>79</v>
      </c>
      <c r="F23" s="64" t="s">
        <v>74</v>
      </c>
      <c r="G23" s="217">
        <f ca="1">'DC Calculations'!S28</f>
        <v>0</v>
      </c>
      <c r="H23" s="64" t="s">
        <v>74</v>
      </c>
      <c r="I23" s="2" t="s">
        <v>318</v>
      </c>
      <c r="K23" s="2"/>
      <c r="L23" s="2"/>
      <c r="M23" s="2"/>
      <c r="N23" s="2"/>
      <c r="O23" s="2"/>
      <c r="P23" s="2"/>
      <c r="Q23" s="2"/>
      <c r="R23" s="2"/>
      <c r="S23" s="2"/>
      <c r="T23" s="2"/>
      <c r="U23" s="2"/>
    </row>
    <row r="24" spans="4:21" ht="12" x14ac:dyDescent="0.3">
      <c r="E24" t="s">
        <v>167</v>
      </c>
      <c r="F24" s="64" t="s">
        <v>74</v>
      </c>
      <c r="G24" s="217">
        <f>-IF('General inputs'!$H$32='General inputs'!$L$12,'DC Calculations'!J21,IF('General inputs'!$H$32='General inputs'!$L$13,'DC Calculations'!J21*1000,'DC Calculations'!J21*1000000))</f>
        <v>0</v>
      </c>
      <c r="H24" s="64" t="s">
        <v>74</v>
      </c>
      <c r="I24" s="2" t="s">
        <v>319</v>
      </c>
      <c r="K24" s="2"/>
      <c r="L24" s="2"/>
      <c r="M24" s="2"/>
      <c r="N24" s="2"/>
      <c r="O24" s="2"/>
      <c r="P24" s="2"/>
      <c r="Q24" s="2"/>
      <c r="R24" s="2"/>
      <c r="S24" s="2"/>
      <c r="T24" s="2"/>
      <c r="U24" s="2"/>
    </row>
    <row r="25" spans="4:21" x14ac:dyDescent="0.25">
      <c r="E25" t="s">
        <v>80</v>
      </c>
      <c r="F25" s="64" t="s">
        <v>74</v>
      </c>
      <c r="G25" s="112" t="str">
        <f ca="1">INDEX('DC Calculations'!$E$38:$E$128,MATCH('General inputs'!$H$28-1,'DC Calculations'!$D$38:$D$128))</f>
        <v>2049-50</v>
      </c>
      <c r="H25" s="64" t="s">
        <v>74</v>
      </c>
      <c r="I25" s="2" t="s">
        <v>340</v>
      </c>
      <c r="K25" s="2"/>
      <c r="L25" s="2"/>
      <c r="M25" s="2"/>
      <c r="N25" s="2"/>
      <c r="O25" s="2"/>
      <c r="P25" s="2"/>
      <c r="Q25" s="2"/>
      <c r="R25" s="2"/>
      <c r="S25" s="2"/>
      <c r="T25" s="2"/>
      <c r="U25" s="2"/>
    </row>
    <row r="26" spans="4:21" x14ac:dyDescent="0.25">
      <c r="G26" s="104"/>
    </row>
    <row r="27" spans="4:21" x14ac:dyDescent="0.25">
      <c r="G27" s="104"/>
    </row>
    <row r="28" spans="4:21" x14ac:dyDescent="0.25">
      <c r="G28" s="104"/>
    </row>
    <row r="29" spans="4:21" x14ac:dyDescent="0.25">
      <c r="G29" s="165"/>
    </row>
  </sheetData>
  <pageMargins left="0.7" right="0.7" top="0.75" bottom="0.75" header="0.3" footer="0.3"/>
  <pageSetup paperSize="9"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AB129"/>
  <sheetViews>
    <sheetView showGridLines="0" zoomScaleNormal="100" workbookViewId="0"/>
  </sheetViews>
  <sheetFormatPr defaultRowHeight="11.5" x14ac:dyDescent="0.25"/>
  <cols>
    <col min="1" max="2" width="2.69921875" customWidth="1"/>
    <col min="3" max="3" width="20.09765625" customWidth="1"/>
    <col min="4" max="4" width="3.59765625" customWidth="1"/>
    <col min="5" max="5" width="21.59765625" customWidth="1"/>
    <col min="6" max="8" width="15.69921875" customWidth="1"/>
    <col min="9" max="9" width="2.59765625" customWidth="1"/>
    <col min="10" max="13" width="15.69921875" customWidth="1"/>
    <col min="14" max="14" width="2.59765625" customWidth="1"/>
    <col min="15" max="16" width="15.69921875" customWidth="1"/>
    <col min="17" max="17" width="2.59765625" customWidth="1"/>
    <col min="18" max="19" width="15.69921875" customWidth="1"/>
    <col min="20" max="20" width="2.59765625" customWidth="1"/>
    <col min="21" max="23" width="15.69921875" customWidth="1"/>
    <col min="24" max="24" width="2.69921875" customWidth="1"/>
    <col min="25" max="25" width="15.69921875" customWidth="1"/>
  </cols>
  <sheetData>
    <row r="1" spans="1:28" x14ac:dyDescent="0.25">
      <c r="A1" t="s">
        <v>69</v>
      </c>
    </row>
    <row r="3" spans="1:28" ht="20" x14ac:dyDescent="0.4">
      <c r="C3" s="87" t="s">
        <v>320</v>
      </c>
      <c r="D3" s="87"/>
    </row>
    <row r="6" spans="1:28" ht="15.5" x14ac:dyDescent="0.35">
      <c r="C6" s="3" t="s">
        <v>45</v>
      </c>
      <c r="D6" s="3"/>
      <c r="F6" s="70"/>
    </row>
    <row r="7" spans="1:28" x14ac:dyDescent="0.25">
      <c r="B7" s="81"/>
      <c r="C7" s="69"/>
      <c r="D7" s="69"/>
      <c r="E7" s="69"/>
      <c r="F7" s="69"/>
      <c r="G7" s="69"/>
      <c r="H7" s="69"/>
      <c r="I7" s="69"/>
      <c r="J7" s="69"/>
      <c r="K7" s="69"/>
      <c r="L7" s="69"/>
      <c r="M7" s="69"/>
      <c r="N7" s="82"/>
    </row>
    <row r="8" spans="1:28" x14ac:dyDescent="0.25">
      <c r="B8" s="83"/>
      <c r="C8" s="1"/>
      <c r="D8" s="1"/>
      <c r="E8" s="1"/>
      <c r="G8" s="1"/>
      <c r="H8" s="1"/>
      <c r="I8" s="1"/>
      <c r="J8" s="1"/>
      <c r="K8" s="1"/>
      <c r="M8" s="77" t="s">
        <v>46</v>
      </c>
      <c r="N8" s="84"/>
    </row>
    <row r="9" spans="1:28" x14ac:dyDescent="0.25">
      <c r="A9" s="89">
        <v>1</v>
      </c>
      <c r="B9" s="83"/>
      <c r="C9" s="103" t="str">
        <f>"Table "&amp;A9&amp;":  Calculation of incremental developer charge ("&amp;'General inputs'!H32&amp;", $"&amp;'General inputs'!I30&amp;")"</f>
        <v>Table 1:  Calculation of incremental developer charge ($'000, $2019-20)</v>
      </c>
      <c r="D9" s="103"/>
      <c r="E9" s="104"/>
      <c r="F9" s="104"/>
      <c r="G9" s="103"/>
      <c r="H9" s="103"/>
      <c r="I9" s="103"/>
      <c r="J9" s="103"/>
      <c r="K9" s="103"/>
      <c r="L9" s="104"/>
      <c r="M9" s="103">
        <f>ROW(C16)</f>
        <v>16</v>
      </c>
      <c r="N9" s="105"/>
      <c r="O9" s="104"/>
      <c r="P9" s="104"/>
      <c r="Q9" s="104"/>
      <c r="R9" s="104"/>
      <c r="S9" s="104"/>
      <c r="T9" s="104"/>
      <c r="U9" s="104"/>
      <c r="V9" s="104"/>
      <c r="W9" s="104"/>
      <c r="X9" s="104"/>
      <c r="Y9" s="104"/>
      <c r="Z9" s="104"/>
      <c r="AA9" s="104"/>
      <c r="AB9" s="104"/>
    </row>
    <row r="10" spans="1:28" x14ac:dyDescent="0.25">
      <c r="A10" s="222">
        <f>A9+1</f>
        <v>2</v>
      </c>
      <c r="B10" s="114"/>
      <c r="C10" s="103" t="str">
        <f>"Table "&amp;A10&amp;":  Key variables used in the incremental developer charge calculation ("&amp;'General inputs'!H32&amp;", $"&amp;'General inputs'!I30&amp;")"</f>
        <v>Table 2:  Key variables used in the incremental developer charge calculation ($'000, $2019-20)</v>
      </c>
      <c r="D10" s="103"/>
      <c r="E10" s="104"/>
      <c r="F10" s="104"/>
      <c r="G10" s="103"/>
      <c r="H10" s="103"/>
      <c r="I10" s="103"/>
      <c r="J10" s="103"/>
      <c r="K10" s="103"/>
      <c r="L10" s="104"/>
      <c r="M10" s="103">
        <f>ROW(C25)</f>
        <v>25</v>
      </c>
      <c r="N10" s="105"/>
      <c r="O10" s="104"/>
      <c r="P10" s="104"/>
      <c r="Q10" s="104"/>
      <c r="R10" s="104"/>
      <c r="S10" s="104"/>
      <c r="T10" s="104"/>
      <c r="U10" s="104"/>
      <c r="V10" s="104"/>
      <c r="W10" s="104"/>
      <c r="X10" s="104"/>
      <c r="Y10" s="104"/>
      <c r="Z10" s="104"/>
      <c r="AA10" s="104"/>
      <c r="AB10" s="104"/>
    </row>
    <row r="11" spans="1:28" x14ac:dyDescent="0.25">
      <c r="A11" s="222">
        <f>A10+1</f>
        <v>3</v>
      </c>
      <c r="B11" s="114"/>
      <c r="C11" s="103" t="str">
        <f>"Table "&amp;A11&amp;":  Annual calculation ("&amp;'General inputs'!H32&amp;", $"&amp;'General inputs'!I30&amp;")"</f>
        <v>Table 3:  Annual calculation ($'000, $2019-20)</v>
      </c>
      <c r="D11" s="103"/>
      <c r="E11" s="104"/>
      <c r="F11" s="104"/>
      <c r="G11" s="103"/>
      <c r="H11" s="103"/>
      <c r="I11" s="103"/>
      <c r="J11" s="103"/>
      <c r="K11" s="103"/>
      <c r="L11" s="104"/>
      <c r="M11" s="103">
        <f>ROW(C34)</f>
        <v>34</v>
      </c>
      <c r="N11" s="105"/>
      <c r="O11" s="104"/>
      <c r="P11" s="104"/>
      <c r="Q11" s="104"/>
      <c r="R11" s="104"/>
      <c r="S11" s="104"/>
      <c r="T11" s="104"/>
      <c r="U11" s="104"/>
      <c r="V11" s="104"/>
      <c r="W11" s="104"/>
      <c r="X11" s="104"/>
      <c r="Y11" s="104"/>
      <c r="Z11" s="104"/>
      <c r="AA11" s="104"/>
      <c r="AB11" s="104"/>
    </row>
    <row r="12" spans="1:28" x14ac:dyDescent="0.25">
      <c r="A12" s="104"/>
      <c r="B12" s="115"/>
      <c r="C12" s="106"/>
      <c r="D12" s="106"/>
      <c r="E12" s="106"/>
      <c r="F12" s="106"/>
      <c r="G12" s="106"/>
      <c r="H12" s="106"/>
      <c r="I12" s="106"/>
      <c r="J12" s="106"/>
      <c r="K12" s="106"/>
      <c r="L12" s="106"/>
      <c r="M12" s="106"/>
      <c r="N12" s="107"/>
      <c r="O12" s="104"/>
      <c r="P12" s="104"/>
      <c r="Q12" s="104"/>
      <c r="R12" s="104"/>
      <c r="S12" s="104"/>
      <c r="T12" s="104"/>
      <c r="U12" s="104"/>
      <c r="V12" s="104"/>
      <c r="W12" s="104"/>
      <c r="X12" s="104"/>
      <c r="Y12" s="104"/>
      <c r="Z12" s="104"/>
      <c r="AA12" s="104"/>
      <c r="AB12" s="104"/>
    </row>
    <row r="13" spans="1:28" x14ac:dyDescent="0.25">
      <c r="A13" s="104"/>
      <c r="B13" s="103"/>
      <c r="C13" s="103"/>
      <c r="D13" s="103"/>
      <c r="E13" s="103"/>
      <c r="F13" s="108"/>
      <c r="G13" s="103"/>
      <c r="H13" s="103"/>
      <c r="I13" s="103"/>
      <c r="J13" s="103"/>
      <c r="K13" s="103"/>
      <c r="L13" s="103"/>
      <c r="M13" s="103"/>
      <c r="N13" s="103"/>
      <c r="O13" s="104"/>
      <c r="P13" s="104"/>
      <c r="Q13" s="104"/>
      <c r="R13" s="104"/>
      <c r="S13" s="104"/>
      <c r="T13" s="104"/>
      <c r="U13" s="104"/>
      <c r="V13" s="104"/>
      <c r="W13" s="104"/>
      <c r="X13" s="104"/>
      <c r="Y13" s="104"/>
      <c r="Z13" s="104"/>
      <c r="AA13" s="104"/>
      <c r="AB13" s="104"/>
    </row>
    <row r="14" spans="1:28" x14ac:dyDescent="0.25">
      <c r="A14" s="104"/>
      <c r="B14" s="165" t="str">
        <f>"Note:  inputs may be required in "&amp;ADDRESS(ROW($H$21),COLUMN($H$21))&amp;" and "&amp;ADDRESS(ROW($J$21),COLUMN($J$21))&amp;" to incorporate the Headwork costs and Cost Offsets per ET into the incremental developer charge."</f>
        <v>Note:  inputs may be required in $H$21 and $J$21 to incorporate the Headwork costs and Cost Offsets per ET into the incremental developer charge.</v>
      </c>
      <c r="C14" s="103"/>
      <c r="D14" s="103"/>
      <c r="E14" s="103"/>
      <c r="F14" s="103"/>
      <c r="G14" s="103"/>
      <c r="H14" s="103"/>
      <c r="I14" s="103"/>
      <c r="J14" s="103"/>
      <c r="K14" s="103"/>
      <c r="L14" s="103"/>
      <c r="M14" s="103"/>
      <c r="N14" s="103"/>
      <c r="O14" s="104"/>
      <c r="P14" s="104"/>
      <c r="Q14" s="104"/>
      <c r="R14" s="104"/>
      <c r="S14" s="104"/>
      <c r="T14" s="104"/>
      <c r="U14" s="104"/>
      <c r="V14" s="104"/>
      <c r="W14" s="104"/>
      <c r="X14" s="104"/>
      <c r="Y14" s="104"/>
      <c r="Z14" s="104"/>
      <c r="AA14" s="104"/>
      <c r="AB14" s="104"/>
    </row>
    <row r="15" spans="1:28" x14ac:dyDescent="0.2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28" ht="18" x14ac:dyDescent="0.4">
      <c r="A16" s="104"/>
      <c r="B16" s="104"/>
      <c r="C16" s="109" t="str">
        <f>C9</f>
        <v>Table 1:  Calculation of incremental developer charge ($'000, $2019-20)</v>
      </c>
      <c r="D16" s="109"/>
      <c r="E16" s="104"/>
      <c r="F16" s="106"/>
      <c r="G16" s="104"/>
      <c r="H16" s="104"/>
      <c r="I16" s="104"/>
      <c r="J16" s="104"/>
      <c r="K16" s="104"/>
      <c r="L16" s="104"/>
      <c r="M16" s="104"/>
      <c r="N16" s="104"/>
      <c r="O16" s="104"/>
      <c r="P16" s="104"/>
      <c r="Q16" s="104"/>
      <c r="R16" s="104"/>
      <c r="S16" s="104"/>
      <c r="T16" s="104"/>
      <c r="U16" s="104"/>
      <c r="V16" s="104"/>
      <c r="W16" s="104"/>
      <c r="X16" s="104"/>
      <c r="Y16" s="104"/>
      <c r="Z16" s="104"/>
      <c r="AA16" s="104"/>
      <c r="AB16" s="104"/>
    </row>
    <row r="17" spans="1:27" x14ac:dyDescent="0.25">
      <c r="A17" s="104"/>
      <c r="B17" s="116"/>
      <c r="C17" s="174"/>
      <c r="D17" s="174"/>
      <c r="E17" s="163"/>
      <c r="F17" s="163"/>
      <c r="G17" s="174"/>
      <c r="H17" s="174"/>
      <c r="I17" s="174"/>
      <c r="J17" s="163"/>
      <c r="K17" s="174"/>
      <c r="L17" s="174"/>
      <c r="M17" s="174"/>
      <c r="N17" s="110"/>
      <c r="O17" s="104"/>
      <c r="P17" s="104"/>
      <c r="Q17" s="104"/>
      <c r="R17" s="104"/>
      <c r="S17" s="104"/>
      <c r="T17" s="104"/>
      <c r="U17" s="104"/>
      <c r="V17" s="104"/>
      <c r="W17" s="104"/>
      <c r="X17" s="104"/>
      <c r="Y17" s="104"/>
      <c r="Z17" s="104"/>
      <c r="AA17" s="104"/>
    </row>
    <row r="18" spans="1:27" ht="46" x14ac:dyDescent="0.25">
      <c r="A18" s="104"/>
      <c r="B18" s="114"/>
      <c r="C18" s="111" t="s">
        <v>336</v>
      </c>
      <c r="D18" s="111"/>
      <c r="H18" s="180" t="s">
        <v>144</v>
      </c>
      <c r="J18" s="179" t="s">
        <v>183</v>
      </c>
      <c r="K18" s="179" t="s">
        <v>169</v>
      </c>
      <c r="L18" s="179" t="s">
        <v>170</v>
      </c>
      <c r="M18" s="179" t="s">
        <v>184</v>
      </c>
      <c r="N18" s="105"/>
      <c r="O18" s="104"/>
      <c r="P18" s="104"/>
      <c r="Q18" s="104"/>
      <c r="R18" s="104"/>
      <c r="S18" s="104"/>
      <c r="T18" s="104"/>
      <c r="U18" s="104"/>
      <c r="V18" s="104"/>
      <c r="X18" s="104"/>
      <c r="Y18" s="104"/>
      <c r="Z18" s="104"/>
      <c r="AA18" s="104"/>
    </row>
    <row r="19" spans="1:27" x14ac:dyDescent="0.25">
      <c r="A19" s="104"/>
      <c r="B19" s="114"/>
      <c r="C19" s="103"/>
      <c r="D19" s="103"/>
      <c r="E19" s="113" t="s">
        <v>143</v>
      </c>
      <c r="K19" s="223">
        <f ca="1">K28</f>
        <v>17661.016406250001</v>
      </c>
      <c r="L19" s="224">
        <f ca="1">M28</f>
        <v>9585.4677272194931</v>
      </c>
      <c r="M19" s="223">
        <f ca="1">P28-S28</f>
        <v>0</v>
      </c>
      <c r="N19" s="105"/>
      <c r="O19" s="104"/>
      <c r="P19" s="104"/>
      <c r="Q19" s="104"/>
      <c r="R19" s="104"/>
      <c r="S19" s="104"/>
      <c r="T19" s="104"/>
      <c r="U19" s="104"/>
      <c r="V19" s="104"/>
      <c r="X19" s="104"/>
      <c r="Y19" s="104"/>
      <c r="Z19" s="104"/>
      <c r="AA19" s="104"/>
    </row>
    <row r="20" spans="1:27" x14ac:dyDescent="0.25">
      <c r="A20" s="104"/>
      <c r="B20" s="114"/>
      <c r="C20" s="103"/>
      <c r="D20" s="103"/>
      <c r="E20" s="113" t="s">
        <v>34</v>
      </c>
      <c r="H20" s="106"/>
      <c r="K20" s="223">
        <f ca="1">G28</f>
        <v>1888.7233672166979</v>
      </c>
      <c r="L20" s="224">
        <f ca="1">G28</f>
        <v>1888.7233672166979</v>
      </c>
      <c r="M20" s="223">
        <f ca="1">H28</f>
        <v>1308.5320859666981</v>
      </c>
      <c r="N20" s="105"/>
      <c r="O20" s="104"/>
      <c r="P20" s="104"/>
      <c r="Q20" s="104"/>
      <c r="R20" s="104"/>
      <c r="S20" s="104"/>
      <c r="T20" s="104"/>
      <c r="U20" s="104"/>
      <c r="V20" s="104"/>
      <c r="X20" s="104"/>
      <c r="Y20" s="104"/>
      <c r="Z20" s="104"/>
      <c r="AA20" s="104"/>
    </row>
    <row r="21" spans="1:27" ht="12" customHeight="1" x14ac:dyDescent="0.25">
      <c r="B21" s="83"/>
      <c r="C21" s="225">
        <f ca="1">IF(SUM(H21,-J21,K21:L21,-M21)&lt;0,0,SUM(H21,-J21,K21:L21,-M21))</f>
        <v>14.425873373728127</v>
      </c>
      <c r="E21" s="113" t="s">
        <v>145</v>
      </c>
      <c r="H21" s="200">
        <v>0</v>
      </c>
      <c r="I21" s="198"/>
      <c r="J21" s="201">
        <v>0</v>
      </c>
      <c r="K21" s="226">
        <f ca="1">K19/K20</f>
        <v>9.3507692618194351</v>
      </c>
      <c r="L21" s="227">
        <f ca="1">L19/L20</f>
        <v>5.0751041119086917</v>
      </c>
      <c r="M21" s="226">
        <f ca="1">M19/M20</f>
        <v>0</v>
      </c>
      <c r="N21" s="84"/>
    </row>
    <row r="22" spans="1:27" x14ac:dyDescent="0.25">
      <c r="B22" s="85"/>
      <c r="C22" s="88"/>
      <c r="D22" s="88"/>
      <c r="E22" s="70"/>
      <c r="F22" s="70"/>
      <c r="G22" s="70"/>
      <c r="H22" s="70"/>
      <c r="I22" s="70"/>
      <c r="J22" s="211"/>
      <c r="K22" s="70"/>
      <c r="L22" s="70"/>
      <c r="M22" s="70"/>
      <c r="N22" s="86"/>
    </row>
    <row r="23" spans="1:27" x14ac:dyDescent="0.25">
      <c r="F23" s="69"/>
    </row>
    <row r="24" spans="1:27" x14ac:dyDescent="0.25">
      <c r="C24" s="68"/>
      <c r="D24" s="197"/>
      <c r="E24" s="80"/>
    </row>
    <row r="25" spans="1:27" ht="18" x14ac:dyDescent="0.4">
      <c r="C25" s="109" t="str">
        <f>C10</f>
        <v>Table 2:  Key variables used in the incremental developer charge calculation ($'000, $2019-20)</v>
      </c>
      <c r="D25" s="109"/>
      <c r="E25" s="117"/>
      <c r="F25" s="104"/>
      <c r="G25" s="104"/>
      <c r="H25" s="104"/>
      <c r="I25" s="104"/>
      <c r="J25" s="104"/>
      <c r="K25" s="104"/>
      <c r="L25" s="104"/>
      <c r="M25" s="104"/>
      <c r="N25" s="104"/>
      <c r="O25" s="104"/>
      <c r="P25" s="104"/>
      <c r="Q25" s="104"/>
      <c r="R25" s="104"/>
      <c r="S25" s="104"/>
      <c r="T25" s="104"/>
      <c r="U25" s="104"/>
      <c r="V25" s="104"/>
      <c r="W25" s="104"/>
      <c r="X25" s="104"/>
      <c r="Y25" s="104"/>
      <c r="Z25" s="104"/>
      <c r="AA25" s="104"/>
    </row>
    <row r="26" spans="1:27" ht="18" x14ac:dyDescent="0.4">
      <c r="B26" s="81"/>
      <c r="C26" s="118"/>
      <c r="D26" s="118"/>
      <c r="E26" s="119"/>
      <c r="F26" s="108"/>
      <c r="G26" s="108"/>
      <c r="H26" s="108"/>
      <c r="I26" s="108"/>
      <c r="J26" s="108"/>
      <c r="K26" s="108"/>
      <c r="L26" s="108"/>
      <c r="M26" s="108"/>
      <c r="N26" s="108"/>
      <c r="O26" s="108"/>
      <c r="P26" s="108"/>
      <c r="Q26" s="108"/>
      <c r="R26" s="108"/>
      <c r="S26" s="108"/>
      <c r="T26" s="110"/>
      <c r="U26" s="104"/>
    </row>
    <row r="27" spans="1:27" ht="46" x14ac:dyDescent="0.25">
      <c r="B27" s="83"/>
      <c r="C27" s="103"/>
      <c r="D27" s="103"/>
      <c r="E27" s="103"/>
      <c r="F27" s="182" t="s">
        <v>179</v>
      </c>
      <c r="G27" s="182" t="s">
        <v>287</v>
      </c>
      <c r="H27" s="182" t="s">
        <v>288</v>
      </c>
      <c r="I27" s="183"/>
      <c r="J27" s="183"/>
      <c r="K27" s="182" t="s">
        <v>176</v>
      </c>
      <c r="L27" s="183"/>
      <c r="M27" s="182" t="s">
        <v>177</v>
      </c>
      <c r="N27" s="183"/>
      <c r="O27" s="183"/>
      <c r="P27" s="182" t="s">
        <v>175</v>
      </c>
      <c r="Q27" s="103"/>
      <c r="R27" s="103"/>
      <c r="S27" s="182" t="s">
        <v>178</v>
      </c>
      <c r="T27" s="105"/>
      <c r="U27" s="104"/>
    </row>
    <row r="28" spans="1:27" x14ac:dyDescent="0.25">
      <c r="B28" s="83"/>
      <c r="E28" s="1"/>
      <c r="F28" s="226">
        <f ca="1">SUM(F38:F128)</f>
        <v>2500</v>
      </c>
      <c r="G28" s="226">
        <f t="shared" ref="G28:H28" ca="1" si="0">SUM(G38:G128)</f>
        <v>1888.7233672166979</v>
      </c>
      <c r="H28" s="226">
        <f t="shared" ca="1" si="0"/>
        <v>1308.5320859666981</v>
      </c>
      <c r="I28" s="1"/>
      <c r="J28" s="1"/>
      <c r="K28" s="226">
        <f ca="1">SUM(K38:K128)</f>
        <v>17661.016406250001</v>
      </c>
      <c r="L28" s="1"/>
      <c r="M28" s="226">
        <f ca="1">SUM(M38:M128)</f>
        <v>9585.4677272194931</v>
      </c>
      <c r="N28" s="1"/>
      <c r="O28" s="1"/>
      <c r="P28" s="226">
        <f ca="1">SUM(P38:P128)</f>
        <v>0</v>
      </c>
      <c r="Q28" s="1"/>
      <c r="R28" s="1"/>
      <c r="S28" s="226">
        <f ca="1">SUM(S38:S128)</f>
        <v>0</v>
      </c>
      <c r="T28" s="84"/>
    </row>
    <row r="29" spans="1:27" x14ac:dyDescent="0.25">
      <c r="B29" s="85"/>
      <c r="C29" s="70"/>
      <c r="D29" s="70"/>
      <c r="E29" s="70"/>
      <c r="F29" s="70"/>
      <c r="G29" s="70"/>
      <c r="H29" s="70"/>
      <c r="I29" s="70"/>
      <c r="J29" s="70"/>
      <c r="K29" s="70"/>
      <c r="L29" s="70"/>
      <c r="M29" s="70"/>
      <c r="N29" s="70"/>
      <c r="O29" s="70"/>
      <c r="P29" s="70"/>
      <c r="Q29" s="70"/>
      <c r="R29" s="70"/>
      <c r="S29" s="70"/>
      <c r="T29" s="86"/>
    </row>
    <row r="32" spans="1:27" x14ac:dyDescent="0.25">
      <c r="B32" s="165" t="str">
        <f ca="1">"Note:  inputs are required in "&amp;'Reduction amount'!D17&amp;" and "&amp;'Reduction amount'!D18&amp;" to calculate the 'Reduction amount'."</f>
        <v>Note:  inputs are required in $O$43:$O$72 and $R$43:$R$72 to calculate the 'Reduction amount'.</v>
      </c>
      <c r="C32" s="104"/>
      <c r="D32" s="104"/>
      <c r="E32" s="104"/>
      <c r="F32" s="104"/>
      <c r="G32" s="104"/>
      <c r="H32" s="104"/>
      <c r="I32" s="104"/>
      <c r="J32" s="104"/>
      <c r="K32" s="104"/>
      <c r="L32" s="104"/>
      <c r="M32" s="104"/>
      <c r="N32" s="104"/>
      <c r="O32" s="104"/>
      <c r="P32" s="104"/>
      <c r="Q32" s="104"/>
      <c r="R32" s="104"/>
      <c r="S32" s="104"/>
      <c r="T32" s="104"/>
      <c r="U32" s="104"/>
      <c r="V32" s="104"/>
      <c r="W32" s="104"/>
    </row>
    <row r="33" spans="2:25" x14ac:dyDescent="0.25">
      <c r="B33" s="104"/>
      <c r="C33" s="104"/>
      <c r="D33" s="104"/>
      <c r="E33" s="104"/>
      <c r="F33" s="104"/>
      <c r="G33" s="104"/>
      <c r="H33" s="104"/>
      <c r="I33" s="104"/>
      <c r="J33" s="104"/>
      <c r="K33" s="104"/>
      <c r="L33" s="104"/>
      <c r="M33" s="104"/>
      <c r="N33" s="104"/>
      <c r="O33" s="104"/>
      <c r="P33" s="104"/>
      <c r="Q33" s="104"/>
      <c r="R33" s="104"/>
      <c r="S33" s="104"/>
      <c r="T33" s="104"/>
      <c r="U33" s="104"/>
      <c r="V33" s="104"/>
      <c r="W33" s="104"/>
    </row>
    <row r="34" spans="2:25" ht="18" x14ac:dyDescent="0.4">
      <c r="B34" s="104"/>
      <c r="C34" s="109" t="str">
        <f>C11</f>
        <v>Table 3:  Annual calculation ($'000, $2019-20)</v>
      </c>
      <c r="D34" s="109"/>
      <c r="E34" s="186"/>
      <c r="F34" s="186"/>
      <c r="G34" s="186"/>
      <c r="H34" s="186"/>
      <c r="I34" s="186"/>
      <c r="J34" s="186"/>
      <c r="K34" s="186"/>
      <c r="L34" s="186"/>
      <c r="M34" s="186"/>
      <c r="N34" s="186"/>
      <c r="O34" s="219"/>
      <c r="P34" s="186"/>
      <c r="Q34" s="186"/>
      <c r="R34" s="219"/>
      <c r="S34" s="186"/>
      <c r="T34" s="186"/>
      <c r="U34" s="186"/>
      <c r="V34" s="104"/>
      <c r="W34" s="104"/>
    </row>
    <row r="35" spans="2:25" ht="36" x14ac:dyDescent="0.4">
      <c r="B35" s="116"/>
      <c r="C35" s="118"/>
      <c r="D35" s="220"/>
      <c r="E35" s="221"/>
      <c r="F35" s="221"/>
      <c r="G35" s="221"/>
      <c r="H35" s="221"/>
      <c r="I35" s="221"/>
      <c r="J35" s="108"/>
      <c r="K35" s="108"/>
      <c r="L35" s="108"/>
      <c r="M35" s="108"/>
      <c r="N35" s="108"/>
      <c r="O35" s="229" t="str">
        <f ca="1">IF(COUNT(O38:O128)&lt;&gt;'General inputs'!H28,"Data required in input range "&amp;'Reduction amount'!D17,"OK")</f>
        <v>Data required in input range $O$43:$O$72</v>
      </c>
      <c r="P35" s="108"/>
      <c r="Q35" s="108"/>
      <c r="R35" s="230" t="str">
        <f ca="1">IF(COUNT(R38:R128)&lt;&gt;'General inputs'!H28,"Data required in input range "&amp;'Reduction amount'!D18,"OK")</f>
        <v>Data required in input range $R$43:$R$72</v>
      </c>
      <c r="S35" s="108"/>
      <c r="T35" s="110"/>
      <c r="U35" s="104"/>
    </row>
    <row r="36" spans="2:25" ht="18" x14ac:dyDescent="0.4">
      <c r="B36" s="114"/>
      <c r="C36" s="181"/>
      <c r="D36" s="181"/>
      <c r="E36" s="187"/>
      <c r="F36" s="177" t="s">
        <v>139</v>
      </c>
      <c r="G36" s="175"/>
      <c r="H36" s="175"/>
      <c r="I36" s="175"/>
      <c r="J36" s="177" t="s">
        <v>140</v>
      </c>
      <c r="K36" s="103"/>
      <c r="L36" s="103"/>
      <c r="M36" s="103"/>
      <c r="N36" s="103"/>
      <c r="O36" s="177" t="s">
        <v>141</v>
      </c>
      <c r="P36" s="164"/>
      <c r="Q36" s="103"/>
      <c r="R36" s="177" t="s">
        <v>142</v>
      </c>
      <c r="S36" s="103"/>
      <c r="T36" s="105"/>
      <c r="U36" s="104"/>
    </row>
    <row r="37" spans="2:25" ht="70.5" x14ac:dyDescent="0.4">
      <c r="B37" s="114"/>
      <c r="C37" s="181"/>
      <c r="D37" s="181"/>
      <c r="E37" s="188" t="s">
        <v>35</v>
      </c>
      <c r="F37" s="176" t="s">
        <v>180</v>
      </c>
      <c r="G37" s="176" t="s">
        <v>302</v>
      </c>
      <c r="H37" s="176" t="s">
        <v>295</v>
      </c>
      <c r="I37" s="120"/>
      <c r="J37" s="52" t="s">
        <v>171</v>
      </c>
      <c r="K37" s="53" t="s">
        <v>172</v>
      </c>
      <c r="L37" s="53" t="s">
        <v>303</v>
      </c>
      <c r="M37" s="53" t="s">
        <v>304</v>
      </c>
      <c r="N37" s="120"/>
      <c r="O37" s="53" t="s">
        <v>146</v>
      </c>
      <c r="P37" s="53" t="s">
        <v>173</v>
      </c>
      <c r="Q37" s="178"/>
      <c r="R37" s="53" t="s">
        <v>147</v>
      </c>
      <c r="S37" s="53" t="s">
        <v>174</v>
      </c>
      <c r="T37" s="105"/>
      <c r="U37" s="104"/>
    </row>
    <row r="38" spans="2:25" ht="12" thickBot="1" x14ac:dyDescent="0.3">
      <c r="B38" s="83"/>
      <c r="C38" s="104"/>
      <c r="D38" s="228">
        <f ca="1">IF(E38='General inputs'!$I$15,0,IF(E38&lt;'General inputs'!$I$15,D39-1,D37+1))</f>
        <v>-5</v>
      </c>
      <c r="E38" s="231" t="str">
        <f>'General inputs'!I17</f>
        <v>2015-16</v>
      </c>
      <c r="F38" s="232">
        <f ca="1">IF(LEFT(E38,4)*1&gt;LEFT('General inputs'!$I$15,4)+'General inputs'!$H$28-1,"",IF(E38&lt;"2006-07",0,OFFSET('ET inputs'!$C$11,MATCH('DC Calculations'!E38,'ET inputs'!$C$12:$C$102,0),1)))</f>
        <v>100</v>
      </c>
      <c r="G38" s="232">
        <f ca="1">IF(LEFT(E38,4)*1&gt;LEFT('General inputs'!$I$15,4)+'General inputs'!$H$28-1,"",F38/(1+'General inputs'!$H$24)^D38)</f>
        <v>127.62815625000002</v>
      </c>
      <c r="H38" s="232" t="str">
        <f>IF(OR(LEFT(E38,4)*1&lt;LEFT('General inputs'!$I$15,4)*1,LEFT(E38,4)*1&gt;LEFT('General inputs'!$I$15,4)+'General inputs'!$H$28-1),"",F38/(1+'General inputs'!$H$24)^D38)</f>
        <v/>
      </c>
      <c r="I38" s="103"/>
      <c r="J38" s="234">
        <f ca="1">IF(LEFT(E38,4)*1&gt;LEFT('General inputs'!$I$19,4)*1,"",SUMIF('Commissioned assets'!$F$17:$F$213,$E38,'Commissioned assets'!$P$17:$P$213))</f>
        <v>2500</v>
      </c>
      <c r="K38" s="234">
        <f ca="1">IF(J38="","",J38/(1+'General inputs'!$H$24)^D38)</f>
        <v>3190.7039062500003</v>
      </c>
      <c r="L38" s="232" t="str">
        <f>IF(LEFT(E38,4)*1&lt;LEFT('General inputs'!$I$19,4)*1+1,"",SUMIF('Uncommissioned assets'!$F$17:$F$213,$E38,'Uncommissioned assets'!$P$17:$P$213))</f>
        <v/>
      </c>
      <c r="M38" s="232" t="str">
        <f>IF(L38="","",L38/(1+'General inputs'!$H$24)^D38)</f>
        <v/>
      </c>
      <c r="N38" s="103"/>
      <c r="O38" s="66"/>
      <c r="P38" s="233" t="str">
        <f>IF(OR(LEFT(E38,4)*1&lt;LEFT('General inputs'!$I$15,4)*1,LEFT(E38,4)*1&gt;LEFT('General inputs'!$I$15,4)+'General inputs'!$H$28-1),"",O38/(1+'General inputs'!$H$24)^D38)</f>
        <v/>
      </c>
      <c r="Q38" s="103"/>
      <c r="R38" s="66"/>
      <c r="S38" s="233" t="str">
        <f>IF(OR(LEFT(E38,4)*1&lt;LEFT('General inputs'!$I$15,4)*1,LEFT(E38,4)*1&gt;LEFT('General inputs'!$I$15,4)+'General inputs'!$H$28-1),"",R38/(1+'General inputs'!$H$24)^D38)</f>
        <v/>
      </c>
      <c r="T38" s="105"/>
      <c r="U38" s="104"/>
      <c r="V38" s="79"/>
      <c r="W38" s="79"/>
      <c r="X38" s="79"/>
      <c r="Y38" s="79"/>
    </row>
    <row r="39" spans="2:25" ht="12" thickTop="1" x14ac:dyDescent="0.25">
      <c r="B39" s="83"/>
      <c r="C39" s="104"/>
      <c r="D39" s="228">
        <f ca="1">IF(E39='General inputs'!$I$15,0,IF(E39&lt;'General inputs'!$I$15,D40-1,D38+1))</f>
        <v>-4</v>
      </c>
      <c r="E39" s="228" t="str">
        <f ca="1">OFFSET('General inputs'!$L$16,MATCH('DC Calculations'!E38,'General inputs'!$L$17:$L$186,0)+1,0)</f>
        <v>2016-17</v>
      </c>
      <c r="F39" s="233">
        <f ca="1">IF(LEFT(E39,4)*1&gt;LEFT('General inputs'!$I$15,4)+'General inputs'!$H$28-1,"",IF(E39&lt;"2006-07",0,OFFSET('ET inputs'!$C$11,MATCH('DC Calculations'!E39,'ET inputs'!$C$12:$C$102,0),1)))</f>
        <v>100</v>
      </c>
      <c r="G39" s="233">
        <f ca="1">IF(LEFT(E39,4)*1&gt;LEFT('General inputs'!$I$15,4)+'General inputs'!$H$28-1,"",F39/(1+'General inputs'!$H$24)^D39)</f>
        <v>121.550625</v>
      </c>
      <c r="H39" s="233" t="str">
        <f ca="1">IF(OR(LEFT(E39,4)*1&lt;LEFT('General inputs'!$I$15,4)*1,LEFT(E39,4)*1&gt;LEFT('General inputs'!$I$15,4)+'General inputs'!$H$28-1),"",F39/(1+'General inputs'!$H$24)^D39)</f>
        <v/>
      </c>
      <c r="I39" s="103"/>
      <c r="J39" s="233">
        <f ca="1">IF(LEFT(E39,4)*1&gt;LEFT('General inputs'!$I$19,4)*1,"",SUMIF('Commissioned assets'!$F$17:$F$213,$E39,'Commissioned assets'!$P$17:$P$213))</f>
        <v>0</v>
      </c>
      <c r="K39" s="233">
        <f ca="1">IF(J39="","",J39/(1+'General inputs'!$H$24)^D39)</f>
        <v>0</v>
      </c>
      <c r="L39" s="233" t="str">
        <f ca="1">IF(LEFT(E39,4)*1&lt;LEFT('General inputs'!$I$19,4)*1+1,"",SUMIF('Uncommissioned assets'!$F$17:$F$213,$E39,'Uncommissioned assets'!$P$17:$P$213))</f>
        <v/>
      </c>
      <c r="M39" s="233" t="str">
        <f ca="1">IF(L39="","",L39/(1+'General inputs'!$H$24)^D39)</f>
        <v/>
      </c>
      <c r="N39" s="103"/>
      <c r="O39" s="66"/>
      <c r="P39" s="233" t="str">
        <f ca="1">IF(OR(LEFT(E39,4)*1&lt;LEFT('General inputs'!$I$15,4)*1,LEFT(E39,4)*1&gt;LEFT('General inputs'!$I$15,4)+'General inputs'!$H$28-1),"",O39/(1+'General inputs'!$H$24)^D39)</f>
        <v/>
      </c>
      <c r="Q39" s="103"/>
      <c r="R39" s="66"/>
      <c r="S39" s="233" t="str">
        <f ca="1">IF(OR(LEFT(E39,4)*1&lt;LEFT('General inputs'!$I$15,4)*1,LEFT(E39,4)*1&gt;LEFT('General inputs'!$I$15,4)+'General inputs'!$H$28-1),"",R39/(1+'General inputs'!$H$24)^D39)</f>
        <v/>
      </c>
      <c r="T39" s="105"/>
      <c r="U39" s="104"/>
    </row>
    <row r="40" spans="2:25" x14ac:dyDescent="0.25">
      <c r="B40" s="83"/>
      <c r="C40" s="104"/>
      <c r="D40" s="228">
        <f ca="1">IF(E40='General inputs'!$I$15,0,IF(E40&lt;'General inputs'!$I$15,D41-1,D39+1))</f>
        <v>-3</v>
      </c>
      <c r="E40" s="228" t="str">
        <f ca="1">OFFSET('General inputs'!$L$16,MATCH('DC Calculations'!E39,'General inputs'!$L$17:$L$186,0)+1,0)</f>
        <v>2017-18</v>
      </c>
      <c r="F40" s="233">
        <f ca="1">IF(LEFT(E40,4)*1&gt;LEFT('General inputs'!$I$15,4)+'General inputs'!$H$28-1,"",IF(E40&lt;"2006-07",0,OFFSET('ET inputs'!$C$11,MATCH('DC Calculations'!E40,'ET inputs'!$C$12:$C$102,0),1)))</f>
        <v>100</v>
      </c>
      <c r="G40" s="233">
        <f ca="1">IF(LEFT(E40,4)*1&gt;LEFT('General inputs'!$I$15,4)+'General inputs'!$H$28-1,"",F40/(1+'General inputs'!$H$24)^D40)</f>
        <v>115.7625</v>
      </c>
      <c r="H40" s="233" t="str">
        <f ca="1">IF(OR(LEFT(E40,4)*1&lt;LEFT('General inputs'!$I$15,4)*1,LEFT(E40,4)*1&gt;LEFT('General inputs'!$I$15,4)+'General inputs'!$H$28-1),"",F40/(1+'General inputs'!$H$24)^D40)</f>
        <v/>
      </c>
      <c r="I40" s="103"/>
      <c r="J40" s="233">
        <f ca="1">IF(LEFT(E40,4)*1&gt;LEFT('General inputs'!$I$19,4)*1,"",SUMIF('Commissioned assets'!$F$17:$F$213,$E40,'Commissioned assets'!$P$17:$P$213))</f>
        <v>12500</v>
      </c>
      <c r="K40" s="233">
        <f ca="1">IF(J40="","",J40/(1+'General inputs'!$H$24)^D40)</f>
        <v>14470.312500000002</v>
      </c>
      <c r="L40" s="233" t="str">
        <f ca="1">IF(LEFT(E40,4)*1&lt;LEFT('General inputs'!$I$19,4)*1+1,"",SUMIF('Uncommissioned assets'!$F$17:$F$213,$E40,'Uncommissioned assets'!$P$17:$P$213))</f>
        <v/>
      </c>
      <c r="M40" s="233" t="str">
        <f ca="1">IF(L40="","",L40/(1+'General inputs'!$H$24)^D40)</f>
        <v/>
      </c>
      <c r="N40" s="103"/>
      <c r="O40" s="66"/>
      <c r="P40" s="233" t="str">
        <f ca="1">IF(OR(LEFT(E40,4)*1&lt;LEFT('General inputs'!$I$15,4)*1,LEFT(E40,4)*1&gt;LEFT('General inputs'!$I$15,4)+'General inputs'!$H$28-1),"",O40/(1+'General inputs'!$H$24)^D40)</f>
        <v/>
      </c>
      <c r="Q40" s="103"/>
      <c r="R40" s="66"/>
      <c r="S40" s="233" t="str">
        <f ca="1">IF(OR(LEFT(E40,4)*1&lt;LEFT('General inputs'!$I$15,4)*1,LEFT(E40,4)*1&gt;LEFT('General inputs'!$I$15,4)+'General inputs'!$H$28-1),"",R40/(1+'General inputs'!$H$24)^D40)</f>
        <v/>
      </c>
      <c r="T40" s="105"/>
      <c r="U40" s="104"/>
      <c r="V40" s="65"/>
      <c r="W40" s="65"/>
      <c r="X40" s="65"/>
    </row>
    <row r="41" spans="2:25" x14ac:dyDescent="0.25">
      <c r="B41" s="83"/>
      <c r="C41" s="104"/>
      <c r="D41" s="228">
        <f ca="1">IF(E41='General inputs'!$I$15,0,IF(E41&lt;'General inputs'!$I$15,D42-1,D40+1))</f>
        <v>-2</v>
      </c>
      <c r="E41" s="228" t="str">
        <f ca="1">OFFSET('General inputs'!$L$16,MATCH('DC Calculations'!E40,'General inputs'!$L$17:$L$186,0)+1,0)</f>
        <v>2018-19</v>
      </c>
      <c r="F41" s="233">
        <f ca="1">IF(LEFT(E41,4)*1&gt;LEFT('General inputs'!$I$15,4)+'General inputs'!$H$28-1,"",IF(E41&lt;"2006-07",0,OFFSET('ET inputs'!$C$11,MATCH('DC Calculations'!E41,'ET inputs'!$C$12:$C$102,0),1)))</f>
        <v>100</v>
      </c>
      <c r="G41" s="233">
        <f ca="1">IF(LEFT(E41,4)*1&gt;LEFT('General inputs'!$I$15,4)+'General inputs'!$H$28-1,"",F41/(1+'General inputs'!$H$24)^D41)</f>
        <v>110.25000000000001</v>
      </c>
      <c r="H41" s="233" t="str">
        <f ca="1">IF(OR(LEFT(E41,4)*1&lt;LEFT('General inputs'!$I$15,4)*1,LEFT(E41,4)*1&gt;LEFT('General inputs'!$I$15,4)+'General inputs'!$H$28-1),"",F41/(1+'General inputs'!$H$24)^D41)</f>
        <v/>
      </c>
      <c r="I41" s="103"/>
      <c r="J41" s="233">
        <f ca="1">IF(LEFT(E41,4)*1&gt;LEFT('General inputs'!$I$19,4)*1,"",SUMIF('Commissioned assets'!$F$17:$F$213,$E41,'Commissioned assets'!$P$17:$P$213))</f>
        <v>0</v>
      </c>
      <c r="K41" s="233">
        <f ca="1">IF(J41="","",J41/(1+'General inputs'!$H$24)^D41)</f>
        <v>0</v>
      </c>
      <c r="L41" s="233" t="str">
        <f ca="1">IF(LEFT(E41,4)*1&lt;LEFT('General inputs'!$I$19,4)*1+1,"",SUMIF('Uncommissioned assets'!$F$17:$F$213,$E41,'Uncommissioned assets'!$P$17:$P$213))</f>
        <v/>
      </c>
      <c r="M41" s="233" t="str">
        <f ca="1">IF(L41="","",L41/(1+'General inputs'!$H$24)^D41)</f>
        <v/>
      </c>
      <c r="N41" s="103"/>
      <c r="O41" s="66"/>
      <c r="P41" s="233" t="str">
        <f ca="1">IF(OR(LEFT(E41,4)*1&lt;LEFT('General inputs'!$I$15,4)*1,LEFT(E41,4)*1&gt;LEFT('General inputs'!$I$15,4)+'General inputs'!$H$28-1),"",O41/(1+'General inputs'!$H$24)^D41)</f>
        <v/>
      </c>
      <c r="Q41" s="103"/>
      <c r="R41" s="66"/>
      <c r="S41" s="233" t="str">
        <f ca="1">IF(OR(LEFT(E41,4)*1&lt;LEFT('General inputs'!$I$15,4)*1,LEFT(E41,4)*1&gt;LEFT('General inputs'!$I$15,4)+'General inputs'!$H$28-1),"",R41/(1+'General inputs'!$H$24)^D41)</f>
        <v/>
      </c>
      <c r="T41" s="105"/>
      <c r="U41" s="104"/>
      <c r="V41" s="65"/>
      <c r="W41" s="65"/>
      <c r="X41" s="65"/>
    </row>
    <row r="42" spans="2:25" x14ac:dyDescent="0.25">
      <c r="B42" s="83"/>
      <c r="C42" s="104"/>
      <c r="D42" s="228">
        <f ca="1">IF(E42='General inputs'!$I$15,0,IF(E42&lt;'General inputs'!$I$15,D43-1,D41+1))</f>
        <v>-1</v>
      </c>
      <c r="E42" s="228" t="str">
        <f ca="1">OFFSET('General inputs'!$L$16,MATCH('DC Calculations'!E41,'General inputs'!$L$17:$L$186,0)+1,0)</f>
        <v>2019-20</v>
      </c>
      <c r="F42" s="233">
        <f ca="1">IF(LEFT(E42,4)*1&gt;LEFT('General inputs'!$I$15,4)+'General inputs'!$H$28-1,"",IF(E42&lt;"2006-07",0,OFFSET('ET inputs'!$C$11,MATCH('DC Calculations'!E42,'ET inputs'!$C$12:$C$102,0),1)))</f>
        <v>100</v>
      </c>
      <c r="G42" s="233">
        <f ca="1">IF(LEFT(E42,4)*1&gt;LEFT('General inputs'!$I$15,4)+'General inputs'!$H$28-1,"",F42/(1+'General inputs'!$H$24)^D42)</f>
        <v>105</v>
      </c>
      <c r="H42" s="233" t="str">
        <f ca="1">IF(OR(LEFT(E42,4)*1&lt;LEFT('General inputs'!$I$15,4)*1,LEFT(E42,4)*1&gt;LEFT('General inputs'!$I$15,4)+'General inputs'!$H$28-1),"",F42/(1+'General inputs'!$H$24)^D42)</f>
        <v/>
      </c>
      <c r="I42" s="103"/>
      <c r="J42" s="233" t="str">
        <f ca="1">IF(LEFT(E42,4)*1&gt;LEFT('General inputs'!$I$19,4)*1,"",SUMIF('Commissioned assets'!$F$17:$F$213,$E42,'Commissioned assets'!$P$17:$P$213))</f>
        <v/>
      </c>
      <c r="K42" s="233" t="str">
        <f ca="1">IF(J42="","",J42/(1+'General inputs'!$H$24)^D42)</f>
        <v/>
      </c>
      <c r="L42" s="233">
        <f ca="1">IF(LEFT(E42,4)*1&lt;LEFT('General inputs'!$I$19,4)*1+1,"",SUMIF('Uncommissioned assets'!$F$17:$F$213,$E42,'Uncommissioned assets'!$P$17:$P$213))</f>
        <v>2500</v>
      </c>
      <c r="M42" s="233">
        <f ca="1">IF(L42="","",L42/(1+'General inputs'!$H$24)^D42)</f>
        <v>2625</v>
      </c>
      <c r="N42" s="103"/>
      <c r="O42" s="66"/>
      <c r="P42" s="233" t="str">
        <f ca="1">IF(OR(LEFT(E42,4)*1&lt;LEFT('General inputs'!$I$15,4)*1,LEFT(E42,4)*1&gt;LEFT('General inputs'!$I$15,4)+'General inputs'!$H$28-1),"",O42/(1+'General inputs'!$H$24)^D42)</f>
        <v/>
      </c>
      <c r="Q42" s="103"/>
      <c r="R42" s="66"/>
      <c r="S42" s="233" t="str">
        <f ca="1">IF(OR(LEFT(E42,4)*1&lt;LEFT('General inputs'!$I$15,4)*1,LEFT(E42,4)*1&gt;LEFT('General inputs'!$I$15,4)+'General inputs'!$H$28-1),"",R42/(1+'General inputs'!$H$24)^D42)</f>
        <v/>
      </c>
      <c r="T42" s="105"/>
      <c r="U42" s="104"/>
      <c r="V42" s="65"/>
      <c r="W42" s="65"/>
      <c r="X42" s="65"/>
    </row>
    <row r="43" spans="2:25" x14ac:dyDescent="0.25">
      <c r="B43" s="83"/>
      <c r="C43" s="104"/>
      <c r="D43" s="228">
        <f ca="1">IF(E43='General inputs'!$I$15,0,IF(E43&lt;'General inputs'!$I$15,D44-1,D42+1))</f>
        <v>0</v>
      </c>
      <c r="E43" s="228" t="str">
        <f ca="1">OFFSET('General inputs'!$L$16,MATCH('DC Calculations'!E42,'General inputs'!$L$17:$L$186,0)+1,0)</f>
        <v>2020-21</v>
      </c>
      <c r="F43" s="233">
        <f ca="1">IF(LEFT(E43,4)*1&gt;LEFT('General inputs'!$I$15,4)+'General inputs'!$H$28-1,"",IF(E43&lt;"2006-07",0,OFFSET('ET inputs'!$C$11,MATCH('DC Calculations'!E43,'ET inputs'!$C$12:$C$102,0),1)))</f>
        <v>100</v>
      </c>
      <c r="G43" s="233">
        <f ca="1">IF(LEFT(E43,4)*1&gt;LEFT('General inputs'!$I$15,4)+'General inputs'!$H$28-1,"",F43/(1+'General inputs'!$H$24)^D43)</f>
        <v>100</v>
      </c>
      <c r="H43" s="233">
        <f ca="1">IF(OR(LEFT(E43,4)*1&lt;LEFT('General inputs'!$I$15,4)*1,LEFT(E43,4)*1&gt;LEFT('General inputs'!$I$15,4)+'General inputs'!$H$28-1),"",F43/(1+'General inputs'!$H$24)^D43)</f>
        <v>100</v>
      </c>
      <c r="I43" s="103"/>
      <c r="J43" s="233" t="str">
        <f ca="1">IF(LEFT(E43,4)*1&gt;LEFT('General inputs'!$I$19,4)*1,"",SUMIF('Commissioned assets'!$F$17:$F$213,$E43,'Commissioned assets'!$P$17:$P$213))</f>
        <v/>
      </c>
      <c r="K43" s="233" t="str">
        <f ca="1">IF(J43="","",J43/(1+'General inputs'!$H$24)^D43)</f>
        <v/>
      </c>
      <c r="L43" s="233">
        <f ca="1">IF(LEFT(E43,4)*1&lt;LEFT('General inputs'!$I$19,4)*1+1,"",SUMIF('Uncommissioned assets'!$F$17:$F$213,$E43,'Uncommissioned assets'!$P$17:$P$213))</f>
        <v>0</v>
      </c>
      <c r="M43" s="233">
        <f ca="1">IF(L43="","",L43/(1+'General inputs'!$H$24)^D43)</f>
        <v>0</v>
      </c>
      <c r="N43" s="103"/>
      <c r="O43" s="66"/>
      <c r="P43" s="233">
        <f ca="1">IF(OR(LEFT(E43,4)*1&lt;LEFT('General inputs'!$I$15,4)*1,LEFT(E43,4)*1&gt;LEFT('General inputs'!$I$15,4)+'General inputs'!$H$28-1),"",O43/(1+'General inputs'!$H$24)^D43)</f>
        <v>0</v>
      </c>
      <c r="Q43" s="103"/>
      <c r="R43" s="66"/>
      <c r="S43" s="233">
        <f ca="1">IF(OR(LEFT(E43,4)*1&lt;LEFT('General inputs'!$I$15,4)*1,LEFT(E43,4)*1&gt;LEFT('General inputs'!$I$15,4)+'General inputs'!$H$28-1),"",R43/(1+'General inputs'!$H$24)^D43)</f>
        <v>0</v>
      </c>
      <c r="T43" s="105"/>
      <c r="U43" s="104"/>
      <c r="V43" s="65"/>
      <c r="W43" s="65"/>
      <c r="X43" s="65"/>
    </row>
    <row r="44" spans="2:25" x14ac:dyDescent="0.25">
      <c r="B44" s="83"/>
      <c r="C44" s="104"/>
      <c r="D44" s="228">
        <f ca="1">IF(E44='General inputs'!$I$15,0,IF(E44&lt;'General inputs'!$I$15,D45-1,D43+1))</f>
        <v>1</v>
      </c>
      <c r="E44" s="228" t="str">
        <f ca="1">OFFSET('General inputs'!$L$16,MATCH('DC Calculations'!E43,'General inputs'!$L$17:$L$186,0)+1,0)</f>
        <v>2021-22</v>
      </c>
      <c r="F44" s="233">
        <f ca="1">IF(LEFT(E44,4)*1&gt;LEFT('General inputs'!$I$15,4)+'General inputs'!$H$28-1,"",IF(E44&lt;"2006-07",0,OFFSET('ET inputs'!$C$11,MATCH('DC Calculations'!E44,'ET inputs'!$C$12:$C$102,0),1)))</f>
        <v>100</v>
      </c>
      <c r="G44" s="233">
        <f ca="1">IF(LEFT(E44,4)*1&gt;LEFT('General inputs'!$I$15,4)+'General inputs'!$H$28-1,"",F44/(1+'General inputs'!$H$24)^D44)</f>
        <v>95.238095238095241</v>
      </c>
      <c r="H44" s="233">
        <f ca="1">IF(OR(LEFT(E44,4)*1&lt;LEFT('General inputs'!$I$15,4)*1,LEFT(E44,4)*1&gt;LEFT('General inputs'!$I$15,4)+'General inputs'!$H$28-1),"",F44/(1+'General inputs'!$H$24)^D44)</f>
        <v>95.238095238095241</v>
      </c>
      <c r="I44" s="103"/>
      <c r="J44" s="233" t="str">
        <f ca="1">IF(LEFT(E44,4)*1&gt;LEFT('General inputs'!$I$19,4)*1,"",SUMIF('Commissioned assets'!$F$17:$F$213,$E44,'Commissioned assets'!$P$17:$P$213))</f>
        <v/>
      </c>
      <c r="K44" s="233" t="str">
        <f ca="1">IF(J44="","",J44/(1+'General inputs'!$H$24)^D44)</f>
        <v/>
      </c>
      <c r="L44" s="233">
        <f ca="1">IF(LEFT(E44,4)*1&lt;LEFT('General inputs'!$I$19,4)*1+1,"",SUMIF('Uncommissioned assets'!$F$17:$F$213,$E44,'Uncommissioned assets'!$P$17:$P$213))</f>
        <v>0</v>
      </c>
      <c r="M44" s="233">
        <f ca="1">IF(L44="","",L44/(1+'General inputs'!$H$24)^D44)</f>
        <v>0</v>
      </c>
      <c r="N44" s="103"/>
      <c r="O44" s="66"/>
      <c r="P44" s="233">
        <f ca="1">IF(OR(LEFT(E44,4)*1&lt;LEFT('General inputs'!$I$15,4)*1,LEFT(E44,4)*1&gt;LEFT('General inputs'!$I$15,4)+'General inputs'!$H$28-1),"",O44/(1+'General inputs'!$H$24)^D44)</f>
        <v>0</v>
      </c>
      <c r="Q44" s="103"/>
      <c r="R44" s="66"/>
      <c r="S44" s="233">
        <f ca="1">IF(OR(LEFT(E44,4)*1&lt;LEFT('General inputs'!$I$15,4)*1,LEFT(E44,4)*1&gt;LEFT('General inputs'!$I$15,4)+'General inputs'!$H$28-1),"",R44/(1+'General inputs'!$H$24)^D44)</f>
        <v>0</v>
      </c>
      <c r="T44" s="105"/>
      <c r="U44" s="104"/>
      <c r="V44" s="65"/>
      <c r="W44" s="65"/>
      <c r="X44" s="65"/>
    </row>
    <row r="45" spans="2:25" x14ac:dyDescent="0.25">
      <c r="B45" s="83"/>
      <c r="C45" s="104"/>
      <c r="D45" s="228">
        <f ca="1">IF(E45='General inputs'!$I$15,0,IF(E45&lt;'General inputs'!$I$15,D46-1,D44+1))</f>
        <v>2</v>
      </c>
      <c r="E45" s="228" t="str">
        <f ca="1">OFFSET('General inputs'!$L$16,MATCH('DC Calculations'!E44,'General inputs'!$L$17:$L$186,0)+1,0)</f>
        <v>2022-23</v>
      </c>
      <c r="F45" s="233">
        <f ca="1">IF(LEFT(E45,4)*1&gt;LEFT('General inputs'!$I$15,4)+'General inputs'!$H$28-1,"",IF(E45&lt;"2006-07",0,OFFSET('ET inputs'!$C$11,MATCH('DC Calculations'!E45,'ET inputs'!$C$12:$C$102,0),1)))</f>
        <v>100</v>
      </c>
      <c r="G45" s="233">
        <f ca="1">IF(LEFT(E45,4)*1&gt;LEFT('General inputs'!$I$15,4)+'General inputs'!$H$28-1,"",F45/(1+'General inputs'!$H$24)^D45)</f>
        <v>90.702947845804985</v>
      </c>
      <c r="H45" s="233">
        <f ca="1">IF(OR(LEFT(E45,4)*1&lt;LEFT('General inputs'!$I$15,4)*1,LEFT(E45,4)*1&gt;LEFT('General inputs'!$I$15,4)+'General inputs'!$H$28-1),"",F45/(1+'General inputs'!$H$24)^D45)</f>
        <v>90.702947845804985</v>
      </c>
      <c r="I45" s="103"/>
      <c r="J45" s="233" t="str">
        <f ca="1">IF(LEFT(E45,4)*1&gt;LEFT('General inputs'!$I$19,4)*1,"",SUMIF('Commissioned assets'!$F$17:$F$213,$E45,'Commissioned assets'!$P$17:$P$213))</f>
        <v/>
      </c>
      <c r="K45" s="233" t="str">
        <f ca="1">IF(J45="","",J45/(1+'General inputs'!$H$24)^D45)</f>
        <v/>
      </c>
      <c r="L45" s="233">
        <f ca="1">IF(LEFT(E45,4)*1&lt;LEFT('General inputs'!$I$19,4)*1+1,"",SUMIF('Uncommissioned assets'!$F$17:$F$213,$E45,'Uncommissioned assets'!$P$17:$P$213))</f>
        <v>0</v>
      </c>
      <c r="M45" s="233">
        <f ca="1">IF(L45="","",L45/(1+'General inputs'!$H$24)^D45)</f>
        <v>0</v>
      </c>
      <c r="N45" s="103"/>
      <c r="O45" s="66"/>
      <c r="P45" s="233">
        <f ca="1">IF(OR(LEFT(E45,4)*1&lt;LEFT('General inputs'!$I$15,4)*1,LEFT(E45,4)*1&gt;LEFT('General inputs'!$I$15,4)+'General inputs'!$H$28-1),"",O45/(1+'General inputs'!$H$24)^D45)</f>
        <v>0</v>
      </c>
      <c r="Q45" s="103"/>
      <c r="R45" s="66"/>
      <c r="S45" s="233">
        <f ca="1">IF(OR(LEFT(E45,4)*1&lt;LEFT('General inputs'!$I$15,4)*1,LEFT(E45,4)*1&gt;LEFT('General inputs'!$I$15,4)+'General inputs'!$H$28-1),"",R45/(1+'General inputs'!$H$24)^D45)</f>
        <v>0</v>
      </c>
      <c r="T45" s="105"/>
      <c r="U45" s="104"/>
      <c r="V45" s="65"/>
      <c r="W45" s="65"/>
      <c r="X45" s="65"/>
    </row>
    <row r="46" spans="2:25" x14ac:dyDescent="0.25">
      <c r="B46" s="83"/>
      <c r="C46" s="104"/>
      <c r="D46" s="228">
        <f ca="1">IF(E46='General inputs'!$I$15,0,IF(E46&lt;'General inputs'!$I$15,D47-1,D45+1))</f>
        <v>3</v>
      </c>
      <c r="E46" s="228" t="str">
        <f ca="1">OFFSET('General inputs'!$L$16,MATCH('DC Calculations'!E45,'General inputs'!$L$17:$L$186,0)+1,0)</f>
        <v>2023-24</v>
      </c>
      <c r="F46" s="233">
        <f ca="1">IF(LEFT(E46,4)*1&gt;LEFT('General inputs'!$I$15,4)+'General inputs'!$H$28-1,"",IF(E46&lt;"2006-07",0,OFFSET('ET inputs'!$C$11,MATCH('DC Calculations'!E46,'ET inputs'!$C$12:$C$102,0),1)))</f>
        <v>100</v>
      </c>
      <c r="G46" s="233">
        <f ca="1">IF(LEFT(E46,4)*1&gt;LEFT('General inputs'!$I$15,4)+'General inputs'!$H$28-1,"",F46/(1+'General inputs'!$H$24)^D46)</f>
        <v>86.383759853147595</v>
      </c>
      <c r="H46" s="233">
        <f ca="1">IF(OR(LEFT(E46,4)*1&lt;LEFT('General inputs'!$I$15,4)*1,LEFT(E46,4)*1&gt;LEFT('General inputs'!$I$15,4)+'General inputs'!$H$28-1),"",F46/(1+'General inputs'!$H$24)^D46)</f>
        <v>86.383759853147595</v>
      </c>
      <c r="I46" s="103"/>
      <c r="J46" s="233" t="str">
        <f ca="1">IF(LEFT(E46,4)*1&gt;LEFT('General inputs'!$I$19,4)*1,"",SUMIF('Commissioned assets'!$F$17:$F$213,$E46,'Commissioned assets'!$P$17:$P$213))</f>
        <v/>
      </c>
      <c r="K46" s="233" t="str">
        <f ca="1">IF(J46="","",J46/(1+'General inputs'!$H$24)^D46)</f>
        <v/>
      </c>
      <c r="L46" s="233">
        <f ca="1">IF(LEFT(E46,4)*1&lt;LEFT('General inputs'!$I$19,4)*1+1,"",SUMIF('Uncommissioned assets'!$F$17:$F$213,$E46,'Uncommissioned assets'!$P$17:$P$213))</f>
        <v>0</v>
      </c>
      <c r="M46" s="233">
        <f ca="1">IF(L46="","",L46/(1+'General inputs'!$H$24)^D46)</f>
        <v>0</v>
      </c>
      <c r="N46" s="103"/>
      <c r="O46" s="66"/>
      <c r="P46" s="233">
        <f ca="1">IF(OR(LEFT(E46,4)*1&lt;LEFT('General inputs'!$I$15,4)*1,LEFT(E46,4)*1&gt;LEFT('General inputs'!$I$15,4)+'General inputs'!$H$28-1),"",O46/(1+'General inputs'!$H$24)^D46)</f>
        <v>0</v>
      </c>
      <c r="Q46" s="103"/>
      <c r="R46" s="66"/>
      <c r="S46" s="233">
        <f ca="1">IF(OR(LEFT(E46,4)*1&lt;LEFT('General inputs'!$I$15,4)*1,LEFT(E46,4)*1&gt;LEFT('General inputs'!$I$15,4)+'General inputs'!$H$28-1),"",R46/(1+'General inputs'!$H$24)^D46)</f>
        <v>0</v>
      </c>
      <c r="T46" s="105"/>
      <c r="U46" s="104"/>
      <c r="V46" s="65"/>
      <c r="W46" s="65"/>
      <c r="X46" s="65"/>
    </row>
    <row r="47" spans="2:25" x14ac:dyDescent="0.25">
      <c r="B47" s="83"/>
      <c r="C47" s="104"/>
      <c r="D47" s="228">
        <f ca="1">IF(E47='General inputs'!$I$15,0,IF(E47&lt;'General inputs'!$I$15,D48-1,D46+1))</f>
        <v>4</v>
      </c>
      <c r="E47" s="228" t="str">
        <f ca="1">OFFSET('General inputs'!$L$16,MATCH('DC Calculations'!E46,'General inputs'!$L$17:$L$186,0)+1,0)</f>
        <v>2024-25</v>
      </c>
      <c r="F47" s="233">
        <f ca="1">IF(LEFT(E47,4)*1&gt;LEFT('General inputs'!$I$15,4)+'General inputs'!$H$28-1,"",IF(E47&lt;"2006-07",0,OFFSET('ET inputs'!$C$11,MATCH('DC Calculations'!E47,'ET inputs'!$C$12:$C$102,0),1)))</f>
        <v>100</v>
      </c>
      <c r="G47" s="233">
        <f ca="1">IF(LEFT(E47,4)*1&gt;LEFT('General inputs'!$I$15,4)+'General inputs'!$H$28-1,"",F47/(1+'General inputs'!$H$24)^D47)</f>
        <v>82.2702474791882</v>
      </c>
      <c r="H47" s="233">
        <f ca="1">IF(OR(LEFT(E47,4)*1&lt;LEFT('General inputs'!$I$15,4)*1,LEFT(E47,4)*1&gt;LEFT('General inputs'!$I$15,4)+'General inputs'!$H$28-1),"",F47/(1+'General inputs'!$H$24)^D47)</f>
        <v>82.2702474791882</v>
      </c>
      <c r="I47" s="103"/>
      <c r="J47" s="233" t="str">
        <f ca="1">IF(LEFT(E47,4)*1&gt;LEFT('General inputs'!$I$19,4)*1,"",SUMIF('Commissioned assets'!$F$17:$F$213,$E47,'Commissioned assets'!$P$17:$P$213))</f>
        <v/>
      </c>
      <c r="K47" s="233" t="str">
        <f ca="1">IF(J47="","",J47/(1+'General inputs'!$H$24)^D47)</f>
        <v/>
      </c>
      <c r="L47" s="233">
        <f ca="1">IF(LEFT(E47,4)*1&lt;LEFT('General inputs'!$I$19,4)*1+1,"",SUMIF('Uncommissioned assets'!$F$17:$F$213,$E47,'Uncommissioned assets'!$P$17:$P$213))</f>
        <v>0</v>
      </c>
      <c r="M47" s="233">
        <f ca="1">IF(L47="","",L47/(1+'General inputs'!$H$24)^D47)</f>
        <v>0</v>
      </c>
      <c r="N47" s="103"/>
      <c r="O47" s="122"/>
      <c r="P47" s="233">
        <f ca="1">IF(OR(LEFT(E47,4)*1&lt;LEFT('General inputs'!$I$15,4)*1,LEFT(E47,4)*1&gt;LEFT('General inputs'!$I$15,4)+'General inputs'!$H$28-1),"",O47/(1+'General inputs'!$H$24)^D47)</f>
        <v>0</v>
      </c>
      <c r="Q47" s="103"/>
      <c r="R47" s="122"/>
      <c r="S47" s="233">
        <f ca="1">IF(OR(LEFT(E47,4)*1&lt;LEFT('General inputs'!$I$15,4)*1,LEFT(E47,4)*1&gt;LEFT('General inputs'!$I$15,4)+'General inputs'!$H$28-1),"",R47/(1+'General inputs'!$H$24)^D47)</f>
        <v>0</v>
      </c>
      <c r="T47" s="105"/>
      <c r="U47" s="104"/>
      <c r="V47" s="65"/>
      <c r="W47" s="65"/>
      <c r="X47" s="65"/>
    </row>
    <row r="48" spans="2:25" x14ac:dyDescent="0.25">
      <c r="B48" s="83"/>
      <c r="C48" s="104"/>
      <c r="D48" s="228">
        <f ca="1">IF(E48='General inputs'!$I$15,0,IF(E48&lt;'General inputs'!$I$15,D49-1,D47+1))</f>
        <v>5</v>
      </c>
      <c r="E48" s="228" t="str">
        <f ca="1">OFFSET('General inputs'!$L$16,MATCH('DC Calculations'!E47,'General inputs'!$L$17:$L$186,0)+1,0)</f>
        <v>2025-26</v>
      </c>
      <c r="F48" s="233">
        <f ca="1">IF(LEFT(E48,4)*1&gt;LEFT('General inputs'!$I$15,4)+'General inputs'!$H$28-1,"",IF(E48&lt;"2006-07",0,OFFSET('ET inputs'!$C$11,MATCH('DC Calculations'!E48,'ET inputs'!$C$12:$C$102,0),1)))</f>
        <v>100</v>
      </c>
      <c r="G48" s="233">
        <f ca="1">IF(LEFT(E48,4)*1&gt;LEFT('General inputs'!$I$15,4)+'General inputs'!$H$28-1,"",F48/(1+'General inputs'!$H$24)^D48)</f>
        <v>78.352616646845888</v>
      </c>
      <c r="H48" s="233">
        <f ca="1">IF(OR(LEFT(E48,4)*1&lt;LEFT('General inputs'!$I$15,4)*1,LEFT(E48,4)*1&gt;LEFT('General inputs'!$I$15,4)+'General inputs'!$H$28-1),"",F48/(1+'General inputs'!$H$24)^D48)</f>
        <v>78.352616646845888</v>
      </c>
      <c r="I48" s="103"/>
      <c r="J48" s="233" t="str">
        <f ca="1">IF(LEFT(E48,4)*1&gt;LEFT('General inputs'!$I$19,4)*1,"",SUMIF('Commissioned assets'!$F$17:$F$213,$E48,'Commissioned assets'!$P$17:$P$213))</f>
        <v/>
      </c>
      <c r="K48" s="233" t="str">
        <f ca="1">IF(J48="","",J48/(1+'General inputs'!$H$24)^D48)</f>
        <v/>
      </c>
      <c r="L48" s="233">
        <f ca="1">IF(LEFT(E48,4)*1&lt;LEFT('General inputs'!$I$19,4)*1+1,"",SUMIF('Uncommissioned assets'!$F$17:$F$213,$E48,'Uncommissioned assets'!$P$17:$P$213))</f>
        <v>0</v>
      </c>
      <c r="M48" s="233">
        <f ca="1">IF(L48="","",L48/(1+'General inputs'!$H$24)^D48)</f>
        <v>0</v>
      </c>
      <c r="N48" s="103"/>
      <c r="O48" s="122"/>
      <c r="P48" s="233">
        <f ca="1">IF(OR(LEFT(E48,4)*1&lt;LEFT('General inputs'!$I$15,4)*1,LEFT(E48,4)*1&gt;LEFT('General inputs'!$I$15,4)+'General inputs'!$H$28-1),"",O48/(1+'General inputs'!$H$24)^D48)</f>
        <v>0</v>
      </c>
      <c r="Q48" s="103"/>
      <c r="R48" s="122"/>
      <c r="S48" s="233">
        <f ca="1">IF(OR(LEFT(E48,4)*1&lt;LEFT('General inputs'!$I$15,4)*1,LEFT(E48,4)*1&gt;LEFT('General inputs'!$I$15,4)+'General inputs'!$H$28-1),"",R48/(1+'General inputs'!$H$24)^D48)</f>
        <v>0</v>
      </c>
      <c r="T48" s="105"/>
      <c r="U48" s="104"/>
      <c r="V48" s="65"/>
      <c r="W48" s="65"/>
      <c r="X48" s="65"/>
    </row>
    <row r="49" spans="1:24" x14ac:dyDescent="0.25">
      <c r="B49" s="83"/>
      <c r="C49" s="104"/>
      <c r="D49" s="228">
        <f ca="1">IF(E49='General inputs'!$I$15,0,IF(E49&lt;'General inputs'!$I$15,D50-1,D48+1))</f>
        <v>6</v>
      </c>
      <c r="E49" s="228" t="str">
        <f ca="1">OFFSET('General inputs'!$L$16,MATCH('DC Calculations'!E48,'General inputs'!$L$17:$L$186,0)+1,0)</f>
        <v>2026-27</v>
      </c>
      <c r="F49" s="233">
        <f ca="1">IF(LEFT(E49,4)*1&gt;LEFT('General inputs'!$I$15,4)+'General inputs'!$H$28-1,"",IF(E49&lt;"2006-07",0,OFFSET('ET inputs'!$C$11,MATCH('DC Calculations'!E49,'ET inputs'!$C$12:$C$102,0),1)))</f>
        <v>100</v>
      </c>
      <c r="G49" s="233">
        <f ca="1">IF(LEFT(E49,4)*1&gt;LEFT('General inputs'!$I$15,4)+'General inputs'!$H$28-1,"",F49/(1+'General inputs'!$H$24)^D49)</f>
        <v>74.621539663662773</v>
      </c>
      <c r="H49" s="233">
        <f ca="1">IF(OR(LEFT(E49,4)*1&lt;LEFT('General inputs'!$I$15,4)*1,LEFT(E49,4)*1&gt;LEFT('General inputs'!$I$15,4)+'General inputs'!$H$28-1),"",F49/(1+'General inputs'!$H$24)^D49)</f>
        <v>74.621539663662773</v>
      </c>
      <c r="I49" s="103"/>
      <c r="J49" s="233" t="str">
        <f ca="1">IF(LEFT(E49,4)*1&gt;LEFT('General inputs'!$I$19,4)*1,"",SUMIF('Commissioned assets'!$F$17:$F$213,$E49,'Commissioned assets'!$P$17:$P$213))</f>
        <v/>
      </c>
      <c r="K49" s="233" t="str">
        <f ca="1">IF(J49="","",J49/(1+'General inputs'!$H$24)^D49)</f>
        <v/>
      </c>
      <c r="L49" s="233">
        <f ca="1">IF(LEFT(E49,4)*1&lt;LEFT('General inputs'!$I$19,4)*1+1,"",SUMIF('Uncommissioned assets'!$F$17:$F$213,$E49,'Uncommissioned assets'!$P$17:$P$213))</f>
        <v>0</v>
      </c>
      <c r="M49" s="233">
        <f ca="1">IF(L49="","",L49/(1+'General inputs'!$H$24)^D49)</f>
        <v>0</v>
      </c>
      <c r="N49" s="103"/>
      <c r="O49" s="122"/>
      <c r="P49" s="233">
        <f ca="1">IF(OR(LEFT(E49,4)*1&lt;LEFT('General inputs'!$I$15,4)*1,LEFT(E49,4)*1&gt;LEFT('General inputs'!$I$15,4)+'General inputs'!$H$28-1),"",O49/(1+'General inputs'!$H$24)^D49)</f>
        <v>0</v>
      </c>
      <c r="Q49" s="103"/>
      <c r="R49" s="122"/>
      <c r="S49" s="233">
        <f ca="1">IF(OR(LEFT(E49,4)*1&lt;LEFT('General inputs'!$I$15,4)*1,LEFT(E49,4)*1&gt;LEFT('General inputs'!$I$15,4)+'General inputs'!$H$28-1),"",R49/(1+'General inputs'!$H$24)^D49)</f>
        <v>0</v>
      </c>
      <c r="T49" s="105"/>
      <c r="U49" s="104"/>
      <c r="V49" s="65"/>
      <c r="W49" s="65"/>
      <c r="X49" s="65"/>
    </row>
    <row r="50" spans="1:24" x14ac:dyDescent="0.25">
      <c r="B50" s="83"/>
      <c r="C50" s="104"/>
      <c r="D50" s="228">
        <f ca="1">IF(E50='General inputs'!$I$15,0,IF(E50&lt;'General inputs'!$I$15,D51-1,D49+1))</f>
        <v>7</v>
      </c>
      <c r="E50" s="228" t="str">
        <f ca="1">OFFSET('General inputs'!$L$16,MATCH('DC Calculations'!E49,'General inputs'!$L$17:$L$186,0)+1,0)</f>
        <v>2027-28</v>
      </c>
      <c r="F50" s="233">
        <f ca="1">IF(LEFT(E50,4)*1&gt;LEFT('General inputs'!$I$15,4)+'General inputs'!$H$28-1,"",IF(E50&lt;"2006-07",0,OFFSET('ET inputs'!$C$11,MATCH('DC Calculations'!E50,'ET inputs'!$C$12:$C$102,0),1)))</f>
        <v>100</v>
      </c>
      <c r="G50" s="233">
        <f ca="1">IF(LEFT(E50,4)*1&gt;LEFT('General inputs'!$I$15,4)+'General inputs'!$H$28-1,"",F50/(1+'General inputs'!$H$24)^D50)</f>
        <v>71.068133013012144</v>
      </c>
      <c r="H50" s="233">
        <f ca="1">IF(OR(LEFT(E50,4)*1&lt;LEFT('General inputs'!$I$15,4)*1,LEFT(E50,4)*1&gt;LEFT('General inputs'!$I$15,4)+'General inputs'!$H$28-1),"",F50/(1+'General inputs'!$H$24)^D50)</f>
        <v>71.068133013012144</v>
      </c>
      <c r="I50" s="103"/>
      <c r="J50" s="233" t="str">
        <f ca="1">IF(LEFT(E50,4)*1&gt;LEFT('General inputs'!$I$19,4)*1,"",SUMIF('Commissioned assets'!$F$17:$F$213,$E50,'Commissioned assets'!$P$17:$P$213))</f>
        <v/>
      </c>
      <c r="K50" s="233" t="str">
        <f ca="1">IF(J50="","",J50/(1+'General inputs'!$H$24)^D50)</f>
        <v/>
      </c>
      <c r="L50" s="233">
        <f ca="1">IF(LEFT(E50,4)*1&lt;LEFT('General inputs'!$I$19,4)*1+1,"",SUMIF('Uncommissioned assets'!$F$17:$F$213,$E50,'Uncommissioned assets'!$P$17:$P$213))</f>
        <v>0</v>
      </c>
      <c r="M50" s="233">
        <f ca="1">IF(L50="","",L50/(1+'General inputs'!$H$24)^D50)</f>
        <v>0</v>
      </c>
      <c r="N50" s="103"/>
      <c r="O50" s="122"/>
      <c r="P50" s="233">
        <f ca="1">IF(OR(LEFT(E50,4)*1&lt;LEFT('General inputs'!$I$15,4)*1,LEFT(E50,4)*1&gt;LEFT('General inputs'!$I$15,4)+'General inputs'!$H$28-1),"",O50/(1+'General inputs'!$H$24)^D50)</f>
        <v>0</v>
      </c>
      <c r="Q50" s="103"/>
      <c r="R50" s="122"/>
      <c r="S50" s="233">
        <f ca="1">IF(OR(LEFT(E50,4)*1&lt;LEFT('General inputs'!$I$15,4)*1,LEFT(E50,4)*1&gt;LEFT('General inputs'!$I$15,4)+'General inputs'!$H$28-1),"",R50/(1+'General inputs'!$H$24)^D50)</f>
        <v>0</v>
      </c>
      <c r="T50" s="105"/>
      <c r="U50" s="104"/>
      <c r="V50" s="65"/>
      <c r="W50" s="65"/>
      <c r="X50" s="65"/>
    </row>
    <row r="51" spans="1:24" x14ac:dyDescent="0.25">
      <c r="B51" s="83"/>
      <c r="C51" s="104"/>
      <c r="D51" s="228">
        <f ca="1">IF(E51='General inputs'!$I$15,0,IF(E51&lt;'General inputs'!$I$15,D52-1,D50+1))</f>
        <v>8</v>
      </c>
      <c r="E51" s="228" t="str">
        <f ca="1">OFFSET('General inputs'!$L$16,MATCH('DC Calculations'!E50,'General inputs'!$L$17:$L$186,0)+1,0)</f>
        <v>2028-29</v>
      </c>
      <c r="F51" s="233">
        <f ca="1">IF(LEFT(E51,4)*1&gt;LEFT('General inputs'!$I$15,4)+'General inputs'!$H$28-1,"",IF(E51&lt;"2006-07",0,OFFSET('ET inputs'!$C$11,MATCH('DC Calculations'!E51,'ET inputs'!$C$12:$C$102,0),1)))</f>
        <v>100</v>
      </c>
      <c r="G51" s="233">
        <f ca="1">IF(LEFT(E51,4)*1&gt;LEFT('General inputs'!$I$15,4)+'General inputs'!$H$28-1,"",F51/(1+'General inputs'!$H$24)^D51)</f>
        <v>67.683936202868722</v>
      </c>
      <c r="H51" s="233">
        <f ca="1">IF(OR(LEFT(E51,4)*1&lt;LEFT('General inputs'!$I$15,4)*1,LEFT(E51,4)*1&gt;LEFT('General inputs'!$I$15,4)+'General inputs'!$H$28-1),"",F51/(1+'General inputs'!$H$24)^D51)</f>
        <v>67.683936202868722</v>
      </c>
      <c r="I51" s="103"/>
      <c r="J51" s="233" t="str">
        <f ca="1">IF(LEFT(E51,4)*1&gt;LEFT('General inputs'!$I$19,4)*1,"",SUMIF('Commissioned assets'!$F$17:$F$213,$E51,'Commissioned assets'!$P$17:$P$213))</f>
        <v/>
      </c>
      <c r="K51" s="233" t="str">
        <f ca="1">IF(J51="","",J51/(1+'General inputs'!$H$24)^D51)</f>
        <v/>
      </c>
      <c r="L51" s="233">
        <f ca="1">IF(LEFT(E51,4)*1&lt;LEFT('General inputs'!$I$19,4)*1+1,"",SUMIF('Uncommissioned assets'!$F$17:$F$213,$E51,'Uncommissioned assets'!$P$17:$P$213))</f>
        <v>0</v>
      </c>
      <c r="M51" s="233">
        <f ca="1">IF(L51="","",L51/(1+'General inputs'!$H$24)^D51)</f>
        <v>0</v>
      </c>
      <c r="N51" s="103"/>
      <c r="O51" s="122"/>
      <c r="P51" s="233">
        <f ca="1">IF(OR(LEFT(E51,4)*1&lt;LEFT('General inputs'!$I$15,4)*1,LEFT(E51,4)*1&gt;LEFT('General inputs'!$I$15,4)+'General inputs'!$H$28-1),"",O51/(1+'General inputs'!$H$24)^D51)</f>
        <v>0</v>
      </c>
      <c r="Q51" s="103"/>
      <c r="R51" s="122"/>
      <c r="S51" s="233">
        <f ca="1">IF(OR(LEFT(E51,4)*1&lt;LEFT('General inputs'!$I$15,4)*1,LEFT(E51,4)*1&gt;LEFT('General inputs'!$I$15,4)+'General inputs'!$H$28-1),"",R51/(1+'General inputs'!$H$24)^D51)</f>
        <v>0</v>
      </c>
      <c r="T51" s="105"/>
      <c r="U51" s="104"/>
      <c r="V51" s="65"/>
      <c r="W51" s="65"/>
      <c r="X51" s="65"/>
    </row>
    <row r="52" spans="1:24" x14ac:dyDescent="0.25">
      <c r="B52" s="83"/>
      <c r="C52" s="104"/>
      <c r="D52" s="228">
        <f ca="1">IF(E52='General inputs'!$I$15,0,IF(E52&lt;'General inputs'!$I$15,D53-1,D51+1))</f>
        <v>9</v>
      </c>
      <c r="E52" s="228" t="str">
        <f ca="1">OFFSET('General inputs'!$L$16,MATCH('DC Calculations'!E51,'General inputs'!$L$17:$L$186,0)+1,0)</f>
        <v>2029-30</v>
      </c>
      <c r="F52" s="233">
        <f ca="1">IF(LEFT(E52,4)*1&gt;LEFT('General inputs'!$I$15,4)+'General inputs'!$H$28-1,"",IF(E52&lt;"2006-07",0,OFFSET('ET inputs'!$C$11,MATCH('DC Calculations'!E52,'ET inputs'!$C$12:$C$102,0),1)))</f>
        <v>100</v>
      </c>
      <c r="G52" s="233">
        <f ca="1">IF(LEFT(E52,4)*1&gt;LEFT('General inputs'!$I$15,4)+'General inputs'!$H$28-1,"",F52/(1+'General inputs'!$H$24)^D52)</f>
        <v>64.460891621779723</v>
      </c>
      <c r="H52" s="233">
        <f ca="1">IF(OR(LEFT(E52,4)*1&lt;LEFT('General inputs'!$I$15,4)*1,LEFT(E52,4)*1&gt;LEFT('General inputs'!$I$15,4)+'General inputs'!$H$28-1),"",F52/(1+'General inputs'!$H$24)^D52)</f>
        <v>64.460891621779723</v>
      </c>
      <c r="I52" s="103"/>
      <c r="J52" s="233" t="str">
        <f ca="1">IF(LEFT(E52,4)*1&gt;LEFT('General inputs'!$I$19,4)*1,"",SUMIF('Commissioned assets'!$F$17:$F$213,$E52,'Commissioned assets'!$P$17:$P$213))</f>
        <v/>
      </c>
      <c r="K52" s="233" t="str">
        <f ca="1">IF(J52="","",J52/(1+'General inputs'!$H$24)^D52)</f>
        <v/>
      </c>
      <c r="L52" s="233">
        <f ca="1">IF(LEFT(E52,4)*1&lt;LEFT('General inputs'!$I$19,4)*1+1,"",SUMIF('Uncommissioned assets'!$F$17:$F$213,$E52,'Uncommissioned assets'!$P$17:$P$213))</f>
        <v>0</v>
      </c>
      <c r="M52" s="233">
        <f ca="1">IF(L52="","",L52/(1+'General inputs'!$H$24)^D52)</f>
        <v>0</v>
      </c>
      <c r="N52" s="103"/>
      <c r="O52" s="122"/>
      <c r="P52" s="233">
        <f ca="1">IF(OR(LEFT(E52,4)*1&lt;LEFT('General inputs'!$I$15,4)*1,LEFT(E52,4)*1&gt;LEFT('General inputs'!$I$15,4)+'General inputs'!$H$28-1),"",O52/(1+'General inputs'!$H$24)^D52)</f>
        <v>0</v>
      </c>
      <c r="Q52" s="103"/>
      <c r="R52" s="122"/>
      <c r="S52" s="233">
        <f ca="1">IF(OR(LEFT(E52,4)*1&lt;LEFT('General inputs'!$I$15,4)*1,LEFT(E52,4)*1&gt;LEFT('General inputs'!$I$15,4)+'General inputs'!$H$28-1),"",R52/(1+'General inputs'!$H$24)^D52)</f>
        <v>0</v>
      </c>
      <c r="T52" s="105"/>
      <c r="U52" s="104"/>
      <c r="V52" s="65"/>
      <c r="W52" s="65"/>
      <c r="X52" s="65"/>
    </row>
    <row r="53" spans="1:24" x14ac:dyDescent="0.25">
      <c r="B53" s="83"/>
      <c r="C53" s="104"/>
      <c r="D53" s="228">
        <f ca="1">IF(E53='General inputs'!$I$15,0,IF(E53&lt;'General inputs'!$I$15,D54-1,D52+1))</f>
        <v>10</v>
      </c>
      <c r="E53" s="228" t="str">
        <f ca="1">OFFSET('General inputs'!$L$16,MATCH('DC Calculations'!E52,'General inputs'!$L$17:$L$186,0)+1,0)</f>
        <v>2030-31</v>
      </c>
      <c r="F53" s="233">
        <f ca="1">IF(LEFT(E53,4)*1&gt;LEFT('General inputs'!$I$15,4)+'General inputs'!$H$28-1,"",IF(E53&lt;"2006-07",0,OFFSET('ET inputs'!$C$11,MATCH('DC Calculations'!E53,'ET inputs'!$C$12:$C$102,0),1)))</f>
        <v>100</v>
      </c>
      <c r="G53" s="233">
        <f ca="1">IF(LEFT(E53,4)*1&gt;LEFT('General inputs'!$I$15,4)+'General inputs'!$H$28-1,"",F53/(1+'General inputs'!$H$24)^D53)</f>
        <v>61.391325354075931</v>
      </c>
      <c r="H53" s="233">
        <f ca="1">IF(OR(LEFT(E53,4)*1&lt;LEFT('General inputs'!$I$15,4)*1,LEFT(E53,4)*1&gt;LEFT('General inputs'!$I$15,4)+'General inputs'!$H$28-1),"",F53/(1+'General inputs'!$H$24)^D53)</f>
        <v>61.391325354075931</v>
      </c>
      <c r="I53" s="103"/>
      <c r="J53" s="233" t="str">
        <f ca="1">IF(LEFT(E53,4)*1&gt;LEFT('General inputs'!$I$19,4)*1,"",SUMIF('Commissioned assets'!$F$17:$F$213,$E53,'Commissioned assets'!$P$17:$P$213))</f>
        <v/>
      </c>
      <c r="K53" s="233" t="str">
        <f ca="1">IF(J53="","",J53/(1+'General inputs'!$H$24)^D53)</f>
        <v/>
      </c>
      <c r="L53" s="233">
        <f ca="1">IF(LEFT(E53,4)*1&lt;LEFT('General inputs'!$I$19,4)*1+1,"",SUMIF('Uncommissioned assets'!$F$17:$F$213,$E53,'Uncommissioned assets'!$P$17:$P$213))</f>
        <v>0</v>
      </c>
      <c r="M53" s="233">
        <f ca="1">IF(L53="","",L53/(1+'General inputs'!$H$24)^D53)</f>
        <v>0</v>
      </c>
      <c r="N53" s="103"/>
      <c r="O53" s="122"/>
      <c r="P53" s="233">
        <f ca="1">IF(OR(LEFT(E53,4)*1&lt;LEFT('General inputs'!$I$15,4)*1,LEFT(E53,4)*1&gt;LEFT('General inputs'!$I$15,4)+'General inputs'!$H$28-1),"",O53/(1+'General inputs'!$H$24)^D53)</f>
        <v>0</v>
      </c>
      <c r="Q53" s="103"/>
      <c r="R53" s="122"/>
      <c r="S53" s="233">
        <f ca="1">IF(OR(LEFT(E53,4)*1&lt;LEFT('General inputs'!$I$15,4)*1,LEFT(E53,4)*1&gt;LEFT('General inputs'!$I$15,4)+'General inputs'!$H$28-1),"",R53/(1+'General inputs'!$H$24)^D53)</f>
        <v>0</v>
      </c>
      <c r="T53" s="105"/>
      <c r="U53" s="104"/>
      <c r="V53" s="65"/>
      <c r="W53" s="65"/>
      <c r="X53" s="65"/>
    </row>
    <row r="54" spans="1:24" x14ac:dyDescent="0.25">
      <c r="B54" s="83"/>
      <c r="C54" s="104"/>
      <c r="D54" s="228">
        <f ca="1">IF(E54='General inputs'!$I$15,0,IF(E54&lt;'General inputs'!$I$15,D55-1,D53+1))</f>
        <v>11</v>
      </c>
      <c r="E54" s="228" t="str">
        <f ca="1">OFFSET('General inputs'!$L$16,MATCH('DC Calculations'!E53,'General inputs'!$L$17:$L$186,0)+1,0)</f>
        <v>2031-32</v>
      </c>
      <c r="F54" s="233">
        <f ca="1">IF(LEFT(E54,4)*1&gt;LEFT('General inputs'!$I$15,4)+'General inputs'!$H$28-1,"",IF(E54&lt;"2006-07",0,OFFSET('ET inputs'!$C$11,MATCH('DC Calculations'!E54,'ET inputs'!$C$12:$C$102,0),1)))</f>
        <v>100</v>
      </c>
      <c r="G54" s="233">
        <f ca="1">IF(LEFT(E54,4)*1&gt;LEFT('General inputs'!$I$15,4)+'General inputs'!$H$28-1,"",F54/(1+'General inputs'!$H$24)^D54)</f>
        <v>58.467928908643742</v>
      </c>
      <c r="H54" s="233">
        <f ca="1">IF(OR(LEFT(E54,4)*1&lt;LEFT('General inputs'!$I$15,4)*1,LEFT(E54,4)*1&gt;LEFT('General inputs'!$I$15,4)+'General inputs'!$H$28-1),"",F54/(1+'General inputs'!$H$24)^D54)</f>
        <v>58.467928908643742</v>
      </c>
      <c r="I54" s="103"/>
      <c r="J54" s="233" t="str">
        <f ca="1">IF(LEFT(E54,4)*1&gt;LEFT('General inputs'!$I$19,4)*1,"",SUMIF('Commissioned assets'!$F$17:$F$213,$E54,'Commissioned assets'!$P$17:$P$213))</f>
        <v/>
      </c>
      <c r="K54" s="233" t="str">
        <f ca="1">IF(J54="","",J54/(1+'General inputs'!$H$24)^D54)</f>
        <v/>
      </c>
      <c r="L54" s="233">
        <f ca="1">IF(LEFT(E54,4)*1&lt;LEFT('General inputs'!$I$19,4)*1+1,"",SUMIF('Uncommissioned assets'!$F$17:$F$213,$E54,'Uncommissioned assets'!$P$17:$P$213))</f>
        <v>0</v>
      </c>
      <c r="M54" s="233">
        <f ca="1">IF(L54="","",L54/(1+'General inputs'!$H$24)^D54)</f>
        <v>0</v>
      </c>
      <c r="N54" s="103"/>
      <c r="O54" s="122"/>
      <c r="P54" s="233">
        <f ca="1">IF(OR(LEFT(E54,4)*1&lt;LEFT('General inputs'!$I$15,4)*1,LEFT(E54,4)*1&gt;LEFT('General inputs'!$I$15,4)+'General inputs'!$H$28-1),"",O54/(1+'General inputs'!$H$24)^D54)</f>
        <v>0</v>
      </c>
      <c r="Q54" s="103"/>
      <c r="R54" s="122"/>
      <c r="S54" s="233">
        <f ca="1">IF(OR(LEFT(E54,4)*1&lt;LEFT('General inputs'!$I$15,4)*1,LEFT(E54,4)*1&gt;LEFT('General inputs'!$I$15,4)+'General inputs'!$H$28-1),"",R54/(1+'General inputs'!$H$24)^D54)</f>
        <v>0</v>
      </c>
      <c r="T54" s="105"/>
      <c r="U54" s="104"/>
      <c r="V54" s="65"/>
      <c r="W54" s="65"/>
      <c r="X54" s="65"/>
    </row>
    <row r="55" spans="1:24" x14ac:dyDescent="0.25">
      <c r="B55" s="83"/>
      <c r="C55" s="104"/>
      <c r="D55" s="228">
        <f ca="1">IF(E55='General inputs'!$I$15,0,IF(E55&lt;'General inputs'!$I$15,D56-1,D54+1))</f>
        <v>12</v>
      </c>
      <c r="E55" s="228" t="str">
        <f ca="1">OFFSET('General inputs'!$L$16,MATCH('DC Calculations'!E54,'General inputs'!$L$17:$L$186,0)+1,0)</f>
        <v>2032-33</v>
      </c>
      <c r="F55" s="233">
        <f ca="1">IF(LEFT(E55,4)*1&gt;LEFT('General inputs'!$I$15,4)+'General inputs'!$H$28-1,"",IF(E55&lt;"2006-07",0,OFFSET('ET inputs'!$C$11,MATCH('DC Calculations'!E55,'ET inputs'!$C$12:$C$102,0),1)))</f>
        <v>100</v>
      </c>
      <c r="G55" s="233">
        <f ca="1">IF(LEFT(E55,4)*1&gt;LEFT('General inputs'!$I$15,4)+'General inputs'!$H$28-1,"",F55/(1+'General inputs'!$H$24)^D55)</f>
        <v>55.683741817755951</v>
      </c>
      <c r="H55" s="233">
        <f ca="1">IF(OR(LEFT(E55,4)*1&lt;LEFT('General inputs'!$I$15,4)*1,LEFT(E55,4)*1&gt;LEFT('General inputs'!$I$15,4)+'General inputs'!$H$28-1),"",F55/(1+'General inputs'!$H$24)^D55)</f>
        <v>55.683741817755951</v>
      </c>
      <c r="I55" s="103"/>
      <c r="J55" s="233" t="str">
        <f ca="1">IF(LEFT(E55,4)*1&gt;LEFT('General inputs'!$I$19,4)*1,"",SUMIF('Commissioned assets'!$F$17:$F$213,$E55,'Commissioned assets'!$P$17:$P$213))</f>
        <v/>
      </c>
      <c r="K55" s="233" t="str">
        <f ca="1">IF(J55="","",J55/(1+'General inputs'!$H$24)^D55)</f>
        <v/>
      </c>
      <c r="L55" s="233">
        <f ca="1">IF(LEFT(E55,4)*1&lt;LEFT('General inputs'!$I$19,4)*1+1,"",SUMIF('Uncommissioned assets'!$F$17:$F$213,$E55,'Uncommissioned assets'!$P$17:$P$213))</f>
        <v>12500</v>
      </c>
      <c r="M55" s="233">
        <f ca="1">IF(L55="","",L55/(1+'General inputs'!$H$24)^D55)</f>
        <v>6960.467727219494</v>
      </c>
      <c r="N55" s="103"/>
      <c r="O55" s="122"/>
      <c r="P55" s="233">
        <f ca="1">IF(OR(LEFT(E55,4)*1&lt;LEFT('General inputs'!$I$15,4)*1,LEFT(E55,4)*1&gt;LEFT('General inputs'!$I$15,4)+'General inputs'!$H$28-1),"",O55/(1+'General inputs'!$H$24)^D55)</f>
        <v>0</v>
      </c>
      <c r="Q55" s="103"/>
      <c r="R55" s="122"/>
      <c r="S55" s="233">
        <f ca="1">IF(OR(LEFT(E55,4)*1&lt;LEFT('General inputs'!$I$15,4)*1,LEFT(E55,4)*1&gt;LEFT('General inputs'!$I$15,4)+'General inputs'!$H$28-1),"",R55/(1+'General inputs'!$H$24)^D55)</f>
        <v>0</v>
      </c>
      <c r="T55" s="105"/>
      <c r="U55" s="104"/>
      <c r="V55" s="65"/>
      <c r="W55" s="65"/>
      <c r="X55" s="65"/>
    </row>
    <row r="56" spans="1:24" x14ac:dyDescent="0.25">
      <c r="B56" s="83"/>
      <c r="C56" s="104"/>
      <c r="D56" s="228">
        <f ca="1">IF(E56='General inputs'!$I$15,0,IF(E56&lt;'General inputs'!$I$15,D57-1,D55+1))</f>
        <v>13</v>
      </c>
      <c r="E56" s="228" t="str">
        <f ca="1">OFFSET('General inputs'!$L$16,MATCH('DC Calculations'!E55,'General inputs'!$L$17:$L$186,0)+1,0)</f>
        <v>2033-34</v>
      </c>
      <c r="F56" s="233">
        <f ca="1">IF(LEFT(E56,4)*1&gt;LEFT('General inputs'!$I$15,4)+'General inputs'!$H$28-1,"",IF(E56&lt;"2006-07",0,OFFSET('ET inputs'!$C$11,MATCH('DC Calculations'!E56,'ET inputs'!$C$12:$C$102,0),1)))</f>
        <v>100</v>
      </c>
      <c r="G56" s="233">
        <f ca="1">IF(LEFT(E56,4)*1&gt;LEFT('General inputs'!$I$15,4)+'General inputs'!$H$28-1,"",F56/(1+'General inputs'!$H$24)^D56)</f>
        <v>53.03213506452947</v>
      </c>
      <c r="H56" s="233">
        <f ca="1">IF(OR(LEFT(E56,4)*1&lt;LEFT('General inputs'!$I$15,4)*1,LEFT(E56,4)*1&gt;LEFT('General inputs'!$I$15,4)+'General inputs'!$H$28-1),"",F56/(1+'General inputs'!$H$24)^D56)</f>
        <v>53.03213506452947</v>
      </c>
      <c r="I56" s="103"/>
      <c r="J56" s="233" t="str">
        <f ca="1">IF(LEFT(E56,4)*1&gt;LEFT('General inputs'!$I$19,4)*1,"",SUMIF('Commissioned assets'!$F$17:$F$213,$E56,'Commissioned assets'!$P$17:$P$213))</f>
        <v/>
      </c>
      <c r="K56" s="233" t="str">
        <f ca="1">IF(J56="","",J56/(1+'General inputs'!$H$24)^D56)</f>
        <v/>
      </c>
      <c r="L56" s="233">
        <f ca="1">IF(LEFT(E56,4)*1&lt;LEFT('General inputs'!$I$19,4)*1+1,"",SUMIF('Uncommissioned assets'!$F$17:$F$213,$E56,'Uncommissioned assets'!$P$17:$P$213))</f>
        <v>0</v>
      </c>
      <c r="M56" s="233">
        <f ca="1">IF(L56="","",L56/(1+'General inputs'!$H$24)^D56)</f>
        <v>0</v>
      </c>
      <c r="N56" s="103"/>
      <c r="O56" s="122"/>
      <c r="P56" s="233">
        <f ca="1">IF(OR(LEFT(E56,4)*1&lt;LEFT('General inputs'!$I$15,4)*1,LEFT(E56,4)*1&gt;LEFT('General inputs'!$I$15,4)+'General inputs'!$H$28-1),"",O56/(1+'General inputs'!$H$24)^D56)</f>
        <v>0</v>
      </c>
      <c r="Q56" s="103"/>
      <c r="R56" s="122"/>
      <c r="S56" s="233">
        <f ca="1">IF(OR(LEFT(E56,4)*1&lt;LEFT('General inputs'!$I$15,4)*1,LEFT(E56,4)*1&gt;LEFT('General inputs'!$I$15,4)+'General inputs'!$H$28-1),"",R56/(1+'General inputs'!$H$24)^D56)</f>
        <v>0</v>
      </c>
      <c r="T56" s="105"/>
      <c r="U56" s="104"/>
      <c r="V56" s="65"/>
      <c r="W56" s="65"/>
      <c r="X56" s="65"/>
    </row>
    <row r="57" spans="1:24" x14ac:dyDescent="0.25">
      <c r="B57" s="83"/>
      <c r="C57" s="104"/>
      <c r="D57" s="228">
        <f ca="1">IF(E57='General inputs'!$I$15,0,IF(E57&lt;'General inputs'!$I$15,D58-1,D56+1))</f>
        <v>14</v>
      </c>
      <c r="E57" s="228" t="str">
        <f ca="1">OFFSET('General inputs'!$L$16,MATCH('DC Calculations'!E56,'General inputs'!$L$17:$L$186,0)+1,0)</f>
        <v>2034-35</v>
      </c>
      <c r="F57" s="233">
        <f ca="1">IF(LEFT(E57,4)*1&gt;LEFT('General inputs'!$I$15,4)+'General inputs'!$H$28-1,"",IF(E57&lt;"2006-07",0,OFFSET('ET inputs'!$C$11,MATCH('DC Calculations'!E57,'ET inputs'!$C$12:$C$102,0),1)))</f>
        <v>100</v>
      </c>
      <c r="G57" s="233">
        <f ca="1">IF(LEFT(E57,4)*1&gt;LEFT('General inputs'!$I$15,4)+'General inputs'!$H$28-1,"",F57/(1+'General inputs'!$H$24)^D57)</f>
        <v>50.506795299551882</v>
      </c>
      <c r="H57" s="233">
        <f ca="1">IF(OR(LEFT(E57,4)*1&lt;LEFT('General inputs'!$I$15,4)*1,LEFT(E57,4)*1&gt;LEFT('General inputs'!$I$15,4)+'General inputs'!$H$28-1),"",F57/(1+'General inputs'!$H$24)^D57)</f>
        <v>50.506795299551882</v>
      </c>
      <c r="I57" s="103"/>
      <c r="J57" s="233" t="str">
        <f ca="1">IF(LEFT(E57,4)*1&gt;LEFT('General inputs'!$I$19,4)*1,"",SUMIF('Commissioned assets'!$F$17:$F$213,$E57,'Commissioned assets'!$P$17:$P$213))</f>
        <v/>
      </c>
      <c r="K57" s="233" t="str">
        <f ca="1">IF(J57="","",J57/(1+'General inputs'!$H$24)^D57)</f>
        <v/>
      </c>
      <c r="L57" s="233">
        <f ca="1">IF(LEFT(E57,4)*1&lt;LEFT('General inputs'!$I$19,4)*1+1,"",SUMIF('Uncommissioned assets'!$F$17:$F$213,$E57,'Uncommissioned assets'!$P$17:$P$213))</f>
        <v>0</v>
      </c>
      <c r="M57" s="233">
        <f ca="1">IF(L57="","",L57/(1+'General inputs'!$H$24)^D57)</f>
        <v>0</v>
      </c>
      <c r="N57" s="103"/>
      <c r="O57" s="122"/>
      <c r="P57" s="233">
        <f ca="1">IF(OR(LEFT(E57,4)*1&lt;LEFT('General inputs'!$I$15,4)*1,LEFT(E57,4)*1&gt;LEFT('General inputs'!$I$15,4)+'General inputs'!$H$28-1),"",O57/(1+'General inputs'!$H$24)^D57)</f>
        <v>0</v>
      </c>
      <c r="Q57" s="103"/>
      <c r="R57" s="122"/>
      <c r="S57" s="233">
        <f ca="1">IF(OR(LEFT(E57,4)*1&lt;LEFT('General inputs'!$I$15,4)*1,LEFT(E57,4)*1&gt;LEFT('General inputs'!$I$15,4)+'General inputs'!$H$28-1),"",R57/(1+'General inputs'!$H$24)^D57)</f>
        <v>0</v>
      </c>
      <c r="T57" s="105"/>
      <c r="U57" s="104"/>
      <c r="V57" s="65"/>
      <c r="W57" s="65"/>
      <c r="X57" s="65"/>
    </row>
    <row r="58" spans="1:24" x14ac:dyDescent="0.25">
      <c r="B58" s="83"/>
      <c r="C58" s="104"/>
      <c r="D58" s="228">
        <f ca="1">IF(E58='General inputs'!$I$15,0,IF(E58&lt;'General inputs'!$I$15,D59-1,D57+1))</f>
        <v>15</v>
      </c>
      <c r="E58" s="228" t="str">
        <f ca="1">OFFSET('General inputs'!$L$16,MATCH('DC Calculations'!E57,'General inputs'!$L$17:$L$186,0)+1,0)</f>
        <v>2035-36</v>
      </c>
      <c r="F58" s="233">
        <f ca="1">IF(LEFT(E58,4)*1&gt;LEFT('General inputs'!$I$15,4)+'General inputs'!$H$28-1,"",IF(E58&lt;"2006-07",0,OFFSET('ET inputs'!$C$11,MATCH('DC Calculations'!E58,'ET inputs'!$C$12:$C$102,0),1)))</f>
        <v>100</v>
      </c>
      <c r="G58" s="233">
        <f ca="1">IF(LEFT(E58,4)*1&gt;LEFT('General inputs'!$I$15,4)+'General inputs'!$H$28-1,"",F58/(1+'General inputs'!$H$24)^D58)</f>
        <v>48.101709809097017</v>
      </c>
      <c r="H58" s="233">
        <f ca="1">IF(OR(LEFT(E58,4)*1&lt;LEFT('General inputs'!$I$15,4)*1,LEFT(E58,4)*1&gt;LEFT('General inputs'!$I$15,4)+'General inputs'!$H$28-1),"",F58/(1+'General inputs'!$H$24)^D58)</f>
        <v>48.101709809097017</v>
      </c>
      <c r="I58" s="103"/>
      <c r="J58" s="233" t="str">
        <f ca="1">IF(LEFT(E58,4)*1&gt;LEFT('General inputs'!$I$19,4)*1,"",SUMIF('Commissioned assets'!$F$17:$F$213,$E58,'Commissioned assets'!$P$17:$P$213))</f>
        <v/>
      </c>
      <c r="K58" s="233" t="str">
        <f ca="1">IF(J58="","",J58/(1+'General inputs'!$H$24)^D58)</f>
        <v/>
      </c>
      <c r="L58" s="233">
        <f ca="1">IF(LEFT(E58,4)*1&lt;LEFT('General inputs'!$I$19,4)*1+1,"",SUMIF('Uncommissioned assets'!$F$17:$F$213,$E58,'Uncommissioned assets'!$P$17:$P$213))</f>
        <v>0</v>
      </c>
      <c r="M58" s="233">
        <f ca="1">IF(L58="","",L58/(1+'General inputs'!$H$24)^D58)</f>
        <v>0</v>
      </c>
      <c r="N58" s="103"/>
      <c r="O58" s="122"/>
      <c r="P58" s="233">
        <f ca="1">IF(OR(LEFT(E58,4)*1&lt;LEFT('General inputs'!$I$15,4)*1,LEFT(E58,4)*1&gt;LEFT('General inputs'!$I$15,4)+'General inputs'!$H$28-1),"",O58/(1+'General inputs'!$H$24)^D58)</f>
        <v>0</v>
      </c>
      <c r="Q58" s="103"/>
      <c r="R58" s="122"/>
      <c r="S58" s="233">
        <f ca="1">IF(OR(LEFT(E58,4)*1&lt;LEFT('General inputs'!$I$15,4)*1,LEFT(E58,4)*1&gt;LEFT('General inputs'!$I$15,4)+'General inputs'!$H$28-1),"",R58/(1+'General inputs'!$H$24)^D58)</f>
        <v>0</v>
      </c>
      <c r="T58" s="105"/>
      <c r="U58" s="104"/>
      <c r="V58" s="65"/>
      <c r="W58" s="65"/>
      <c r="X58" s="65"/>
    </row>
    <row r="59" spans="1:24" x14ac:dyDescent="0.25">
      <c r="B59" s="83"/>
      <c r="C59" s="104"/>
      <c r="D59" s="228">
        <f ca="1">IF(E59='General inputs'!$I$15,0,IF(E59&lt;'General inputs'!$I$15,D60-1,D58+1))</f>
        <v>16</v>
      </c>
      <c r="E59" s="228" t="str">
        <f ca="1">OFFSET('General inputs'!$L$16,MATCH('DC Calculations'!E58,'General inputs'!$L$17:$L$186,0)+1,0)</f>
        <v>2036-37</v>
      </c>
      <c r="F59" s="233">
        <f ca="1">IF(LEFT(E59,4)*1&gt;LEFT('General inputs'!$I$15,4)+'General inputs'!$H$28-1,"",IF(E59&lt;"2006-07",0,OFFSET('ET inputs'!$C$11,MATCH('DC Calculations'!E59,'ET inputs'!$C$12:$C$102,0),1)))</f>
        <v>100</v>
      </c>
      <c r="G59" s="233">
        <f ca="1">IF(LEFT(E59,4)*1&gt;LEFT('General inputs'!$I$15,4)+'General inputs'!$H$28-1,"",F59/(1+'General inputs'!$H$24)^D59)</f>
        <v>45.811152199140025</v>
      </c>
      <c r="H59" s="233">
        <f ca="1">IF(OR(LEFT(E59,4)*1&lt;LEFT('General inputs'!$I$15,4)*1,LEFT(E59,4)*1&gt;LEFT('General inputs'!$I$15,4)+'General inputs'!$H$28-1),"",F59/(1+'General inputs'!$H$24)^D59)</f>
        <v>45.811152199140025</v>
      </c>
      <c r="I59" s="103"/>
      <c r="J59" s="233" t="str">
        <f ca="1">IF(LEFT(E59,4)*1&gt;LEFT('General inputs'!$I$19,4)*1,"",SUMIF('Commissioned assets'!$F$17:$F$213,$E59,'Commissioned assets'!$P$17:$P$213))</f>
        <v/>
      </c>
      <c r="K59" s="233" t="str">
        <f ca="1">IF(J59="","",J59/(1+'General inputs'!$H$24)^D59)</f>
        <v/>
      </c>
      <c r="L59" s="233">
        <f ca="1">IF(LEFT(E59,4)*1&lt;LEFT('General inputs'!$I$19,4)*1+1,"",SUMIF('Uncommissioned assets'!$F$17:$F$213,$E59,'Uncommissioned assets'!$P$17:$P$213))</f>
        <v>0</v>
      </c>
      <c r="M59" s="233">
        <f ca="1">IF(L59="","",L59/(1+'General inputs'!$H$24)^D59)</f>
        <v>0</v>
      </c>
      <c r="N59" s="103"/>
      <c r="O59" s="122"/>
      <c r="P59" s="233">
        <f ca="1">IF(OR(LEFT(E59,4)*1&lt;LEFT('General inputs'!$I$15,4)*1,LEFT(E59,4)*1&gt;LEFT('General inputs'!$I$15,4)+'General inputs'!$H$28-1),"",O59/(1+'General inputs'!$H$24)^D59)</f>
        <v>0</v>
      </c>
      <c r="Q59" s="103"/>
      <c r="R59" s="122"/>
      <c r="S59" s="233">
        <f ca="1">IF(OR(LEFT(E59,4)*1&lt;LEFT('General inputs'!$I$15,4)*1,LEFT(E59,4)*1&gt;LEFT('General inputs'!$I$15,4)+'General inputs'!$H$28-1),"",R59/(1+'General inputs'!$H$24)^D59)</f>
        <v>0</v>
      </c>
      <c r="T59" s="105"/>
      <c r="U59" s="104"/>
      <c r="V59" s="65"/>
      <c r="W59" s="65"/>
      <c r="X59" s="65"/>
    </row>
    <row r="60" spans="1:24" x14ac:dyDescent="0.25">
      <c r="B60" s="83"/>
      <c r="C60" s="104"/>
      <c r="D60" s="228">
        <f ca="1">IF(E60='General inputs'!$I$15,0,IF(E60&lt;'General inputs'!$I$15,D61-1,D59+1))</f>
        <v>17</v>
      </c>
      <c r="E60" s="228" t="str">
        <f ca="1">OFFSET('General inputs'!$L$16,MATCH('DC Calculations'!E59,'General inputs'!$L$17:$L$186,0)+1,0)</f>
        <v>2037-38</v>
      </c>
      <c r="F60" s="233">
        <f ca="1">IF(LEFT(E60,4)*1&gt;LEFT('General inputs'!$I$15,4)+'General inputs'!$H$28-1,"",IF(E60&lt;"2006-07",0,OFFSET('ET inputs'!$C$11,MATCH('DC Calculations'!E60,'ET inputs'!$C$12:$C$102,0),1)))</f>
        <v>100</v>
      </c>
      <c r="G60" s="233">
        <f ca="1">IF(LEFT(E60,4)*1&gt;LEFT('General inputs'!$I$15,4)+'General inputs'!$H$28-1,"",F60/(1+'General inputs'!$H$24)^D60)</f>
        <v>43.629668761085732</v>
      </c>
      <c r="H60" s="233">
        <f ca="1">IF(OR(LEFT(E60,4)*1&lt;LEFT('General inputs'!$I$15,4)*1,LEFT(E60,4)*1&gt;LEFT('General inputs'!$I$15,4)+'General inputs'!$H$28-1),"",F60/(1+'General inputs'!$H$24)^D60)</f>
        <v>43.629668761085732</v>
      </c>
      <c r="I60" s="103"/>
      <c r="J60" s="233" t="str">
        <f ca="1">IF(LEFT(E60,4)*1&gt;LEFT('General inputs'!$I$19,4)*1,"",SUMIF('Commissioned assets'!$F$17:$F$213,$E60,'Commissioned assets'!$P$17:$P$213))</f>
        <v/>
      </c>
      <c r="K60" s="233" t="str">
        <f ca="1">IF(J60="","",J60/(1+'General inputs'!$H$24)^D60)</f>
        <v/>
      </c>
      <c r="L60" s="233">
        <f ca="1">IF(LEFT(E60,4)*1&lt;LEFT('General inputs'!$I$19,4)*1+1,"",SUMIF('Uncommissioned assets'!$F$17:$F$213,$E60,'Uncommissioned assets'!$P$17:$P$213))</f>
        <v>0</v>
      </c>
      <c r="M60" s="233">
        <f ca="1">IF(L60="","",L60/(1+'General inputs'!$H$24)^D60)</f>
        <v>0</v>
      </c>
      <c r="N60" s="103"/>
      <c r="O60" s="122"/>
      <c r="P60" s="233">
        <f ca="1">IF(OR(LEFT(E60,4)*1&lt;LEFT('General inputs'!$I$15,4)*1,LEFT(E60,4)*1&gt;LEFT('General inputs'!$I$15,4)+'General inputs'!$H$28-1),"",O60/(1+'General inputs'!$H$24)^D60)</f>
        <v>0</v>
      </c>
      <c r="Q60" s="103"/>
      <c r="R60" s="122"/>
      <c r="S60" s="233">
        <f ca="1">IF(OR(LEFT(E60,4)*1&lt;LEFT('General inputs'!$I$15,4)*1,LEFT(E60,4)*1&gt;LEFT('General inputs'!$I$15,4)+'General inputs'!$H$28-1),"",R60/(1+'General inputs'!$H$24)^D60)</f>
        <v>0</v>
      </c>
      <c r="T60" s="105"/>
      <c r="U60" s="104"/>
    </row>
    <row r="61" spans="1:24" x14ac:dyDescent="0.25">
      <c r="A61" s="104"/>
      <c r="B61" s="114"/>
      <c r="C61" s="104"/>
      <c r="D61" s="228">
        <f ca="1">IF(E61='General inputs'!$I$15,0,IF(E61&lt;'General inputs'!$I$15,D62-1,D60+1))</f>
        <v>18</v>
      </c>
      <c r="E61" s="228" t="str">
        <f ca="1">OFFSET('General inputs'!$L$16,MATCH('DC Calculations'!E60,'General inputs'!$L$17:$L$186,0)+1,0)</f>
        <v>2038-39</v>
      </c>
      <c r="F61" s="233">
        <f ca="1">IF(LEFT(E61,4)*1&gt;LEFT('General inputs'!$I$15,4)+'General inputs'!$H$28-1,"",IF(E61&lt;"2006-07",0,OFFSET('ET inputs'!$C$11,MATCH('DC Calculations'!E61,'ET inputs'!$C$12:$C$102,0),1)))</f>
        <v>100</v>
      </c>
      <c r="G61" s="233">
        <f ca="1">IF(LEFT(E61,4)*1&gt;LEFT('General inputs'!$I$15,4)+'General inputs'!$H$28-1,"",F61/(1+'General inputs'!$H$24)^D61)</f>
        <v>41.552065486748312</v>
      </c>
      <c r="H61" s="233">
        <f ca="1">IF(OR(LEFT(E61,4)*1&lt;LEFT('General inputs'!$I$15,4)*1,LEFT(E61,4)*1&gt;LEFT('General inputs'!$I$15,4)+'General inputs'!$H$28-1),"",F61/(1+'General inputs'!$H$24)^D61)</f>
        <v>41.552065486748312</v>
      </c>
      <c r="I61" s="103"/>
      <c r="J61" s="233" t="str">
        <f ca="1">IF(LEFT(E61,4)*1&gt;LEFT('General inputs'!$I$19,4)*1,"",SUMIF('Commissioned assets'!$F$17:$F$213,$E61,'Commissioned assets'!$P$17:$P$213))</f>
        <v/>
      </c>
      <c r="K61" s="233" t="str">
        <f ca="1">IF(J61="","",J61/(1+'General inputs'!$H$24)^D61)</f>
        <v/>
      </c>
      <c r="L61" s="233">
        <f ca="1">IF(LEFT(E61,4)*1&lt;LEFT('General inputs'!$I$19,4)*1+1,"",SUMIF('Uncommissioned assets'!$F$17:$F$213,$E61,'Uncommissioned assets'!$P$17:$P$213))</f>
        <v>0</v>
      </c>
      <c r="M61" s="233">
        <f ca="1">IF(L61="","",L61/(1+'General inputs'!$H$24)^D61)</f>
        <v>0</v>
      </c>
      <c r="N61" s="103"/>
      <c r="O61" s="122"/>
      <c r="P61" s="233">
        <f ca="1">IF(OR(LEFT(E61,4)*1&lt;LEFT('General inputs'!$I$15,4)*1,LEFT(E61,4)*1&gt;LEFT('General inputs'!$I$15,4)+'General inputs'!$H$28-1),"",O61/(1+'General inputs'!$H$24)^D61)</f>
        <v>0</v>
      </c>
      <c r="Q61" s="103"/>
      <c r="R61" s="122"/>
      <c r="S61" s="233">
        <f ca="1">IF(OR(LEFT(E61,4)*1&lt;LEFT('General inputs'!$I$15,4)*1,LEFT(E61,4)*1&gt;LEFT('General inputs'!$I$15,4)+'General inputs'!$H$28-1),"",R61/(1+'General inputs'!$H$24)^D61)</f>
        <v>0</v>
      </c>
      <c r="T61" s="105"/>
      <c r="U61" s="104"/>
    </row>
    <row r="62" spans="1:24" x14ac:dyDescent="0.25">
      <c r="B62" s="83"/>
      <c r="C62" s="104"/>
      <c r="D62" s="228">
        <f ca="1">IF(E62='General inputs'!$I$15,0,IF(E62&lt;'General inputs'!$I$15,D63-1,D61+1))</f>
        <v>19</v>
      </c>
      <c r="E62" s="228" t="str">
        <f ca="1">OFFSET('General inputs'!$L$16,MATCH('DC Calculations'!E61,'General inputs'!$L$17:$L$186,0)+1,0)</f>
        <v>2039-40</v>
      </c>
      <c r="F62" s="233">
        <f ca="1">IF(LEFT(E62,4)*1&gt;LEFT('General inputs'!$I$15,4)+'General inputs'!$H$28-1,"",IF(E62&lt;"2006-07",0,OFFSET('ET inputs'!$C$11,MATCH('DC Calculations'!E62,'ET inputs'!$C$12:$C$102,0),1)))</f>
        <v>100</v>
      </c>
      <c r="G62" s="233">
        <f ca="1">IF(LEFT(E62,4)*1&gt;LEFT('General inputs'!$I$15,4)+'General inputs'!$H$28-1,"",F62/(1+'General inputs'!$H$24)^D62)</f>
        <v>39.573395701665063</v>
      </c>
      <c r="H62" s="233">
        <f ca="1">IF(OR(LEFT(E62,4)*1&lt;LEFT('General inputs'!$I$15,4)*1,LEFT(E62,4)*1&gt;LEFT('General inputs'!$I$15,4)+'General inputs'!$H$28-1),"",F62/(1+'General inputs'!$H$24)^D62)</f>
        <v>39.573395701665063</v>
      </c>
      <c r="I62" s="103"/>
      <c r="J62" s="233" t="str">
        <f ca="1">IF(LEFT(E62,4)*1&gt;LEFT('General inputs'!$I$19,4)*1,"",SUMIF('Commissioned assets'!$F$17:$F$213,$E62,'Commissioned assets'!$P$17:$P$213))</f>
        <v/>
      </c>
      <c r="K62" s="233" t="str">
        <f ca="1">IF(J62="","",J62/(1+'General inputs'!$H$24)^D62)</f>
        <v/>
      </c>
      <c r="L62" s="233">
        <f ca="1">IF(LEFT(E62,4)*1&lt;LEFT('General inputs'!$I$19,4)*1+1,"",SUMIF('Uncommissioned assets'!$F$17:$F$213,$E62,'Uncommissioned assets'!$P$17:$P$213))</f>
        <v>0</v>
      </c>
      <c r="M62" s="233">
        <f ca="1">IF(L62="","",L62/(1+'General inputs'!$H$24)^D62)</f>
        <v>0</v>
      </c>
      <c r="N62" s="103"/>
      <c r="O62" s="122"/>
      <c r="P62" s="233">
        <f ca="1">IF(OR(LEFT(E62,4)*1&lt;LEFT('General inputs'!$I$15,4)*1,LEFT(E62,4)*1&gt;LEFT('General inputs'!$I$15,4)+'General inputs'!$H$28-1),"",O62/(1+'General inputs'!$H$24)^D62)</f>
        <v>0</v>
      </c>
      <c r="Q62" s="103"/>
      <c r="R62" s="122"/>
      <c r="S62" s="233">
        <f ca="1">IF(OR(LEFT(E62,4)*1&lt;LEFT('General inputs'!$I$15,4)*1,LEFT(E62,4)*1&gt;LEFT('General inputs'!$I$15,4)+'General inputs'!$H$28-1),"",R62/(1+'General inputs'!$H$24)^D62)</f>
        <v>0</v>
      </c>
      <c r="T62" s="105"/>
      <c r="U62" s="104"/>
    </row>
    <row r="63" spans="1:24" x14ac:dyDescent="0.25">
      <c r="B63" s="83"/>
      <c r="C63" s="104"/>
      <c r="D63" s="228">
        <f ca="1">IF(E63='General inputs'!$I$15,0,IF(E63&lt;'General inputs'!$I$15,D64-1,D62+1))</f>
        <v>20</v>
      </c>
      <c r="E63" s="228" t="str">
        <f ca="1">OFFSET('General inputs'!$L$16,MATCH('DC Calculations'!E62,'General inputs'!$L$17:$L$186,0)+1,0)</f>
        <v>2040-41</v>
      </c>
      <c r="F63" s="233">
        <f ca="1">IF(LEFT(E63,4)*1&gt;LEFT('General inputs'!$I$15,4)+'General inputs'!$H$28-1,"",IF(E63&lt;"2006-07",0,OFFSET('ET inputs'!$C$11,MATCH('DC Calculations'!E63,'ET inputs'!$C$12:$C$102,0),1)))</f>
        <v>0</v>
      </c>
      <c r="G63" s="233">
        <f ca="1">IF(LEFT(E63,4)*1&gt;LEFT('General inputs'!$I$15,4)+'General inputs'!$H$28-1,"",F63/(1+'General inputs'!$H$24)^D63)</f>
        <v>0</v>
      </c>
      <c r="H63" s="233">
        <f ca="1">IF(OR(LEFT(E63,4)*1&lt;LEFT('General inputs'!$I$15,4)*1,LEFT(E63,4)*1&gt;LEFT('General inputs'!$I$15,4)+'General inputs'!$H$28-1),"",F63/(1+'General inputs'!$H$24)^D63)</f>
        <v>0</v>
      </c>
      <c r="I63" s="103"/>
      <c r="J63" s="233" t="str">
        <f ca="1">IF(LEFT(E63,4)*1&gt;LEFT('General inputs'!$I$19,4)*1,"",SUMIF('Commissioned assets'!$F$17:$F$213,$E63,'Commissioned assets'!$P$17:$P$213))</f>
        <v/>
      </c>
      <c r="K63" s="233" t="str">
        <f ca="1">IF(J63="","",J63/(1+'General inputs'!$H$24)^D63)</f>
        <v/>
      </c>
      <c r="L63" s="233">
        <f ca="1">IF(LEFT(E63,4)*1&lt;LEFT('General inputs'!$I$19,4)*1+1,"",SUMIF('Uncommissioned assets'!$F$17:$F$213,$E63,'Uncommissioned assets'!$P$17:$P$213))</f>
        <v>0</v>
      </c>
      <c r="M63" s="233">
        <f ca="1">IF(L63="","",L63/(1+'General inputs'!$H$24)^D63)</f>
        <v>0</v>
      </c>
      <c r="N63" s="103"/>
      <c r="O63" s="122"/>
      <c r="P63" s="233">
        <f ca="1">IF(OR(LEFT(E63,4)*1&lt;LEFT('General inputs'!$I$15,4)*1,LEFT(E63,4)*1&gt;LEFT('General inputs'!$I$15,4)+'General inputs'!$H$28-1),"",O63/(1+'General inputs'!$H$24)^D63)</f>
        <v>0</v>
      </c>
      <c r="Q63" s="103"/>
      <c r="R63" s="122"/>
      <c r="S63" s="233">
        <f ca="1">IF(OR(LEFT(E63,4)*1&lt;LEFT('General inputs'!$I$15,4)*1,LEFT(E63,4)*1&gt;LEFT('General inputs'!$I$15,4)+'General inputs'!$H$28-1),"",R63/(1+'General inputs'!$H$24)^D63)</f>
        <v>0</v>
      </c>
      <c r="T63" s="105"/>
      <c r="U63" s="104"/>
    </row>
    <row r="64" spans="1:24" x14ac:dyDescent="0.25">
      <c r="B64" s="83"/>
      <c r="C64" s="104"/>
      <c r="D64" s="228">
        <f ca="1">IF(E64='General inputs'!$I$15,0,IF(E64&lt;'General inputs'!$I$15,D65-1,D63+1))</f>
        <v>21</v>
      </c>
      <c r="E64" s="228" t="str">
        <f ca="1">OFFSET('General inputs'!$L$16,MATCH('DC Calculations'!E63,'General inputs'!$L$17:$L$186,0)+1,0)</f>
        <v>2041-42</v>
      </c>
      <c r="F64" s="233">
        <f ca="1">IF(LEFT(E64,4)*1&gt;LEFT('General inputs'!$I$15,4)+'General inputs'!$H$28-1,"",IF(E64&lt;"2006-07",0,OFFSET('ET inputs'!$C$11,MATCH('DC Calculations'!E64,'ET inputs'!$C$12:$C$102,0),1)))</f>
        <v>0</v>
      </c>
      <c r="G64" s="233">
        <f ca="1">IF(LEFT(E64,4)*1&gt;LEFT('General inputs'!$I$15,4)+'General inputs'!$H$28-1,"",F64/(1+'General inputs'!$H$24)^D64)</f>
        <v>0</v>
      </c>
      <c r="H64" s="233">
        <f ca="1">IF(OR(LEFT(E64,4)*1&lt;LEFT('General inputs'!$I$15,4)*1,LEFT(E64,4)*1&gt;LEFT('General inputs'!$I$15,4)+'General inputs'!$H$28-1),"",F64/(1+'General inputs'!$H$24)^D64)</f>
        <v>0</v>
      </c>
      <c r="I64" s="103"/>
      <c r="J64" s="233" t="str">
        <f ca="1">IF(LEFT(E64,4)*1&gt;LEFT('General inputs'!$I$19,4)*1,"",SUMIF('Commissioned assets'!$F$17:$F$213,$E64,'Commissioned assets'!$P$17:$P$213))</f>
        <v/>
      </c>
      <c r="K64" s="233" t="str">
        <f ca="1">IF(J64="","",J64/(1+'General inputs'!$H$24)^D64)</f>
        <v/>
      </c>
      <c r="L64" s="233">
        <f ca="1">IF(LEFT(E64,4)*1&lt;LEFT('General inputs'!$I$19,4)*1+1,"",SUMIF('Uncommissioned assets'!$F$17:$F$213,$E64,'Uncommissioned assets'!$P$17:$P$213))</f>
        <v>0</v>
      </c>
      <c r="M64" s="233">
        <f ca="1">IF(L64="","",L64/(1+'General inputs'!$H$24)^D64)</f>
        <v>0</v>
      </c>
      <c r="N64" s="103"/>
      <c r="O64" s="122"/>
      <c r="P64" s="233">
        <f ca="1">IF(OR(LEFT(E64,4)*1&lt;LEFT('General inputs'!$I$15,4)*1,LEFT(E64,4)*1&gt;LEFT('General inputs'!$I$15,4)+'General inputs'!$H$28-1),"",O64/(1+'General inputs'!$H$24)^D64)</f>
        <v>0</v>
      </c>
      <c r="Q64" s="103"/>
      <c r="R64" s="122"/>
      <c r="S64" s="233">
        <f ca="1">IF(OR(LEFT(E64,4)*1&lt;LEFT('General inputs'!$I$15,4)*1,LEFT(E64,4)*1&gt;LEFT('General inputs'!$I$15,4)+'General inputs'!$H$28-1),"",R64/(1+'General inputs'!$H$24)^D64)</f>
        <v>0</v>
      </c>
      <c r="T64" s="105"/>
      <c r="U64" s="104"/>
    </row>
    <row r="65" spans="2:21" x14ac:dyDescent="0.25">
      <c r="B65" s="83"/>
      <c r="C65" s="104"/>
      <c r="D65" s="228">
        <f ca="1">IF(E65='General inputs'!$I$15,0,IF(E65&lt;'General inputs'!$I$15,D66-1,D64+1))</f>
        <v>22</v>
      </c>
      <c r="E65" s="228" t="str">
        <f ca="1">OFFSET('General inputs'!$L$16,MATCH('DC Calculations'!E64,'General inputs'!$L$17:$L$186,0)+1,0)</f>
        <v>2042-43</v>
      </c>
      <c r="F65" s="233">
        <f ca="1">IF(LEFT(E65,4)*1&gt;LEFT('General inputs'!$I$15,4)+'General inputs'!$H$28-1,"",IF(E65&lt;"2006-07",0,OFFSET('ET inputs'!$C$11,MATCH('DC Calculations'!E65,'ET inputs'!$C$12:$C$102,0),1)))</f>
        <v>0</v>
      </c>
      <c r="G65" s="233">
        <f ca="1">IF(LEFT(E65,4)*1&gt;LEFT('General inputs'!$I$15,4)+'General inputs'!$H$28-1,"",F65/(1+'General inputs'!$H$24)^D65)</f>
        <v>0</v>
      </c>
      <c r="H65" s="233">
        <f ca="1">IF(OR(LEFT(E65,4)*1&lt;LEFT('General inputs'!$I$15,4)*1,LEFT(E65,4)*1&gt;LEFT('General inputs'!$I$15,4)+'General inputs'!$H$28-1),"",F65/(1+'General inputs'!$H$24)^D65)</f>
        <v>0</v>
      </c>
      <c r="I65" s="103"/>
      <c r="J65" s="233" t="str">
        <f ca="1">IF(LEFT(E65,4)*1&gt;LEFT('General inputs'!$I$19,4)*1,"",SUMIF('Commissioned assets'!$F$17:$F$213,$E65,'Commissioned assets'!$P$17:$P$213))</f>
        <v/>
      </c>
      <c r="K65" s="233" t="str">
        <f ca="1">IF(J65="","",J65/(1+'General inputs'!$H$24)^D65)</f>
        <v/>
      </c>
      <c r="L65" s="233">
        <f ca="1">IF(LEFT(E65,4)*1&lt;LEFT('General inputs'!$I$19,4)*1+1,"",SUMIF('Uncommissioned assets'!$F$17:$F$213,$E65,'Uncommissioned assets'!$P$17:$P$213))</f>
        <v>0</v>
      </c>
      <c r="M65" s="233">
        <f ca="1">IF(L65="","",L65/(1+'General inputs'!$H$24)^D65)</f>
        <v>0</v>
      </c>
      <c r="N65" s="103"/>
      <c r="O65" s="122"/>
      <c r="P65" s="233">
        <f ca="1">IF(OR(LEFT(E65,4)*1&lt;LEFT('General inputs'!$I$15,4)*1,LEFT(E65,4)*1&gt;LEFT('General inputs'!$I$15,4)+'General inputs'!$H$28-1),"",O65/(1+'General inputs'!$H$24)^D65)</f>
        <v>0</v>
      </c>
      <c r="Q65" s="103"/>
      <c r="R65" s="122"/>
      <c r="S65" s="233">
        <f ca="1">IF(OR(LEFT(E65,4)*1&lt;LEFT('General inputs'!$I$15,4)*1,LEFT(E65,4)*1&gt;LEFT('General inputs'!$I$15,4)+'General inputs'!$H$28-1),"",R65/(1+'General inputs'!$H$24)^D65)</f>
        <v>0</v>
      </c>
      <c r="T65" s="105"/>
      <c r="U65" s="104"/>
    </row>
    <row r="66" spans="2:21" x14ac:dyDescent="0.25">
      <c r="B66" s="83"/>
      <c r="C66" s="104"/>
      <c r="D66" s="228">
        <f ca="1">IF(E66='General inputs'!$I$15,0,IF(E66&lt;'General inputs'!$I$15,D67-1,D65+1))</f>
        <v>23</v>
      </c>
      <c r="E66" s="228" t="str">
        <f ca="1">OFFSET('General inputs'!$L$16,MATCH('DC Calculations'!E65,'General inputs'!$L$17:$L$186,0)+1,0)</f>
        <v>2043-44</v>
      </c>
      <c r="F66" s="233">
        <f ca="1">IF(LEFT(E66,4)*1&gt;LEFT('General inputs'!$I$15,4)+'General inputs'!$H$28-1,"",IF(E66&lt;"2006-07",0,OFFSET('ET inputs'!$C$11,MATCH('DC Calculations'!E66,'ET inputs'!$C$12:$C$102,0),1)))</f>
        <v>0</v>
      </c>
      <c r="G66" s="233">
        <f ca="1">IF(LEFT(E66,4)*1&gt;LEFT('General inputs'!$I$15,4)+'General inputs'!$H$28-1,"",F66/(1+'General inputs'!$H$24)^D66)</f>
        <v>0</v>
      </c>
      <c r="H66" s="233">
        <f ca="1">IF(OR(LEFT(E66,4)*1&lt;LEFT('General inputs'!$I$15,4)*1,LEFT(E66,4)*1&gt;LEFT('General inputs'!$I$15,4)+'General inputs'!$H$28-1),"",F66/(1+'General inputs'!$H$24)^D66)</f>
        <v>0</v>
      </c>
      <c r="I66" s="103"/>
      <c r="J66" s="233" t="str">
        <f ca="1">IF(LEFT(E66,4)*1&gt;LEFT('General inputs'!$I$19,4)*1,"",SUMIF('Commissioned assets'!$F$17:$F$213,$E66,'Commissioned assets'!$P$17:$P$213))</f>
        <v/>
      </c>
      <c r="K66" s="233" t="str">
        <f ca="1">IF(J66="","",J66/(1+'General inputs'!$H$24)^D66)</f>
        <v/>
      </c>
      <c r="L66" s="233">
        <f ca="1">IF(LEFT(E66,4)*1&lt;LEFT('General inputs'!$I$19,4)*1+1,"",SUMIF('Uncommissioned assets'!$F$17:$F$213,$E66,'Uncommissioned assets'!$P$17:$P$213))</f>
        <v>0</v>
      </c>
      <c r="M66" s="233">
        <f ca="1">IF(L66="","",L66/(1+'General inputs'!$H$24)^D66)</f>
        <v>0</v>
      </c>
      <c r="N66" s="103"/>
      <c r="O66" s="122"/>
      <c r="P66" s="233">
        <f ca="1">IF(OR(LEFT(E66,4)*1&lt;LEFT('General inputs'!$I$15,4)*1,LEFT(E66,4)*1&gt;LEFT('General inputs'!$I$15,4)+'General inputs'!$H$28-1),"",O66/(1+'General inputs'!$H$24)^D66)</f>
        <v>0</v>
      </c>
      <c r="Q66" s="103"/>
      <c r="R66" s="122"/>
      <c r="S66" s="233">
        <f ca="1">IF(OR(LEFT(E66,4)*1&lt;LEFT('General inputs'!$I$15,4)*1,LEFT(E66,4)*1&gt;LEFT('General inputs'!$I$15,4)+'General inputs'!$H$28-1),"",R66/(1+'General inputs'!$H$24)^D66)</f>
        <v>0</v>
      </c>
      <c r="T66" s="105"/>
      <c r="U66" s="104"/>
    </row>
    <row r="67" spans="2:21" x14ac:dyDescent="0.25">
      <c r="B67" s="83"/>
      <c r="C67" s="104"/>
      <c r="D67" s="228">
        <f ca="1">IF(E67='General inputs'!$I$15,0,IF(E67&lt;'General inputs'!$I$15,D68-1,D66+1))</f>
        <v>24</v>
      </c>
      <c r="E67" s="228" t="str">
        <f ca="1">OFFSET('General inputs'!$L$16,MATCH('DC Calculations'!E66,'General inputs'!$L$17:$L$186,0)+1,0)</f>
        <v>2044-45</v>
      </c>
      <c r="F67" s="233">
        <f ca="1">IF(LEFT(E67,4)*1&gt;LEFT('General inputs'!$I$15,4)+'General inputs'!$H$28-1,"",IF(E67&lt;"2006-07",0,OFFSET('ET inputs'!$C$11,MATCH('DC Calculations'!E67,'ET inputs'!$C$12:$C$102,0),1)))</f>
        <v>0</v>
      </c>
      <c r="G67" s="233">
        <f ca="1">IF(LEFT(E67,4)*1&gt;LEFT('General inputs'!$I$15,4)+'General inputs'!$H$28-1,"",F67/(1+'General inputs'!$H$24)^D67)</f>
        <v>0</v>
      </c>
      <c r="H67" s="233">
        <f ca="1">IF(OR(LEFT(E67,4)*1&lt;LEFT('General inputs'!$I$15,4)*1,LEFT(E67,4)*1&gt;LEFT('General inputs'!$I$15,4)+'General inputs'!$H$28-1),"",F67/(1+'General inputs'!$H$24)^D67)</f>
        <v>0</v>
      </c>
      <c r="I67" s="103"/>
      <c r="J67" s="233" t="str">
        <f ca="1">IF(LEFT(E67,4)*1&gt;LEFT('General inputs'!$I$19,4)*1,"",SUMIF('Commissioned assets'!$F$17:$F$213,$E67,'Commissioned assets'!$P$17:$P$213))</f>
        <v/>
      </c>
      <c r="K67" s="233" t="str">
        <f ca="1">IF(J67="","",J67/(1+'General inputs'!$H$24)^D67)</f>
        <v/>
      </c>
      <c r="L67" s="233">
        <f ca="1">IF(LEFT(E67,4)*1&lt;LEFT('General inputs'!$I$19,4)*1+1,"",SUMIF('Uncommissioned assets'!$F$17:$F$213,$E67,'Uncommissioned assets'!$P$17:$P$213))</f>
        <v>0</v>
      </c>
      <c r="M67" s="233">
        <f ca="1">IF(L67="","",L67/(1+'General inputs'!$H$24)^D67)</f>
        <v>0</v>
      </c>
      <c r="N67" s="103"/>
      <c r="O67" s="122"/>
      <c r="P67" s="233">
        <f ca="1">IF(OR(LEFT(E67,4)*1&lt;LEFT('General inputs'!$I$15,4)*1,LEFT(E67,4)*1&gt;LEFT('General inputs'!$I$15,4)+'General inputs'!$H$28-1),"",O67/(1+'General inputs'!$H$24)^D67)</f>
        <v>0</v>
      </c>
      <c r="Q67" s="103"/>
      <c r="R67" s="122"/>
      <c r="S67" s="233">
        <f ca="1">IF(OR(LEFT(E67,4)*1&lt;LEFT('General inputs'!$I$15,4)*1,LEFT(E67,4)*1&gt;LEFT('General inputs'!$I$15,4)+'General inputs'!$H$28-1),"",R67/(1+'General inputs'!$H$24)^D67)</f>
        <v>0</v>
      </c>
      <c r="T67" s="105"/>
      <c r="U67" s="104"/>
    </row>
    <row r="68" spans="2:21" x14ac:dyDescent="0.25">
      <c r="B68" s="83"/>
      <c r="C68" s="104"/>
      <c r="D68" s="228">
        <f ca="1">IF(E68='General inputs'!$I$15,0,IF(E68&lt;'General inputs'!$I$15,D69-1,D67+1))</f>
        <v>25</v>
      </c>
      <c r="E68" s="228" t="str">
        <f ca="1">OFFSET('General inputs'!$L$16,MATCH('DC Calculations'!E67,'General inputs'!$L$17:$L$186,0)+1,0)</f>
        <v>2045-46</v>
      </c>
      <c r="F68" s="233">
        <f ca="1">IF(LEFT(E68,4)*1&gt;LEFT('General inputs'!$I$15,4)+'General inputs'!$H$28-1,"",IF(E68&lt;"2006-07",0,OFFSET('ET inputs'!$C$11,MATCH('DC Calculations'!E68,'ET inputs'!$C$12:$C$102,0),1)))</f>
        <v>0</v>
      </c>
      <c r="G68" s="233">
        <f ca="1">IF(LEFT(E68,4)*1&gt;LEFT('General inputs'!$I$15,4)+'General inputs'!$H$28-1,"",F68/(1+'General inputs'!$H$24)^D68)</f>
        <v>0</v>
      </c>
      <c r="H68" s="233">
        <f ca="1">IF(OR(LEFT(E68,4)*1&lt;LEFT('General inputs'!$I$15,4)*1,LEFT(E68,4)*1&gt;LEFT('General inputs'!$I$15,4)+'General inputs'!$H$28-1),"",F68/(1+'General inputs'!$H$24)^D68)</f>
        <v>0</v>
      </c>
      <c r="I68" s="103"/>
      <c r="J68" s="233" t="str">
        <f ca="1">IF(LEFT(E68,4)*1&gt;LEFT('General inputs'!$I$19,4)*1,"",SUMIF('Commissioned assets'!$F$17:$F$213,$E68,'Commissioned assets'!$P$17:$P$213))</f>
        <v/>
      </c>
      <c r="K68" s="233" t="str">
        <f ca="1">IF(J68="","",J68/(1+'General inputs'!$H$24)^D68)</f>
        <v/>
      </c>
      <c r="L68" s="233">
        <f ca="1">IF(LEFT(E68,4)*1&lt;LEFT('General inputs'!$I$19,4)*1+1,"",SUMIF('Uncommissioned assets'!$F$17:$F$213,$E68,'Uncommissioned assets'!$P$17:$P$213))</f>
        <v>0</v>
      </c>
      <c r="M68" s="233">
        <f ca="1">IF(L68="","",L68/(1+'General inputs'!$H$24)^D68)</f>
        <v>0</v>
      </c>
      <c r="N68" s="103"/>
      <c r="O68" s="122"/>
      <c r="P68" s="233">
        <f ca="1">IF(OR(LEFT(E68,4)*1&lt;LEFT('General inputs'!$I$15,4)*1,LEFT(E68,4)*1&gt;LEFT('General inputs'!$I$15,4)+'General inputs'!$H$28-1),"",O68/(1+'General inputs'!$H$24)^D68)</f>
        <v>0</v>
      </c>
      <c r="Q68" s="103"/>
      <c r="R68" s="122"/>
      <c r="S68" s="233">
        <f ca="1">IF(OR(LEFT(E68,4)*1&lt;LEFT('General inputs'!$I$15,4)*1,LEFT(E68,4)*1&gt;LEFT('General inputs'!$I$15,4)+'General inputs'!$H$28-1),"",R68/(1+'General inputs'!$H$24)^D68)</f>
        <v>0</v>
      </c>
      <c r="T68" s="105"/>
      <c r="U68" s="104"/>
    </row>
    <row r="69" spans="2:21" x14ac:dyDescent="0.25">
      <c r="B69" s="83"/>
      <c r="C69" s="104"/>
      <c r="D69" s="228">
        <f ca="1">IF(E69='General inputs'!$I$15,0,IF(E69&lt;'General inputs'!$I$15,D70-1,D68+1))</f>
        <v>26</v>
      </c>
      <c r="E69" s="228" t="str">
        <f ca="1">OFFSET('General inputs'!$L$16,MATCH('DC Calculations'!E68,'General inputs'!$L$17:$L$186,0)+1,0)</f>
        <v>2046-47</v>
      </c>
      <c r="F69" s="233">
        <f ca="1">IF(LEFT(E69,4)*1&gt;LEFT('General inputs'!$I$15,4)+'General inputs'!$H$28-1,"",IF(E69&lt;"2006-07",0,OFFSET('ET inputs'!$C$11,MATCH('DC Calculations'!E69,'ET inputs'!$C$12:$C$102,0),1)))</f>
        <v>0</v>
      </c>
      <c r="G69" s="233">
        <f ca="1">IF(LEFT(E69,4)*1&gt;LEFT('General inputs'!$I$15,4)+'General inputs'!$H$28-1,"",F69/(1+'General inputs'!$H$24)^D69)</f>
        <v>0</v>
      </c>
      <c r="H69" s="233">
        <f ca="1">IF(OR(LEFT(E69,4)*1&lt;LEFT('General inputs'!$I$15,4)*1,LEFT(E69,4)*1&gt;LEFT('General inputs'!$I$15,4)+'General inputs'!$H$28-1),"",F69/(1+'General inputs'!$H$24)^D69)</f>
        <v>0</v>
      </c>
      <c r="I69" s="103"/>
      <c r="J69" s="233" t="str">
        <f ca="1">IF(LEFT(E69,4)*1&gt;LEFT('General inputs'!$I$19,4)*1,"",SUMIF('Commissioned assets'!$F$17:$F$213,$E69,'Commissioned assets'!$P$17:$P$213))</f>
        <v/>
      </c>
      <c r="K69" s="233" t="str">
        <f ca="1">IF(J69="","",J69/(1+'General inputs'!$H$24)^D69)</f>
        <v/>
      </c>
      <c r="L69" s="233">
        <f ca="1">IF(LEFT(E69,4)*1&lt;LEFT('General inputs'!$I$19,4)*1+1,"",SUMIF('Uncommissioned assets'!$F$17:$F$213,$E69,'Uncommissioned assets'!$P$17:$P$213))</f>
        <v>0</v>
      </c>
      <c r="M69" s="233">
        <f ca="1">IF(L69="","",L69/(1+'General inputs'!$H$24)^D69)</f>
        <v>0</v>
      </c>
      <c r="N69" s="103"/>
      <c r="O69" s="122"/>
      <c r="P69" s="233">
        <f ca="1">IF(OR(LEFT(E69,4)*1&lt;LEFT('General inputs'!$I$15,4)*1,LEFT(E69,4)*1&gt;LEFT('General inputs'!$I$15,4)+'General inputs'!$H$28-1),"",O69/(1+'General inputs'!$H$24)^D69)</f>
        <v>0</v>
      </c>
      <c r="Q69" s="103"/>
      <c r="R69" s="122"/>
      <c r="S69" s="233">
        <f ca="1">IF(OR(LEFT(E69,4)*1&lt;LEFT('General inputs'!$I$15,4)*1,LEFT(E69,4)*1&gt;LEFT('General inputs'!$I$15,4)+'General inputs'!$H$28-1),"",R69/(1+'General inputs'!$H$24)^D69)</f>
        <v>0</v>
      </c>
      <c r="T69" s="105"/>
      <c r="U69" s="104"/>
    </row>
    <row r="70" spans="2:21" x14ac:dyDescent="0.25">
      <c r="B70" s="83"/>
      <c r="C70" s="104"/>
      <c r="D70" s="228">
        <f ca="1">IF(E70='General inputs'!$I$15,0,IF(E70&lt;'General inputs'!$I$15,D71-1,D69+1))</f>
        <v>27</v>
      </c>
      <c r="E70" s="228" t="str">
        <f ca="1">OFFSET('General inputs'!$L$16,MATCH('DC Calculations'!E69,'General inputs'!$L$17:$L$186,0)+1,0)</f>
        <v>2047-48</v>
      </c>
      <c r="F70" s="233">
        <f ca="1">IF(LEFT(E70,4)*1&gt;LEFT('General inputs'!$I$15,4)+'General inputs'!$H$28-1,"",IF(E70&lt;"2006-07",0,OFFSET('ET inputs'!$C$11,MATCH('DC Calculations'!E70,'ET inputs'!$C$12:$C$102,0),1)))</f>
        <v>0</v>
      </c>
      <c r="G70" s="233">
        <f ca="1">IF(LEFT(E70,4)*1&gt;LEFT('General inputs'!$I$15,4)+'General inputs'!$H$28-1,"",F70/(1+'General inputs'!$H$24)^D70)</f>
        <v>0</v>
      </c>
      <c r="H70" s="233">
        <f ca="1">IF(OR(LEFT(E70,4)*1&lt;LEFT('General inputs'!$I$15,4)*1,LEFT(E70,4)*1&gt;LEFT('General inputs'!$I$15,4)+'General inputs'!$H$28-1),"",F70/(1+'General inputs'!$H$24)^D70)</f>
        <v>0</v>
      </c>
      <c r="I70" s="103"/>
      <c r="J70" s="233" t="str">
        <f ca="1">IF(LEFT(E70,4)*1&gt;LEFT('General inputs'!$I$19,4)*1,"",SUMIF('Commissioned assets'!$F$17:$F$213,$E70,'Commissioned assets'!$P$17:$P$213))</f>
        <v/>
      </c>
      <c r="K70" s="233" t="str">
        <f ca="1">IF(J70="","",J70/(1+'General inputs'!$H$24)^D70)</f>
        <v/>
      </c>
      <c r="L70" s="233">
        <f ca="1">IF(LEFT(E70,4)*1&lt;LEFT('General inputs'!$I$19,4)*1+1,"",SUMIF('Uncommissioned assets'!$F$17:$F$213,$E70,'Uncommissioned assets'!$P$17:$P$213))</f>
        <v>0</v>
      </c>
      <c r="M70" s="233">
        <f ca="1">IF(L70="","",L70/(1+'General inputs'!$H$24)^D70)</f>
        <v>0</v>
      </c>
      <c r="N70" s="103"/>
      <c r="O70" s="122"/>
      <c r="P70" s="233">
        <f ca="1">IF(OR(LEFT(E70,4)*1&lt;LEFT('General inputs'!$I$15,4)*1,LEFT(E70,4)*1&gt;LEFT('General inputs'!$I$15,4)+'General inputs'!$H$28-1),"",O70/(1+'General inputs'!$H$24)^D70)</f>
        <v>0</v>
      </c>
      <c r="Q70" s="103"/>
      <c r="R70" s="122"/>
      <c r="S70" s="233">
        <f ca="1">IF(OR(LEFT(E70,4)*1&lt;LEFT('General inputs'!$I$15,4)*1,LEFT(E70,4)*1&gt;LEFT('General inputs'!$I$15,4)+'General inputs'!$H$28-1),"",R70/(1+'General inputs'!$H$24)^D70)</f>
        <v>0</v>
      </c>
      <c r="T70" s="105"/>
      <c r="U70" s="104"/>
    </row>
    <row r="71" spans="2:21" x14ac:dyDescent="0.25">
      <c r="B71" s="83"/>
      <c r="C71" s="104"/>
      <c r="D71" s="228">
        <f ca="1">IF(E71='General inputs'!$I$15,0,IF(E71&lt;'General inputs'!$I$15,D72-1,D70+1))</f>
        <v>28</v>
      </c>
      <c r="E71" s="228" t="str">
        <f ca="1">OFFSET('General inputs'!$L$16,MATCH('DC Calculations'!E70,'General inputs'!$L$17:$L$186,0)+1,0)</f>
        <v>2048-49</v>
      </c>
      <c r="F71" s="233">
        <f ca="1">IF(LEFT(E71,4)*1&gt;LEFT('General inputs'!$I$15,4)+'General inputs'!$H$28-1,"",IF(E71&lt;"2006-07",0,OFFSET('ET inputs'!$C$11,MATCH('DC Calculations'!E71,'ET inputs'!$C$12:$C$102,0),1)))</f>
        <v>0</v>
      </c>
      <c r="G71" s="233">
        <f ca="1">IF(LEFT(E71,4)*1&gt;LEFT('General inputs'!$I$15,4)+'General inputs'!$H$28-1,"",F71/(1+'General inputs'!$H$24)^D71)</f>
        <v>0</v>
      </c>
      <c r="H71" s="233">
        <f ca="1">IF(OR(LEFT(E71,4)*1&lt;LEFT('General inputs'!$I$15,4)*1,LEFT(E71,4)*1&gt;LEFT('General inputs'!$I$15,4)+'General inputs'!$H$28-1),"",F71/(1+'General inputs'!$H$24)^D71)</f>
        <v>0</v>
      </c>
      <c r="I71" s="103"/>
      <c r="J71" s="233" t="str">
        <f ca="1">IF(LEFT(E71,4)*1&gt;LEFT('General inputs'!$I$19,4)*1,"",SUMIF('Commissioned assets'!$F$17:$F$213,$E71,'Commissioned assets'!$P$17:$P$213))</f>
        <v/>
      </c>
      <c r="K71" s="233" t="str">
        <f ca="1">IF(J71="","",J71/(1+'General inputs'!$H$24)^D71)</f>
        <v/>
      </c>
      <c r="L71" s="233">
        <f ca="1">IF(LEFT(E71,4)*1&lt;LEFT('General inputs'!$I$19,4)*1+1,"",SUMIF('Uncommissioned assets'!$F$17:$F$213,$E71,'Uncommissioned assets'!$P$17:$P$213))</f>
        <v>0</v>
      </c>
      <c r="M71" s="233">
        <f ca="1">IF(L71="","",L71/(1+'General inputs'!$H$24)^D71)</f>
        <v>0</v>
      </c>
      <c r="N71" s="103"/>
      <c r="O71" s="122"/>
      <c r="P71" s="233">
        <f ca="1">IF(OR(LEFT(E71,4)*1&lt;LEFT('General inputs'!$I$15,4)*1,LEFT(E71,4)*1&gt;LEFT('General inputs'!$I$15,4)+'General inputs'!$H$28-1),"",O71/(1+'General inputs'!$H$24)^D71)</f>
        <v>0</v>
      </c>
      <c r="Q71" s="103"/>
      <c r="R71" s="122"/>
      <c r="S71" s="233">
        <f ca="1">IF(OR(LEFT(E71,4)*1&lt;LEFT('General inputs'!$I$15,4)*1,LEFT(E71,4)*1&gt;LEFT('General inputs'!$I$15,4)+'General inputs'!$H$28-1),"",R71/(1+'General inputs'!$H$24)^D71)</f>
        <v>0</v>
      </c>
      <c r="T71" s="105"/>
      <c r="U71" s="104"/>
    </row>
    <row r="72" spans="2:21" x14ac:dyDescent="0.25">
      <c r="B72" s="83"/>
      <c r="C72" s="104"/>
      <c r="D72" s="228">
        <f ca="1">IF(E72='General inputs'!$I$15,0,IF(E72&lt;'General inputs'!$I$15,D73-1,D71+1))</f>
        <v>29</v>
      </c>
      <c r="E72" s="228" t="str">
        <f ca="1">OFFSET('General inputs'!$L$16,MATCH('DC Calculations'!E71,'General inputs'!$L$17:$L$186,0)+1,0)</f>
        <v>2049-50</v>
      </c>
      <c r="F72" s="233">
        <f ca="1">IF(LEFT(E72,4)*1&gt;LEFT('General inputs'!$I$15,4)+'General inputs'!$H$28-1,"",IF(E72&lt;"2006-07",0,OFFSET('ET inputs'!$C$11,MATCH('DC Calculations'!E72,'ET inputs'!$C$12:$C$102,0),1)))</f>
        <v>0</v>
      </c>
      <c r="G72" s="233">
        <f ca="1">IF(LEFT(E72,4)*1&gt;LEFT('General inputs'!$I$15,4)+'General inputs'!$H$28-1,"",F72/(1+'General inputs'!$H$24)^D72)</f>
        <v>0</v>
      </c>
      <c r="H72" s="233">
        <f ca="1">IF(OR(LEFT(E72,4)*1&lt;LEFT('General inputs'!$I$15,4)*1,LEFT(E72,4)*1&gt;LEFT('General inputs'!$I$15,4)+'General inputs'!$H$28-1),"",F72/(1+'General inputs'!$H$24)^D72)</f>
        <v>0</v>
      </c>
      <c r="I72" s="103"/>
      <c r="J72" s="233" t="str">
        <f ca="1">IF(LEFT(E72,4)*1&gt;LEFT('General inputs'!$I$19,4)*1,"",SUMIF('Commissioned assets'!$F$17:$F$213,$E72,'Commissioned assets'!$P$17:$P$213))</f>
        <v/>
      </c>
      <c r="K72" s="233" t="str">
        <f ca="1">IF(J72="","",J72/(1+'General inputs'!$H$24)^D72)</f>
        <v/>
      </c>
      <c r="L72" s="233">
        <f ca="1">IF(LEFT(E72,4)*1&lt;LEFT('General inputs'!$I$19,4)*1+1,"",SUMIF('Uncommissioned assets'!$F$17:$F$213,$E72,'Uncommissioned assets'!$P$17:$P$213))</f>
        <v>0</v>
      </c>
      <c r="M72" s="233">
        <f ca="1">IF(L72="","",L72/(1+'General inputs'!$H$24)^D72)</f>
        <v>0</v>
      </c>
      <c r="N72" s="103"/>
      <c r="O72" s="122"/>
      <c r="P72" s="233">
        <f ca="1">IF(OR(LEFT(E72,4)*1&lt;LEFT('General inputs'!$I$15,4)*1,LEFT(E72,4)*1&gt;LEFT('General inputs'!$I$15,4)+'General inputs'!$H$28-1),"",O72/(1+'General inputs'!$H$24)^D72)</f>
        <v>0</v>
      </c>
      <c r="Q72" s="103"/>
      <c r="R72" s="122"/>
      <c r="S72" s="233">
        <f ca="1">IF(OR(LEFT(E72,4)*1&lt;LEFT('General inputs'!$I$15,4)*1,LEFT(E72,4)*1&gt;LEFT('General inputs'!$I$15,4)+'General inputs'!$H$28-1),"",R72/(1+'General inputs'!$H$24)^D72)</f>
        <v>0</v>
      </c>
      <c r="T72" s="105"/>
      <c r="U72" s="104"/>
    </row>
    <row r="73" spans="2:21" x14ac:dyDescent="0.25">
      <c r="B73" s="83"/>
      <c r="C73" s="104"/>
      <c r="D73" s="228">
        <f ca="1">IF(E73='General inputs'!$I$15,0,IF(E73&lt;'General inputs'!$I$15,D74-1,D72+1))</f>
        <v>30</v>
      </c>
      <c r="E73" s="228" t="str">
        <f ca="1">OFFSET('General inputs'!$L$16,MATCH('DC Calculations'!E72,'General inputs'!$L$17:$L$186,0)+1,0)</f>
        <v>2050-51</v>
      </c>
      <c r="F73" s="233" t="str">
        <f ca="1">IF(LEFT(E73,4)*1&gt;LEFT('General inputs'!$I$15,4)+'General inputs'!$H$28-1,"",IF(E73&lt;"2006-07",0,OFFSET('ET inputs'!$C$11,MATCH('DC Calculations'!E73,'ET inputs'!$C$12:$C$102,0),1)))</f>
        <v/>
      </c>
      <c r="G73" s="233" t="str">
        <f ca="1">IF(LEFT(E73,4)*1&gt;LEFT('General inputs'!$I$15,4)+'General inputs'!$H$28-1,"",F73/(1+'General inputs'!$H$24)^D73)</f>
        <v/>
      </c>
      <c r="H73" s="233" t="str">
        <f ca="1">IF(OR(LEFT(E73,4)*1&lt;LEFT('General inputs'!$I$15,4)*1,LEFT(E73,4)*1&gt;LEFT('General inputs'!$I$15,4)+'General inputs'!$H$28-1),"",F73/(1+'General inputs'!$H$24)^D73)</f>
        <v/>
      </c>
      <c r="I73" s="103"/>
      <c r="J73" s="233" t="str">
        <f ca="1">IF(LEFT(E73,4)*1&gt;LEFT('General inputs'!$I$19,4)*1,"",SUMIF('Commissioned assets'!$F$17:$F$213,$E73,'Commissioned assets'!$P$17:$P$213))</f>
        <v/>
      </c>
      <c r="K73" s="233" t="str">
        <f ca="1">IF(J73="","",J73/(1+'General inputs'!$H$24)^D73)</f>
        <v/>
      </c>
      <c r="L73" s="233">
        <f ca="1">IF(LEFT(E73,4)*1&lt;LEFT('General inputs'!$I$19,4)*1+1,"",SUMIF('Uncommissioned assets'!$F$17:$F$213,$E73,'Uncommissioned assets'!$P$17:$P$213))</f>
        <v>0</v>
      </c>
      <c r="M73" s="233">
        <f ca="1">IF(L73="","",L73/(1+'General inputs'!$H$24)^D73)</f>
        <v>0</v>
      </c>
      <c r="N73" s="103"/>
      <c r="O73" s="122"/>
      <c r="P73" s="233" t="str">
        <f ca="1">IF(OR(LEFT(E73,4)*1&lt;LEFT('General inputs'!$I$15,4)*1,LEFT(E73,4)*1&gt;LEFT('General inputs'!$I$15,4)+'General inputs'!$H$28-1),"",O73/(1+'General inputs'!$H$24)^D73)</f>
        <v/>
      </c>
      <c r="Q73" s="103"/>
      <c r="R73" s="122"/>
      <c r="S73" s="233" t="str">
        <f ca="1">IF(OR(LEFT(E73,4)*1&lt;LEFT('General inputs'!$I$15,4)*1,LEFT(E73,4)*1&gt;LEFT('General inputs'!$I$15,4)+'General inputs'!$H$28-1),"",R73/(1+'General inputs'!$H$24)^D73)</f>
        <v/>
      </c>
      <c r="T73" s="105"/>
      <c r="U73" s="104"/>
    </row>
    <row r="74" spans="2:21" x14ac:dyDescent="0.25">
      <c r="B74" s="83"/>
      <c r="C74" s="104"/>
      <c r="D74" s="228">
        <f ca="1">IF(E74='General inputs'!$I$15,0,IF(E74&lt;'General inputs'!$I$15,D75-1,D73+1))</f>
        <v>31</v>
      </c>
      <c r="E74" s="228" t="str">
        <f ca="1">OFFSET('General inputs'!$L$16,MATCH('DC Calculations'!E73,'General inputs'!$L$17:$L$186,0)+1,0)</f>
        <v>2051-52</v>
      </c>
      <c r="F74" s="233" t="str">
        <f ca="1">IF(LEFT(E74,4)*1&gt;LEFT('General inputs'!$I$15,4)+'General inputs'!$H$28-1,"",IF(E74&lt;"2006-07",0,OFFSET('ET inputs'!$C$11,MATCH('DC Calculations'!E74,'ET inputs'!$C$12:$C$102,0),1)))</f>
        <v/>
      </c>
      <c r="G74" s="233" t="str">
        <f ca="1">IF(LEFT(E74,4)*1&gt;LEFT('General inputs'!$I$15,4)+'General inputs'!$H$28-1,"",F74/(1+'General inputs'!$H$24)^D74)</f>
        <v/>
      </c>
      <c r="H74" s="233" t="str">
        <f ca="1">IF(OR(LEFT(E74,4)*1&lt;LEFT('General inputs'!$I$15,4)*1,LEFT(E74,4)*1&gt;LEFT('General inputs'!$I$15,4)+'General inputs'!$H$28-1),"",F74/(1+'General inputs'!$H$24)^D74)</f>
        <v/>
      </c>
      <c r="I74" s="103"/>
      <c r="J74" s="233" t="str">
        <f ca="1">IF(LEFT(E74,4)*1&gt;LEFT('General inputs'!$I$19,4)*1,"",SUMIF('Commissioned assets'!$F$17:$F$213,$E74,'Commissioned assets'!$P$17:$P$213))</f>
        <v/>
      </c>
      <c r="K74" s="233" t="str">
        <f ca="1">IF(J74="","",J74/(1+'General inputs'!$H$24)^D74)</f>
        <v/>
      </c>
      <c r="L74" s="233">
        <f ca="1">IF(LEFT(E74,4)*1&lt;LEFT('General inputs'!$I$19,4)*1+1,"",SUMIF('Uncommissioned assets'!$F$17:$F$213,$E74,'Uncommissioned assets'!$P$17:$P$213))</f>
        <v>0</v>
      </c>
      <c r="M74" s="233">
        <f ca="1">IF(L74="","",L74/(1+'General inputs'!$H$24)^D74)</f>
        <v>0</v>
      </c>
      <c r="N74" s="103"/>
      <c r="O74" s="122"/>
      <c r="P74" s="233" t="str">
        <f ca="1">IF(OR(LEFT(E74,4)*1&lt;LEFT('General inputs'!$I$15,4)*1,LEFT(E74,4)*1&gt;LEFT('General inputs'!$I$15,4)+'General inputs'!$H$28-1),"",O74/(1+'General inputs'!$H$24)^D74)</f>
        <v/>
      </c>
      <c r="Q74" s="103"/>
      <c r="R74" s="122"/>
      <c r="S74" s="233" t="str">
        <f ca="1">IF(OR(LEFT(E74,4)*1&lt;LEFT('General inputs'!$I$15,4)*1,LEFT(E74,4)*1&gt;LEFT('General inputs'!$I$15,4)+'General inputs'!$H$28-1),"",R74/(1+'General inputs'!$H$24)^D74)</f>
        <v/>
      </c>
      <c r="T74" s="105"/>
      <c r="U74" s="104"/>
    </row>
    <row r="75" spans="2:21" x14ac:dyDescent="0.25">
      <c r="B75" s="83"/>
      <c r="C75" s="104"/>
      <c r="D75" s="228">
        <f ca="1">IF(E75='General inputs'!$I$15,0,IF(E75&lt;'General inputs'!$I$15,D76-1,D74+1))</f>
        <v>32</v>
      </c>
      <c r="E75" s="228" t="str">
        <f ca="1">OFFSET('General inputs'!$L$16,MATCH('DC Calculations'!E74,'General inputs'!$L$17:$L$186,0)+1,0)</f>
        <v>2052-53</v>
      </c>
      <c r="F75" s="233" t="str">
        <f ca="1">IF(LEFT(E75,4)*1&gt;LEFT('General inputs'!$I$15,4)+'General inputs'!$H$28-1,"",IF(E75&lt;"2006-07",0,OFFSET('ET inputs'!$C$11,MATCH('DC Calculations'!E75,'ET inputs'!$C$12:$C$102,0),1)))</f>
        <v/>
      </c>
      <c r="G75" s="233" t="str">
        <f ca="1">IF(LEFT(E75,4)*1&gt;LEFT('General inputs'!$I$15,4)+'General inputs'!$H$28-1,"",F75/(1+'General inputs'!$H$24)^D75)</f>
        <v/>
      </c>
      <c r="H75" s="233" t="str">
        <f ca="1">IF(OR(LEFT(E75,4)*1&lt;LEFT('General inputs'!$I$15,4)*1,LEFT(E75,4)*1&gt;LEFT('General inputs'!$I$15,4)+'General inputs'!$H$28-1),"",F75/(1+'General inputs'!$H$24)^D75)</f>
        <v/>
      </c>
      <c r="I75" s="103"/>
      <c r="J75" s="233" t="str">
        <f ca="1">IF(LEFT(E75,4)*1&gt;LEFT('General inputs'!$I$19,4)*1,"",SUMIF('Commissioned assets'!$F$17:$F$213,$E75,'Commissioned assets'!$P$17:$P$213))</f>
        <v/>
      </c>
      <c r="K75" s="233" t="str">
        <f ca="1">IF(J75="","",J75/(1+'General inputs'!$H$24)^D75)</f>
        <v/>
      </c>
      <c r="L75" s="233">
        <f ca="1">IF(LEFT(E75,4)*1&lt;LEFT('General inputs'!$I$19,4)*1+1,"",SUMIF('Uncommissioned assets'!$F$17:$F$213,$E75,'Uncommissioned assets'!$P$17:$P$213))</f>
        <v>0</v>
      </c>
      <c r="M75" s="233">
        <f ca="1">IF(L75="","",L75/(1+'General inputs'!$H$24)^D75)</f>
        <v>0</v>
      </c>
      <c r="N75" s="103"/>
      <c r="O75" s="122"/>
      <c r="P75" s="233" t="str">
        <f ca="1">IF(OR(LEFT(E75,4)*1&lt;LEFT('General inputs'!$I$15,4)*1,LEFT(E75,4)*1&gt;LEFT('General inputs'!$I$15,4)+'General inputs'!$H$28-1),"",O75/(1+'General inputs'!$H$24)^D75)</f>
        <v/>
      </c>
      <c r="Q75" s="103"/>
      <c r="R75" s="122"/>
      <c r="S75" s="233" t="str">
        <f ca="1">IF(OR(LEFT(E75,4)*1&lt;LEFT('General inputs'!$I$15,4)*1,LEFT(E75,4)*1&gt;LEFT('General inputs'!$I$15,4)+'General inputs'!$H$28-1),"",R75/(1+'General inputs'!$H$24)^D75)</f>
        <v/>
      </c>
      <c r="T75" s="105"/>
      <c r="U75" s="104"/>
    </row>
    <row r="76" spans="2:21" x14ac:dyDescent="0.25">
      <c r="B76" s="83"/>
      <c r="C76" s="104"/>
      <c r="D76" s="228">
        <f ca="1">IF(E76='General inputs'!$I$15,0,IF(E76&lt;'General inputs'!$I$15,D77-1,D75+1))</f>
        <v>33</v>
      </c>
      <c r="E76" s="228" t="str">
        <f ca="1">OFFSET('General inputs'!$L$16,MATCH('DC Calculations'!E75,'General inputs'!$L$17:$L$186,0)+1,0)</f>
        <v>2053-54</v>
      </c>
      <c r="F76" s="233" t="str">
        <f ca="1">IF(LEFT(E76,4)*1&gt;LEFT('General inputs'!$I$15,4)+'General inputs'!$H$28-1,"",IF(E76&lt;"2006-07",0,OFFSET('ET inputs'!$C$11,MATCH('DC Calculations'!E76,'ET inputs'!$C$12:$C$102,0),1)))</f>
        <v/>
      </c>
      <c r="G76" s="233" t="str">
        <f ca="1">IF(LEFT(E76,4)*1&gt;LEFT('General inputs'!$I$15,4)+'General inputs'!$H$28-1,"",F76/(1+'General inputs'!$H$24)^D76)</f>
        <v/>
      </c>
      <c r="H76" s="233" t="str">
        <f ca="1">IF(OR(LEFT(E76,4)*1&lt;LEFT('General inputs'!$I$15,4)*1,LEFT(E76,4)*1&gt;LEFT('General inputs'!$I$15,4)+'General inputs'!$H$28-1),"",F76/(1+'General inputs'!$H$24)^D76)</f>
        <v/>
      </c>
      <c r="I76" s="103"/>
      <c r="J76" s="233" t="str">
        <f ca="1">IF(LEFT(E76,4)*1&gt;LEFT('General inputs'!$I$19,4)*1,"",SUMIF('Commissioned assets'!$F$17:$F$213,$E76,'Commissioned assets'!$P$17:$P$213))</f>
        <v/>
      </c>
      <c r="K76" s="233" t="str">
        <f ca="1">IF(J76="","",J76/(1+'General inputs'!$H$24)^D76)</f>
        <v/>
      </c>
      <c r="L76" s="233">
        <f ca="1">IF(LEFT(E76,4)*1&lt;LEFT('General inputs'!$I$19,4)*1+1,"",SUMIF('Uncommissioned assets'!$F$17:$F$213,$E76,'Uncommissioned assets'!$P$17:$P$213))</f>
        <v>0</v>
      </c>
      <c r="M76" s="233">
        <f ca="1">IF(L76="","",L76/(1+'General inputs'!$H$24)^D76)</f>
        <v>0</v>
      </c>
      <c r="N76" s="103"/>
      <c r="O76" s="122"/>
      <c r="P76" s="233" t="str">
        <f ca="1">IF(OR(LEFT(E76,4)*1&lt;LEFT('General inputs'!$I$15,4)*1,LEFT(E76,4)*1&gt;LEFT('General inputs'!$I$15,4)+'General inputs'!$H$28-1),"",O76/(1+'General inputs'!$H$24)^D76)</f>
        <v/>
      </c>
      <c r="Q76" s="103"/>
      <c r="R76" s="122"/>
      <c r="S76" s="233" t="str">
        <f ca="1">IF(OR(LEFT(E76,4)*1&lt;LEFT('General inputs'!$I$15,4)*1,LEFT(E76,4)*1&gt;LEFT('General inputs'!$I$15,4)+'General inputs'!$H$28-1),"",R76/(1+'General inputs'!$H$24)^D76)</f>
        <v/>
      </c>
      <c r="T76" s="105"/>
      <c r="U76" s="104"/>
    </row>
    <row r="77" spans="2:21" x14ac:dyDescent="0.25">
      <c r="B77" s="83"/>
      <c r="C77" s="104"/>
      <c r="D77" s="228">
        <f ca="1">IF(E77='General inputs'!$I$15,0,IF(E77&lt;'General inputs'!$I$15,D78-1,D76+1))</f>
        <v>34</v>
      </c>
      <c r="E77" s="228" t="str">
        <f ca="1">OFFSET('General inputs'!$L$16,MATCH('DC Calculations'!E76,'General inputs'!$L$17:$L$186,0)+1,0)</f>
        <v>2054-55</v>
      </c>
      <c r="F77" s="233" t="str">
        <f ca="1">IF(LEFT(E77,4)*1&gt;LEFT('General inputs'!$I$15,4)+'General inputs'!$H$28-1,"",IF(E77&lt;"2006-07",0,OFFSET('ET inputs'!$C$11,MATCH('DC Calculations'!E77,'ET inputs'!$C$12:$C$102,0),1)))</f>
        <v/>
      </c>
      <c r="G77" s="233" t="str">
        <f ca="1">IF(LEFT(E77,4)*1&gt;LEFT('General inputs'!$I$15,4)+'General inputs'!$H$28-1,"",F77/(1+'General inputs'!$H$24)^D77)</f>
        <v/>
      </c>
      <c r="H77" s="233" t="str">
        <f ca="1">IF(OR(LEFT(E77,4)*1&lt;LEFT('General inputs'!$I$15,4)*1,LEFT(E77,4)*1&gt;LEFT('General inputs'!$I$15,4)+'General inputs'!$H$28-1),"",F77/(1+'General inputs'!$H$24)^D77)</f>
        <v/>
      </c>
      <c r="I77" s="103"/>
      <c r="J77" s="233" t="str">
        <f ca="1">IF(LEFT(E77,4)*1&gt;LEFT('General inputs'!$I$19,4)*1,"",SUMIF('Commissioned assets'!$F$17:$F$213,$E77,'Commissioned assets'!$P$17:$P$213))</f>
        <v/>
      </c>
      <c r="K77" s="233" t="str">
        <f ca="1">IF(J77="","",J77/(1+'General inputs'!$H$24)^D77)</f>
        <v/>
      </c>
      <c r="L77" s="233">
        <f ca="1">IF(LEFT(E77,4)*1&lt;LEFT('General inputs'!$I$19,4)*1+1,"",SUMIF('Uncommissioned assets'!$F$17:$F$213,$E77,'Uncommissioned assets'!$P$17:$P$213))</f>
        <v>0</v>
      </c>
      <c r="M77" s="233">
        <f ca="1">IF(L77="","",L77/(1+'General inputs'!$H$24)^D77)</f>
        <v>0</v>
      </c>
      <c r="N77" s="103"/>
      <c r="O77" s="122"/>
      <c r="P77" s="233" t="str">
        <f ca="1">IF(OR(LEFT(E77,4)*1&lt;LEFT('General inputs'!$I$15,4)*1,LEFT(E77,4)*1&gt;LEFT('General inputs'!$I$15,4)+'General inputs'!$H$28-1),"",O77/(1+'General inputs'!$H$24)^D77)</f>
        <v/>
      </c>
      <c r="Q77" s="103"/>
      <c r="R77" s="122"/>
      <c r="S77" s="233" t="str">
        <f ca="1">IF(OR(LEFT(E77,4)*1&lt;LEFT('General inputs'!$I$15,4)*1,LEFT(E77,4)*1&gt;LEFT('General inputs'!$I$15,4)+'General inputs'!$H$28-1),"",R77/(1+'General inputs'!$H$24)^D77)</f>
        <v/>
      </c>
      <c r="T77" s="105"/>
      <c r="U77" s="104"/>
    </row>
    <row r="78" spans="2:21" x14ac:dyDescent="0.25">
      <c r="B78" s="83"/>
      <c r="C78" s="104"/>
      <c r="D78" s="228">
        <f ca="1">IF(E78='General inputs'!$I$15,0,IF(E78&lt;'General inputs'!$I$15,D79-1,D77+1))</f>
        <v>35</v>
      </c>
      <c r="E78" s="228" t="str">
        <f ca="1">OFFSET('General inputs'!$L$16,MATCH('DC Calculations'!E77,'General inputs'!$L$17:$L$186,0)+1,0)</f>
        <v>2055-56</v>
      </c>
      <c r="F78" s="233" t="str">
        <f ca="1">IF(LEFT(E78,4)*1&gt;LEFT('General inputs'!$I$15,4)+'General inputs'!$H$28-1,"",IF(E78&lt;"2006-07",0,OFFSET('ET inputs'!$C$11,MATCH('DC Calculations'!E78,'ET inputs'!$C$12:$C$102,0),1)))</f>
        <v/>
      </c>
      <c r="G78" s="233" t="str">
        <f ca="1">IF(LEFT(E78,4)*1&gt;LEFT('General inputs'!$I$15,4)+'General inputs'!$H$28-1,"",F78/(1+'General inputs'!$H$24)^D78)</f>
        <v/>
      </c>
      <c r="H78" s="233" t="str">
        <f ca="1">IF(OR(LEFT(E78,4)*1&lt;LEFT('General inputs'!$I$15,4)*1,LEFT(E78,4)*1&gt;LEFT('General inputs'!$I$15,4)+'General inputs'!$H$28-1),"",F78/(1+'General inputs'!$H$24)^D78)</f>
        <v/>
      </c>
      <c r="I78" s="103"/>
      <c r="J78" s="233" t="str">
        <f ca="1">IF(LEFT(E78,4)*1&gt;LEFT('General inputs'!$I$19,4)*1,"",SUMIF('Commissioned assets'!$F$17:$F$213,$E78,'Commissioned assets'!$P$17:$P$213))</f>
        <v/>
      </c>
      <c r="K78" s="233" t="str">
        <f ca="1">IF(J78="","",J78/(1+'General inputs'!$H$24)^D78)</f>
        <v/>
      </c>
      <c r="L78" s="233">
        <f ca="1">IF(LEFT(E78,4)*1&lt;LEFT('General inputs'!$I$19,4)*1+1,"",SUMIF('Uncommissioned assets'!$F$17:$F$213,$E78,'Uncommissioned assets'!$P$17:$P$213))</f>
        <v>0</v>
      </c>
      <c r="M78" s="233">
        <f ca="1">IF(L78="","",L78/(1+'General inputs'!$H$24)^D78)</f>
        <v>0</v>
      </c>
      <c r="N78" s="103"/>
      <c r="O78" s="122"/>
      <c r="P78" s="233" t="str">
        <f ca="1">IF(OR(LEFT(E78,4)*1&lt;LEFT('General inputs'!$I$15,4)*1,LEFT(E78,4)*1&gt;LEFT('General inputs'!$I$15,4)+'General inputs'!$H$28-1),"",O78/(1+'General inputs'!$H$24)^D78)</f>
        <v/>
      </c>
      <c r="Q78" s="103"/>
      <c r="R78" s="122"/>
      <c r="S78" s="233" t="str">
        <f ca="1">IF(OR(LEFT(E78,4)*1&lt;LEFT('General inputs'!$I$15,4)*1,LEFT(E78,4)*1&gt;LEFT('General inputs'!$I$15,4)+'General inputs'!$H$28-1),"",R78/(1+'General inputs'!$H$24)^D78)</f>
        <v/>
      </c>
      <c r="T78" s="105"/>
      <c r="U78" s="104"/>
    </row>
    <row r="79" spans="2:21" x14ac:dyDescent="0.25">
      <c r="B79" s="83"/>
      <c r="C79" s="104"/>
      <c r="D79" s="228">
        <f ca="1">IF(E79='General inputs'!$I$15,0,IF(E79&lt;'General inputs'!$I$15,D80-1,D78+1))</f>
        <v>36</v>
      </c>
      <c r="E79" s="228" t="str">
        <f ca="1">OFFSET('General inputs'!$L$16,MATCH('DC Calculations'!E78,'General inputs'!$L$17:$L$186,0)+1,0)</f>
        <v>2056-57</v>
      </c>
      <c r="F79" s="233" t="str">
        <f ca="1">IF(LEFT(E79,4)*1&gt;LEFT('General inputs'!$I$15,4)+'General inputs'!$H$28-1,"",IF(E79&lt;"2006-07",0,OFFSET('ET inputs'!$C$11,MATCH('DC Calculations'!E79,'ET inputs'!$C$12:$C$102,0),1)))</f>
        <v/>
      </c>
      <c r="G79" s="233" t="str">
        <f ca="1">IF(LEFT(E79,4)*1&gt;LEFT('General inputs'!$I$15,4)+'General inputs'!$H$28-1,"",F79/(1+'General inputs'!$H$24)^D79)</f>
        <v/>
      </c>
      <c r="H79" s="233" t="str">
        <f ca="1">IF(OR(LEFT(E79,4)*1&lt;LEFT('General inputs'!$I$15,4)*1,LEFT(E79,4)*1&gt;LEFT('General inputs'!$I$15,4)+'General inputs'!$H$28-1),"",F79/(1+'General inputs'!$H$24)^D79)</f>
        <v/>
      </c>
      <c r="I79" s="103"/>
      <c r="J79" s="233" t="str">
        <f ca="1">IF(LEFT(E79,4)*1&gt;LEFT('General inputs'!$I$19,4)*1,"",SUMIF('Commissioned assets'!$F$17:$F$213,$E79,'Commissioned assets'!$P$17:$P$213))</f>
        <v/>
      </c>
      <c r="K79" s="233" t="str">
        <f ca="1">IF(J79="","",J79/(1+'General inputs'!$H$24)^D79)</f>
        <v/>
      </c>
      <c r="L79" s="233">
        <f ca="1">IF(LEFT(E79,4)*1&lt;LEFT('General inputs'!$I$19,4)*1+1,"",SUMIF('Uncommissioned assets'!$F$17:$F$213,$E79,'Uncommissioned assets'!$P$17:$P$213))</f>
        <v>0</v>
      </c>
      <c r="M79" s="233">
        <f ca="1">IF(L79="","",L79/(1+'General inputs'!$H$24)^D79)</f>
        <v>0</v>
      </c>
      <c r="N79" s="103"/>
      <c r="O79" s="122"/>
      <c r="P79" s="233" t="str">
        <f ca="1">IF(OR(LEFT(E79,4)*1&lt;LEFT('General inputs'!$I$15,4)*1,LEFT(E79,4)*1&gt;LEFT('General inputs'!$I$15,4)+'General inputs'!$H$28-1),"",O79/(1+'General inputs'!$H$24)^D79)</f>
        <v/>
      </c>
      <c r="Q79" s="103"/>
      <c r="R79" s="122"/>
      <c r="S79" s="233" t="str">
        <f ca="1">IF(OR(LEFT(E79,4)*1&lt;LEFT('General inputs'!$I$15,4)*1,LEFT(E79,4)*1&gt;LEFT('General inputs'!$I$15,4)+'General inputs'!$H$28-1),"",R79/(1+'General inputs'!$H$24)^D79)</f>
        <v/>
      </c>
      <c r="T79" s="105"/>
      <c r="U79" s="104"/>
    </row>
    <row r="80" spans="2:21" x14ac:dyDescent="0.25">
      <c r="B80" s="83"/>
      <c r="C80" s="104"/>
      <c r="D80" s="228">
        <f ca="1">IF(E80='General inputs'!$I$15,0,IF(E80&lt;'General inputs'!$I$15,D81-1,D79+1))</f>
        <v>37</v>
      </c>
      <c r="E80" s="228" t="str">
        <f ca="1">OFFSET('General inputs'!$L$16,MATCH('DC Calculations'!E79,'General inputs'!$L$17:$L$186,0)+1,0)</f>
        <v>2057-58</v>
      </c>
      <c r="F80" s="233" t="str">
        <f ca="1">IF(LEFT(E80,4)*1&gt;LEFT('General inputs'!$I$15,4)+'General inputs'!$H$28-1,"",IF(E80&lt;"2006-07",0,OFFSET('ET inputs'!$C$11,MATCH('DC Calculations'!E80,'ET inputs'!$C$12:$C$102,0),1)))</f>
        <v/>
      </c>
      <c r="G80" s="233" t="str">
        <f ca="1">IF(LEFT(E80,4)*1&gt;LEFT('General inputs'!$I$15,4)+'General inputs'!$H$28-1,"",F80/(1+'General inputs'!$H$24)^D80)</f>
        <v/>
      </c>
      <c r="H80" s="233" t="str">
        <f ca="1">IF(OR(LEFT(E80,4)*1&lt;LEFT('General inputs'!$I$15,4)*1,LEFT(E80,4)*1&gt;LEFT('General inputs'!$I$15,4)+'General inputs'!$H$28-1),"",F80/(1+'General inputs'!$H$24)^D80)</f>
        <v/>
      </c>
      <c r="I80" s="103"/>
      <c r="J80" s="233" t="str">
        <f ca="1">IF(LEFT(E80,4)*1&gt;LEFT('General inputs'!$I$19,4)*1,"",SUMIF('Commissioned assets'!$F$17:$F$213,$E80,'Commissioned assets'!$P$17:$P$213))</f>
        <v/>
      </c>
      <c r="K80" s="233" t="str">
        <f ca="1">IF(J80="","",J80/(1+'General inputs'!$H$24)^D80)</f>
        <v/>
      </c>
      <c r="L80" s="233">
        <f ca="1">IF(LEFT(E80,4)*1&lt;LEFT('General inputs'!$I$19,4)*1+1,"",SUMIF('Uncommissioned assets'!$F$17:$F$213,$E80,'Uncommissioned assets'!$P$17:$P$213))</f>
        <v>0</v>
      </c>
      <c r="M80" s="233">
        <f ca="1">IF(L80="","",L80/(1+'General inputs'!$H$24)^D80)</f>
        <v>0</v>
      </c>
      <c r="N80" s="103"/>
      <c r="O80" s="122"/>
      <c r="P80" s="233" t="str">
        <f ca="1">IF(OR(LEFT(E80,4)*1&lt;LEFT('General inputs'!$I$15,4)*1,LEFT(E80,4)*1&gt;LEFT('General inputs'!$I$15,4)+'General inputs'!$H$28-1),"",O80/(1+'General inputs'!$H$24)^D80)</f>
        <v/>
      </c>
      <c r="Q80" s="103"/>
      <c r="R80" s="122"/>
      <c r="S80" s="233" t="str">
        <f ca="1">IF(OR(LEFT(E80,4)*1&lt;LEFT('General inputs'!$I$15,4)*1,LEFT(E80,4)*1&gt;LEFT('General inputs'!$I$15,4)+'General inputs'!$H$28-1),"",R80/(1+'General inputs'!$H$24)^D80)</f>
        <v/>
      </c>
      <c r="T80" s="105"/>
      <c r="U80" s="104"/>
    </row>
    <row r="81" spans="2:21" x14ac:dyDescent="0.25">
      <c r="B81" s="83"/>
      <c r="C81" s="104"/>
      <c r="D81" s="228">
        <f ca="1">IF(E81='General inputs'!$I$15,0,IF(E81&lt;'General inputs'!$I$15,D82-1,D80+1))</f>
        <v>38</v>
      </c>
      <c r="E81" s="228" t="str">
        <f ca="1">OFFSET('General inputs'!$L$16,MATCH('DC Calculations'!E80,'General inputs'!$L$17:$L$186,0)+1,0)</f>
        <v>2058-59</v>
      </c>
      <c r="F81" s="233" t="str">
        <f ca="1">IF(LEFT(E81,4)*1&gt;LEFT('General inputs'!$I$15,4)+'General inputs'!$H$28-1,"",IF(E81&lt;"2006-07",0,OFFSET('ET inputs'!$C$11,MATCH('DC Calculations'!E81,'ET inputs'!$C$12:$C$102,0),1)))</f>
        <v/>
      </c>
      <c r="G81" s="233" t="str">
        <f ca="1">IF(LEFT(E81,4)*1&gt;LEFT('General inputs'!$I$15,4)+'General inputs'!$H$28-1,"",F81/(1+'General inputs'!$H$24)^D81)</f>
        <v/>
      </c>
      <c r="H81" s="233" t="str">
        <f ca="1">IF(OR(LEFT(E81,4)*1&lt;LEFT('General inputs'!$I$15,4)*1,LEFT(E81,4)*1&gt;LEFT('General inputs'!$I$15,4)+'General inputs'!$H$28-1),"",F81/(1+'General inputs'!$H$24)^D81)</f>
        <v/>
      </c>
      <c r="I81" s="103"/>
      <c r="J81" s="233" t="str">
        <f ca="1">IF(LEFT(E81,4)*1&gt;LEFT('General inputs'!$I$19,4)*1,"",SUMIF('Commissioned assets'!$F$17:$F$213,$E81,'Commissioned assets'!$P$17:$P$213))</f>
        <v/>
      </c>
      <c r="K81" s="233" t="str">
        <f ca="1">IF(J81="","",J81/(1+'General inputs'!$H$24)^D81)</f>
        <v/>
      </c>
      <c r="L81" s="233">
        <f ca="1">IF(LEFT(E81,4)*1&lt;LEFT('General inputs'!$I$19,4)*1+1,"",SUMIF('Uncommissioned assets'!$F$17:$F$213,$E81,'Uncommissioned assets'!$P$17:$P$213))</f>
        <v>0</v>
      </c>
      <c r="M81" s="233">
        <f ca="1">IF(L81="","",L81/(1+'General inputs'!$H$24)^D81)</f>
        <v>0</v>
      </c>
      <c r="N81" s="103"/>
      <c r="O81" s="122"/>
      <c r="P81" s="233" t="str">
        <f ca="1">IF(OR(LEFT(E81,4)*1&lt;LEFT('General inputs'!$I$15,4)*1,LEFT(E81,4)*1&gt;LEFT('General inputs'!$I$15,4)+'General inputs'!$H$28-1),"",O81/(1+'General inputs'!$H$24)^D81)</f>
        <v/>
      </c>
      <c r="Q81" s="103"/>
      <c r="R81" s="122"/>
      <c r="S81" s="233" t="str">
        <f ca="1">IF(OR(LEFT(E81,4)*1&lt;LEFT('General inputs'!$I$15,4)*1,LEFT(E81,4)*1&gt;LEFT('General inputs'!$I$15,4)+'General inputs'!$H$28-1),"",R81/(1+'General inputs'!$H$24)^D81)</f>
        <v/>
      </c>
      <c r="T81" s="105"/>
      <c r="U81" s="104"/>
    </row>
    <row r="82" spans="2:21" x14ac:dyDescent="0.25">
      <c r="B82" s="83"/>
      <c r="C82" s="104"/>
      <c r="D82" s="228">
        <f ca="1">IF(E82='General inputs'!$I$15,0,IF(E82&lt;'General inputs'!$I$15,D83-1,D81+1))</f>
        <v>39</v>
      </c>
      <c r="E82" s="228" t="str">
        <f ca="1">OFFSET('General inputs'!$L$16,MATCH('DC Calculations'!E81,'General inputs'!$L$17:$L$186,0)+1,0)</f>
        <v>2059-60</v>
      </c>
      <c r="F82" s="233" t="str">
        <f ca="1">IF(LEFT(E82,4)*1&gt;LEFT('General inputs'!$I$15,4)+'General inputs'!$H$28-1,"",IF(E82&lt;"2006-07",0,OFFSET('ET inputs'!$C$11,MATCH('DC Calculations'!E82,'ET inputs'!$C$12:$C$102,0),1)))</f>
        <v/>
      </c>
      <c r="G82" s="233" t="str">
        <f ca="1">IF(LEFT(E82,4)*1&gt;LEFT('General inputs'!$I$15,4)+'General inputs'!$H$28-1,"",F82/(1+'General inputs'!$H$24)^D82)</f>
        <v/>
      </c>
      <c r="H82" s="233" t="str">
        <f ca="1">IF(OR(LEFT(E82,4)*1&lt;LEFT('General inputs'!$I$15,4)*1,LEFT(E82,4)*1&gt;LEFT('General inputs'!$I$15,4)+'General inputs'!$H$28-1),"",F82/(1+'General inputs'!$H$24)^D82)</f>
        <v/>
      </c>
      <c r="I82" s="103"/>
      <c r="J82" s="233" t="str">
        <f ca="1">IF(LEFT(E82,4)*1&gt;LEFT('General inputs'!$I$19,4)*1,"",SUMIF('Commissioned assets'!$F$17:$F$213,$E82,'Commissioned assets'!$P$17:$P$213))</f>
        <v/>
      </c>
      <c r="K82" s="233" t="str">
        <f ca="1">IF(J82="","",J82/(1+'General inputs'!$H$24)^D82)</f>
        <v/>
      </c>
      <c r="L82" s="233">
        <f ca="1">IF(LEFT(E82,4)*1&lt;LEFT('General inputs'!$I$19,4)*1+1,"",SUMIF('Uncommissioned assets'!$F$17:$F$213,$E82,'Uncommissioned assets'!$P$17:$P$213))</f>
        <v>0</v>
      </c>
      <c r="M82" s="233">
        <f ca="1">IF(L82="","",L82/(1+'General inputs'!$H$24)^D82)</f>
        <v>0</v>
      </c>
      <c r="N82" s="103"/>
      <c r="O82" s="122"/>
      <c r="P82" s="233" t="str">
        <f ca="1">IF(OR(LEFT(E82,4)*1&lt;LEFT('General inputs'!$I$15,4)*1,LEFT(E82,4)*1&gt;LEFT('General inputs'!$I$15,4)+'General inputs'!$H$28-1),"",O82/(1+'General inputs'!$H$24)^D82)</f>
        <v/>
      </c>
      <c r="Q82" s="103"/>
      <c r="R82" s="122"/>
      <c r="S82" s="233" t="str">
        <f ca="1">IF(OR(LEFT(E82,4)*1&lt;LEFT('General inputs'!$I$15,4)*1,LEFT(E82,4)*1&gt;LEFT('General inputs'!$I$15,4)+'General inputs'!$H$28-1),"",R82/(1+'General inputs'!$H$24)^D82)</f>
        <v/>
      </c>
      <c r="T82" s="105"/>
      <c r="U82" s="104"/>
    </row>
    <row r="83" spans="2:21" x14ac:dyDescent="0.25">
      <c r="B83" s="83"/>
      <c r="C83" s="104"/>
      <c r="D83" s="228">
        <f ca="1">IF(E83='General inputs'!$I$15,0,IF(E83&lt;'General inputs'!$I$15,D84-1,D82+1))</f>
        <v>40</v>
      </c>
      <c r="E83" s="228" t="str">
        <f ca="1">OFFSET('General inputs'!$L$16,MATCH('DC Calculations'!E82,'General inputs'!$L$17:$L$186,0)+1,0)</f>
        <v>2060-61</v>
      </c>
      <c r="F83" s="233" t="str">
        <f ca="1">IF(LEFT(E83,4)*1&gt;LEFT('General inputs'!$I$15,4)+'General inputs'!$H$28-1,"",IF(E83&lt;"2006-07",0,OFFSET('ET inputs'!$C$11,MATCH('DC Calculations'!E83,'ET inputs'!$C$12:$C$102,0),1)))</f>
        <v/>
      </c>
      <c r="G83" s="233" t="str">
        <f ca="1">IF(LEFT(E83,4)*1&gt;LEFT('General inputs'!$I$15,4)+'General inputs'!$H$28-1,"",F83/(1+'General inputs'!$H$24)^D83)</f>
        <v/>
      </c>
      <c r="H83" s="233" t="str">
        <f ca="1">IF(OR(LEFT(E83,4)*1&lt;LEFT('General inputs'!$I$15,4)*1,LEFT(E83,4)*1&gt;LEFT('General inputs'!$I$15,4)+'General inputs'!$H$28-1),"",F83/(1+'General inputs'!$H$24)^D83)</f>
        <v/>
      </c>
      <c r="I83" s="103"/>
      <c r="J83" s="233" t="str">
        <f ca="1">IF(LEFT(E83,4)*1&gt;LEFT('General inputs'!$I$19,4)*1,"",SUMIF('Commissioned assets'!$F$17:$F$213,$E83,'Commissioned assets'!$P$17:$P$213))</f>
        <v/>
      </c>
      <c r="K83" s="233" t="str">
        <f ca="1">IF(J83="","",J83/(1+'General inputs'!$H$24)^D83)</f>
        <v/>
      </c>
      <c r="L83" s="233">
        <f ca="1">IF(LEFT(E83,4)*1&lt;LEFT('General inputs'!$I$19,4)*1+1,"",SUMIF('Uncommissioned assets'!$F$17:$F$213,$E83,'Uncommissioned assets'!$P$17:$P$213))</f>
        <v>0</v>
      </c>
      <c r="M83" s="233">
        <f ca="1">IF(L83="","",L83/(1+'General inputs'!$H$24)^D83)</f>
        <v>0</v>
      </c>
      <c r="N83" s="103"/>
      <c r="O83" s="122"/>
      <c r="P83" s="233" t="str">
        <f ca="1">IF(OR(LEFT(E83,4)*1&lt;LEFT('General inputs'!$I$15,4)*1,LEFT(E83,4)*1&gt;LEFT('General inputs'!$I$15,4)+'General inputs'!$H$28-1),"",O83/(1+'General inputs'!$H$24)^D83)</f>
        <v/>
      </c>
      <c r="Q83" s="103"/>
      <c r="R83" s="122"/>
      <c r="S83" s="233" t="str">
        <f ca="1">IF(OR(LEFT(E83,4)*1&lt;LEFT('General inputs'!$I$15,4)*1,LEFT(E83,4)*1&gt;LEFT('General inputs'!$I$15,4)+'General inputs'!$H$28-1),"",R83/(1+'General inputs'!$H$24)^D83)</f>
        <v/>
      </c>
      <c r="T83" s="105"/>
      <c r="U83" s="104"/>
    </row>
    <row r="84" spans="2:21" x14ac:dyDescent="0.25">
      <c r="B84" s="83"/>
      <c r="C84" s="104"/>
      <c r="D84" s="228">
        <f ca="1">IF(E84='General inputs'!$I$15,0,IF(E84&lt;'General inputs'!$I$15,D85-1,D83+1))</f>
        <v>41</v>
      </c>
      <c r="E84" s="228" t="str">
        <f ca="1">OFFSET('General inputs'!$L$16,MATCH('DC Calculations'!E83,'General inputs'!$L$17:$L$186,0)+1,0)</f>
        <v>2061-62</v>
      </c>
      <c r="F84" s="233" t="str">
        <f ca="1">IF(LEFT(E84,4)*1&gt;LEFT('General inputs'!$I$15,4)+'General inputs'!$H$28-1,"",IF(E84&lt;"2006-07",0,OFFSET('ET inputs'!$C$11,MATCH('DC Calculations'!E84,'ET inputs'!$C$12:$C$102,0),1)))</f>
        <v/>
      </c>
      <c r="G84" s="233" t="str">
        <f ca="1">IF(LEFT(E84,4)*1&gt;LEFT('General inputs'!$I$15,4)+'General inputs'!$H$28-1,"",F84/(1+'General inputs'!$H$24)^D84)</f>
        <v/>
      </c>
      <c r="H84" s="233" t="str">
        <f ca="1">IF(OR(LEFT(E84,4)*1&lt;LEFT('General inputs'!$I$15,4)*1,LEFT(E84,4)*1&gt;LEFT('General inputs'!$I$15,4)+'General inputs'!$H$28-1),"",F84/(1+'General inputs'!$H$24)^D84)</f>
        <v/>
      </c>
      <c r="I84" s="103"/>
      <c r="J84" s="233" t="str">
        <f ca="1">IF(LEFT(E84,4)*1&gt;LEFT('General inputs'!$I$19,4)*1,"",SUMIF('Commissioned assets'!$F$17:$F$213,$E84,'Commissioned assets'!$P$17:$P$213))</f>
        <v/>
      </c>
      <c r="K84" s="233" t="str">
        <f ca="1">IF(J84="","",J84/(1+'General inputs'!$H$24)^D84)</f>
        <v/>
      </c>
      <c r="L84" s="233">
        <f ca="1">IF(LEFT(E84,4)*1&lt;LEFT('General inputs'!$I$19,4)*1+1,"",SUMIF('Uncommissioned assets'!$F$17:$F$213,$E84,'Uncommissioned assets'!$P$17:$P$213))</f>
        <v>0</v>
      </c>
      <c r="M84" s="233">
        <f ca="1">IF(L84="","",L84/(1+'General inputs'!$H$24)^D84)</f>
        <v>0</v>
      </c>
      <c r="N84" s="103"/>
      <c r="O84" s="122"/>
      <c r="P84" s="233" t="str">
        <f ca="1">IF(OR(LEFT(E84,4)*1&lt;LEFT('General inputs'!$I$15,4)*1,LEFT(E84,4)*1&gt;LEFT('General inputs'!$I$15,4)+'General inputs'!$H$28-1),"",O84/(1+'General inputs'!$H$24)^D84)</f>
        <v/>
      </c>
      <c r="Q84" s="103"/>
      <c r="R84" s="122"/>
      <c r="S84" s="233" t="str">
        <f ca="1">IF(OR(LEFT(E84,4)*1&lt;LEFT('General inputs'!$I$15,4)*1,LEFT(E84,4)*1&gt;LEFT('General inputs'!$I$15,4)+'General inputs'!$H$28-1),"",R84/(1+'General inputs'!$H$24)^D84)</f>
        <v/>
      </c>
      <c r="T84" s="105"/>
      <c r="U84" s="104"/>
    </row>
    <row r="85" spans="2:21" x14ac:dyDescent="0.25">
      <c r="B85" s="83"/>
      <c r="C85" s="104"/>
      <c r="D85" s="228">
        <f ca="1">IF(E85='General inputs'!$I$15,0,IF(E85&lt;'General inputs'!$I$15,D86-1,D84+1))</f>
        <v>42</v>
      </c>
      <c r="E85" s="228" t="str">
        <f ca="1">OFFSET('General inputs'!$L$16,MATCH('DC Calculations'!E84,'General inputs'!$L$17:$L$186,0)+1,0)</f>
        <v>2062-63</v>
      </c>
      <c r="F85" s="233" t="str">
        <f ca="1">IF(LEFT(E85,4)*1&gt;LEFT('General inputs'!$I$15,4)+'General inputs'!$H$28-1,"",IF(E85&lt;"2006-07",0,OFFSET('ET inputs'!$C$11,MATCH('DC Calculations'!E85,'ET inputs'!$C$12:$C$102,0),1)))</f>
        <v/>
      </c>
      <c r="G85" s="233" t="str">
        <f ca="1">IF(LEFT(E85,4)*1&gt;LEFT('General inputs'!$I$15,4)+'General inputs'!$H$28-1,"",F85/(1+'General inputs'!$H$24)^D85)</f>
        <v/>
      </c>
      <c r="H85" s="233" t="str">
        <f ca="1">IF(OR(LEFT(E85,4)*1&lt;LEFT('General inputs'!$I$15,4)*1,LEFT(E85,4)*1&gt;LEFT('General inputs'!$I$15,4)+'General inputs'!$H$28-1),"",F85/(1+'General inputs'!$H$24)^D85)</f>
        <v/>
      </c>
      <c r="I85" s="103"/>
      <c r="J85" s="233" t="str">
        <f ca="1">IF(LEFT(E85,4)*1&gt;LEFT('General inputs'!$I$19,4)*1,"",SUMIF('Commissioned assets'!$F$17:$F$213,$E85,'Commissioned assets'!$P$17:$P$213))</f>
        <v/>
      </c>
      <c r="K85" s="233" t="str">
        <f ca="1">IF(J85="","",J85/(1+'General inputs'!$H$24)^D85)</f>
        <v/>
      </c>
      <c r="L85" s="233">
        <f ca="1">IF(LEFT(E85,4)*1&lt;LEFT('General inputs'!$I$19,4)*1+1,"",SUMIF('Uncommissioned assets'!$F$17:$F$213,$E85,'Uncommissioned assets'!$P$17:$P$213))</f>
        <v>0</v>
      </c>
      <c r="M85" s="233">
        <f ca="1">IF(L85="","",L85/(1+'General inputs'!$H$24)^D85)</f>
        <v>0</v>
      </c>
      <c r="N85" s="103"/>
      <c r="O85" s="122"/>
      <c r="P85" s="233" t="str">
        <f ca="1">IF(OR(LEFT(E85,4)*1&lt;LEFT('General inputs'!$I$15,4)*1,LEFT(E85,4)*1&gt;LEFT('General inputs'!$I$15,4)+'General inputs'!$H$28-1),"",O85/(1+'General inputs'!$H$24)^D85)</f>
        <v/>
      </c>
      <c r="Q85" s="103"/>
      <c r="R85" s="122"/>
      <c r="S85" s="233" t="str">
        <f ca="1">IF(OR(LEFT(E85,4)*1&lt;LEFT('General inputs'!$I$15,4)*1,LEFT(E85,4)*1&gt;LEFT('General inputs'!$I$15,4)+'General inputs'!$H$28-1),"",R85/(1+'General inputs'!$H$24)^D85)</f>
        <v/>
      </c>
      <c r="T85" s="105"/>
      <c r="U85" s="104"/>
    </row>
    <row r="86" spans="2:21" x14ac:dyDescent="0.25">
      <c r="B86" s="83"/>
      <c r="C86" s="104"/>
      <c r="D86" s="228">
        <f ca="1">IF(E86='General inputs'!$I$15,0,IF(E86&lt;'General inputs'!$I$15,D87-1,D85+1))</f>
        <v>43</v>
      </c>
      <c r="E86" s="228" t="str">
        <f ca="1">OFFSET('General inputs'!$L$16,MATCH('DC Calculations'!E85,'General inputs'!$L$17:$L$186,0)+1,0)</f>
        <v>2063-64</v>
      </c>
      <c r="F86" s="233" t="str">
        <f ca="1">IF(LEFT(E86,4)*1&gt;LEFT('General inputs'!$I$15,4)+'General inputs'!$H$28-1,"",IF(E86&lt;"2006-07",0,OFFSET('ET inputs'!$C$11,MATCH('DC Calculations'!E86,'ET inputs'!$C$12:$C$102,0),1)))</f>
        <v/>
      </c>
      <c r="G86" s="233" t="str">
        <f ca="1">IF(LEFT(E86,4)*1&gt;LEFT('General inputs'!$I$15,4)+'General inputs'!$H$28-1,"",F86/(1+'General inputs'!$H$24)^D86)</f>
        <v/>
      </c>
      <c r="H86" s="233" t="str">
        <f ca="1">IF(OR(LEFT(E86,4)*1&lt;LEFT('General inputs'!$I$15,4)*1,LEFT(E86,4)*1&gt;LEFT('General inputs'!$I$15,4)+'General inputs'!$H$28-1),"",F86/(1+'General inputs'!$H$24)^D86)</f>
        <v/>
      </c>
      <c r="I86" s="103"/>
      <c r="J86" s="233" t="str">
        <f ca="1">IF(LEFT(E86,4)*1&gt;LEFT('General inputs'!$I$19,4)*1,"",SUMIF('Commissioned assets'!$F$17:$F$213,$E86,'Commissioned assets'!$P$17:$P$213))</f>
        <v/>
      </c>
      <c r="K86" s="233" t="str">
        <f ca="1">IF(J86="","",J86/(1+'General inputs'!$H$24)^D86)</f>
        <v/>
      </c>
      <c r="L86" s="233">
        <f ca="1">IF(LEFT(E86,4)*1&lt;LEFT('General inputs'!$I$19,4)*1+1,"",SUMIF('Uncommissioned assets'!$F$17:$F$213,$E86,'Uncommissioned assets'!$P$17:$P$213))</f>
        <v>0</v>
      </c>
      <c r="M86" s="233">
        <f ca="1">IF(L86="","",L86/(1+'General inputs'!$H$24)^D86)</f>
        <v>0</v>
      </c>
      <c r="N86" s="103"/>
      <c r="O86" s="122"/>
      <c r="P86" s="233" t="str">
        <f ca="1">IF(OR(LEFT(E86,4)*1&lt;LEFT('General inputs'!$I$15,4)*1,LEFT(E86,4)*1&gt;LEFT('General inputs'!$I$15,4)+'General inputs'!$H$28-1),"",O86/(1+'General inputs'!$H$24)^D86)</f>
        <v/>
      </c>
      <c r="Q86" s="103"/>
      <c r="R86" s="122"/>
      <c r="S86" s="233" t="str">
        <f ca="1">IF(OR(LEFT(E86,4)*1&lt;LEFT('General inputs'!$I$15,4)*1,LEFT(E86,4)*1&gt;LEFT('General inputs'!$I$15,4)+'General inputs'!$H$28-1),"",R86/(1+'General inputs'!$H$24)^D86)</f>
        <v/>
      </c>
      <c r="T86" s="105"/>
      <c r="U86" s="104"/>
    </row>
    <row r="87" spans="2:21" x14ac:dyDescent="0.25">
      <c r="B87" s="83"/>
      <c r="C87" s="104"/>
      <c r="D87" s="228">
        <f ca="1">IF(E87='General inputs'!$I$15,0,IF(E87&lt;'General inputs'!$I$15,D88-1,D86+1))</f>
        <v>44</v>
      </c>
      <c r="E87" s="228" t="str">
        <f ca="1">OFFSET('General inputs'!$L$16,MATCH('DC Calculations'!E86,'General inputs'!$L$17:$L$186,0)+1,0)</f>
        <v>2064-65</v>
      </c>
      <c r="F87" s="233" t="str">
        <f ca="1">IF(LEFT(E87,4)*1&gt;LEFT('General inputs'!$I$15,4)+'General inputs'!$H$28-1,"",IF(E87&lt;"2006-07",0,OFFSET('ET inputs'!$C$11,MATCH('DC Calculations'!E87,'ET inputs'!$C$12:$C$102,0),1)))</f>
        <v/>
      </c>
      <c r="G87" s="233" t="str">
        <f ca="1">IF(LEFT(E87,4)*1&gt;LEFT('General inputs'!$I$15,4)+'General inputs'!$H$28-1,"",F87/(1+'General inputs'!$H$24)^D87)</f>
        <v/>
      </c>
      <c r="H87" s="233" t="str">
        <f ca="1">IF(OR(LEFT(E87,4)*1&lt;LEFT('General inputs'!$I$15,4)*1,LEFT(E87,4)*1&gt;LEFT('General inputs'!$I$15,4)+'General inputs'!$H$28-1),"",F87/(1+'General inputs'!$H$24)^D87)</f>
        <v/>
      </c>
      <c r="I87" s="103"/>
      <c r="J87" s="233" t="str">
        <f ca="1">IF(LEFT(E87,4)*1&gt;LEFT('General inputs'!$I$19,4)*1,"",SUMIF('Commissioned assets'!$F$17:$F$213,$E87,'Commissioned assets'!$P$17:$P$213))</f>
        <v/>
      </c>
      <c r="K87" s="233" t="str">
        <f ca="1">IF(J87="","",J87/(1+'General inputs'!$H$24)^D87)</f>
        <v/>
      </c>
      <c r="L87" s="233">
        <f ca="1">IF(LEFT(E87,4)*1&lt;LEFT('General inputs'!$I$19,4)*1+1,"",SUMIF('Uncommissioned assets'!$F$17:$F$213,$E87,'Uncommissioned assets'!$P$17:$P$213))</f>
        <v>0</v>
      </c>
      <c r="M87" s="233">
        <f ca="1">IF(L87="","",L87/(1+'General inputs'!$H$24)^D87)</f>
        <v>0</v>
      </c>
      <c r="N87" s="103"/>
      <c r="O87" s="122"/>
      <c r="P87" s="233" t="str">
        <f ca="1">IF(OR(LEFT(E87,4)*1&lt;LEFT('General inputs'!$I$15,4)*1,LEFT(E87,4)*1&gt;LEFT('General inputs'!$I$15,4)+'General inputs'!$H$28-1),"",O87/(1+'General inputs'!$H$24)^D87)</f>
        <v/>
      </c>
      <c r="Q87" s="103"/>
      <c r="R87" s="122"/>
      <c r="S87" s="233" t="str">
        <f ca="1">IF(OR(LEFT(E87,4)*1&lt;LEFT('General inputs'!$I$15,4)*1,LEFT(E87,4)*1&gt;LEFT('General inputs'!$I$15,4)+'General inputs'!$H$28-1),"",R87/(1+'General inputs'!$H$24)^D87)</f>
        <v/>
      </c>
      <c r="T87" s="105"/>
      <c r="U87" s="104"/>
    </row>
    <row r="88" spans="2:21" x14ac:dyDescent="0.25">
      <c r="B88" s="83"/>
      <c r="C88" s="104"/>
      <c r="D88" s="228">
        <f ca="1">IF(E88='General inputs'!$I$15,0,IF(E88&lt;'General inputs'!$I$15,D89-1,D87+1))</f>
        <v>45</v>
      </c>
      <c r="E88" s="228" t="str">
        <f ca="1">OFFSET('General inputs'!$L$16,MATCH('DC Calculations'!E87,'General inputs'!$L$17:$L$186,0)+1,0)</f>
        <v>2065-66</v>
      </c>
      <c r="F88" s="233" t="str">
        <f ca="1">IF(LEFT(E88,4)*1&gt;LEFT('General inputs'!$I$15,4)+'General inputs'!$H$28-1,"",IF(E88&lt;"2006-07",0,OFFSET('ET inputs'!$C$11,MATCH('DC Calculations'!E88,'ET inputs'!$C$12:$C$102,0),1)))</f>
        <v/>
      </c>
      <c r="G88" s="233" t="str">
        <f ca="1">IF(LEFT(E88,4)*1&gt;LEFT('General inputs'!$I$15,4)+'General inputs'!$H$28-1,"",F88/(1+'General inputs'!$H$24)^D88)</f>
        <v/>
      </c>
      <c r="H88" s="233" t="str">
        <f ca="1">IF(OR(LEFT(E88,4)*1&lt;LEFT('General inputs'!$I$15,4)*1,LEFT(E88,4)*1&gt;LEFT('General inputs'!$I$15,4)+'General inputs'!$H$28-1),"",F88/(1+'General inputs'!$H$24)^D88)</f>
        <v/>
      </c>
      <c r="I88" s="103"/>
      <c r="J88" s="233" t="str">
        <f ca="1">IF(LEFT(E88,4)*1&gt;LEFT('General inputs'!$I$19,4)*1,"",SUMIF('Commissioned assets'!$F$17:$F$213,$E88,'Commissioned assets'!$P$17:$P$213))</f>
        <v/>
      </c>
      <c r="K88" s="233" t="str">
        <f ca="1">IF(J88="","",J88/(1+'General inputs'!$H$24)^D88)</f>
        <v/>
      </c>
      <c r="L88" s="233">
        <f ca="1">IF(LEFT(E88,4)*1&lt;LEFT('General inputs'!$I$19,4)*1+1,"",SUMIF('Uncommissioned assets'!$F$17:$F$213,$E88,'Uncommissioned assets'!$P$17:$P$213))</f>
        <v>0</v>
      </c>
      <c r="M88" s="233">
        <f ca="1">IF(L88="","",L88/(1+'General inputs'!$H$24)^D88)</f>
        <v>0</v>
      </c>
      <c r="N88" s="103"/>
      <c r="O88" s="122"/>
      <c r="P88" s="233" t="str">
        <f ca="1">IF(OR(LEFT(E88,4)*1&lt;LEFT('General inputs'!$I$15,4)*1,LEFT(E88,4)*1&gt;LEFT('General inputs'!$I$15,4)+'General inputs'!$H$28-1),"",O88/(1+'General inputs'!$H$24)^D88)</f>
        <v/>
      </c>
      <c r="Q88" s="103"/>
      <c r="R88" s="122"/>
      <c r="S88" s="233" t="str">
        <f ca="1">IF(OR(LEFT(E88,4)*1&lt;LEFT('General inputs'!$I$15,4)*1,LEFT(E88,4)*1&gt;LEFT('General inputs'!$I$15,4)+'General inputs'!$H$28-1),"",R88/(1+'General inputs'!$H$24)^D88)</f>
        <v/>
      </c>
      <c r="T88" s="105"/>
      <c r="U88" s="104"/>
    </row>
    <row r="89" spans="2:21" x14ac:dyDescent="0.25">
      <c r="B89" s="83"/>
      <c r="C89" s="104"/>
      <c r="D89" s="228">
        <f ca="1">IF(E89='General inputs'!$I$15,0,IF(E89&lt;'General inputs'!$I$15,D90-1,D88+1))</f>
        <v>46</v>
      </c>
      <c r="E89" s="228" t="str">
        <f ca="1">OFFSET('General inputs'!$L$16,MATCH('DC Calculations'!E88,'General inputs'!$L$17:$L$186,0)+1,0)</f>
        <v>2066-67</v>
      </c>
      <c r="F89" s="233" t="str">
        <f ca="1">IF(LEFT(E89,4)*1&gt;LEFT('General inputs'!$I$15,4)+'General inputs'!$H$28-1,"",IF(E89&lt;"2006-07",0,OFFSET('ET inputs'!$C$11,MATCH('DC Calculations'!E89,'ET inputs'!$C$12:$C$102,0),1)))</f>
        <v/>
      </c>
      <c r="G89" s="233" t="str">
        <f ca="1">IF(LEFT(E89,4)*1&gt;LEFT('General inputs'!$I$15,4)+'General inputs'!$H$28-1,"",F89/(1+'General inputs'!$H$24)^D89)</f>
        <v/>
      </c>
      <c r="H89" s="233" t="str">
        <f ca="1">IF(OR(LEFT(E89,4)*1&lt;LEFT('General inputs'!$I$15,4)*1,LEFT(E89,4)*1&gt;LEFT('General inputs'!$I$15,4)+'General inputs'!$H$28-1),"",F89/(1+'General inputs'!$H$24)^D89)</f>
        <v/>
      </c>
      <c r="I89" s="103"/>
      <c r="J89" s="233" t="str">
        <f ca="1">IF(LEFT(E89,4)*1&gt;LEFT('General inputs'!$I$19,4)*1,"",SUMIF('Commissioned assets'!$F$17:$F$213,$E89,'Commissioned assets'!$P$17:$P$213))</f>
        <v/>
      </c>
      <c r="K89" s="233" t="str">
        <f ca="1">IF(J89="","",J89/(1+'General inputs'!$H$24)^D89)</f>
        <v/>
      </c>
      <c r="L89" s="233">
        <f ca="1">IF(LEFT(E89,4)*1&lt;LEFT('General inputs'!$I$19,4)*1+1,"",SUMIF('Uncommissioned assets'!$F$17:$F$213,$E89,'Uncommissioned assets'!$P$17:$P$213))</f>
        <v>0</v>
      </c>
      <c r="M89" s="233">
        <f ca="1">IF(L89="","",L89/(1+'General inputs'!$H$24)^D89)</f>
        <v>0</v>
      </c>
      <c r="N89" s="103"/>
      <c r="O89" s="122"/>
      <c r="P89" s="233" t="str">
        <f ca="1">IF(OR(LEFT(E89,4)*1&lt;LEFT('General inputs'!$I$15,4)*1,LEFT(E89,4)*1&gt;LEFT('General inputs'!$I$15,4)+'General inputs'!$H$28-1),"",O89/(1+'General inputs'!$H$24)^D89)</f>
        <v/>
      </c>
      <c r="Q89" s="103"/>
      <c r="R89" s="122"/>
      <c r="S89" s="233" t="str">
        <f ca="1">IF(OR(LEFT(E89,4)*1&lt;LEFT('General inputs'!$I$15,4)*1,LEFT(E89,4)*1&gt;LEFT('General inputs'!$I$15,4)+'General inputs'!$H$28-1),"",R89/(1+'General inputs'!$H$24)^D89)</f>
        <v/>
      </c>
      <c r="T89" s="105"/>
      <c r="U89" s="104"/>
    </row>
    <row r="90" spans="2:21" x14ac:dyDescent="0.25">
      <c r="B90" s="83"/>
      <c r="C90" s="104"/>
      <c r="D90" s="228">
        <f ca="1">IF(E90='General inputs'!$I$15,0,IF(E90&lt;'General inputs'!$I$15,D91-1,D89+1))</f>
        <v>47</v>
      </c>
      <c r="E90" s="228" t="str">
        <f ca="1">OFFSET('General inputs'!$L$16,MATCH('DC Calculations'!E89,'General inputs'!$L$17:$L$186,0)+1,0)</f>
        <v>2067-68</v>
      </c>
      <c r="F90" s="233" t="str">
        <f ca="1">IF(LEFT(E90,4)*1&gt;LEFT('General inputs'!$I$15,4)+'General inputs'!$H$28-1,"",IF(E90&lt;"2006-07",0,OFFSET('ET inputs'!$C$11,MATCH('DC Calculations'!E90,'ET inputs'!$C$12:$C$102,0),1)))</f>
        <v/>
      </c>
      <c r="G90" s="233" t="str">
        <f ca="1">IF(LEFT(E90,4)*1&gt;LEFT('General inputs'!$I$15,4)+'General inputs'!$H$28-1,"",F90/(1+'General inputs'!$H$24)^D90)</f>
        <v/>
      </c>
      <c r="H90" s="233" t="str">
        <f ca="1">IF(OR(LEFT(E90,4)*1&lt;LEFT('General inputs'!$I$15,4)*1,LEFT(E90,4)*1&gt;LEFT('General inputs'!$I$15,4)+'General inputs'!$H$28-1),"",F90/(1+'General inputs'!$H$24)^D90)</f>
        <v/>
      </c>
      <c r="I90" s="103"/>
      <c r="J90" s="233" t="str">
        <f ca="1">IF(LEFT(E90,4)*1&gt;LEFT('General inputs'!$I$19,4)*1,"",SUMIF('Commissioned assets'!$F$17:$F$213,$E90,'Commissioned assets'!$P$17:$P$213))</f>
        <v/>
      </c>
      <c r="K90" s="233" t="str">
        <f ca="1">IF(J90="","",J90/(1+'General inputs'!$H$24)^D90)</f>
        <v/>
      </c>
      <c r="L90" s="233">
        <f ca="1">IF(LEFT(E90,4)*1&lt;LEFT('General inputs'!$I$19,4)*1+1,"",SUMIF('Uncommissioned assets'!$F$17:$F$213,$E90,'Uncommissioned assets'!$P$17:$P$213))</f>
        <v>0</v>
      </c>
      <c r="M90" s="233">
        <f ca="1">IF(L90="","",L90/(1+'General inputs'!$H$24)^D90)</f>
        <v>0</v>
      </c>
      <c r="N90" s="103"/>
      <c r="O90" s="122"/>
      <c r="P90" s="233" t="str">
        <f ca="1">IF(OR(LEFT(E90,4)*1&lt;LEFT('General inputs'!$I$15,4)*1,LEFT(E90,4)*1&gt;LEFT('General inputs'!$I$15,4)+'General inputs'!$H$28-1),"",O90/(1+'General inputs'!$H$24)^D90)</f>
        <v/>
      </c>
      <c r="Q90" s="103"/>
      <c r="R90" s="122"/>
      <c r="S90" s="233" t="str">
        <f ca="1">IF(OR(LEFT(E90,4)*1&lt;LEFT('General inputs'!$I$15,4)*1,LEFT(E90,4)*1&gt;LEFT('General inputs'!$I$15,4)+'General inputs'!$H$28-1),"",R90/(1+'General inputs'!$H$24)^D90)</f>
        <v/>
      </c>
      <c r="T90" s="105"/>
      <c r="U90" s="104"/>
    </row>
    <row r="91" spans="2:21" x14ac:dyDescent="0.25">
      <c r="B91" s="83"/>
      <c r="C91" s="104"/>
      <c r="D91" s="228">
        <f ca="1">IF(E91='General inputs'!$I$15,0,IF(E91&lt;'General inputs'!$I$15,D92-1,D90+1))</f>
        <v>48</v>
      </c>
      <c r="E91" s="228" t="str">
        <f ca="1">OFFSET('General inputs'!$L$16,MATCH('DC Calculations'!E90,'General inputs'!$L$17:$L$186,0)+1,0)</f>
        <v>2068-69</v>
      </c>
      <c r="F91" s="233" t="str">
        <f ca="1">IF(LEFT(E91,4)*1&gt;LEFT('General inputs'!$I$15,4)+'General inputs'!$H$28-1,"",IF(E91&lt;"2006-07",0,OFFSET('ET inputs'!$C$11,MATCH('DC Calculations'!E91,'ET inputs'!$C$12:$C$102,0),1)))</f>
        <v/>
      </c>
      <c r="G91" s="233" t="str">
        <f ca="1">IF(LEFT(E91,4)*1&gt;LEFT('General inputs'!$I$15,4)+'General inputs'!$H$28-1,"",F91/(1+'General inputs'!$H$24)^D91)</f>
        <v/>
      </c>
      <c r="H91" s="233" t="str">
        <f ca="1">IF(OR(LEFT(E91,4)*1&lt;LEFT('General inputs'!$I$15,4)*1,LEFT(E91,4)*1&gt;LEFT('General inputs'!$I$15,4)+'General inputs'!$H$28-1),"",F91/(1+'General inputs'!$H$24)^D91)</f>
        <v/>
      </c>
      <c r="I91" s="103"/>
      <c r="J91" s="233" t="str">
        <f ca="1">IF(LEFT(E91,4)*1&gt;LEFT('General inputs'!$I$19,4)*1,"",SUMIF('Commissioned assets'!$F$17:$F$213,$E91,'Commissioned assets'!$P$17:$P$213))</f>
        <v/>
      </c>
      <c r="K91" s="233" t="str">
        <f ca="1">IF(J91="","",J91/(1+'General inputs'!$H$24)^D91)</f>
        <v/>
      </c>
      <c r="L91" s="233">
        <f ca="1">IF(LEFT(E91,4)*1&lt;LEFT('General inputs'!$I$19,4)*1+1,"",SUMIF('Uncommissioned assets'!$F$17:$F$213,$E91,'Uncommissioned assets'!$P$17:$P$213))</f>
        <v>0</v>
      </c>
      <c r="M91" s="233">
        <f ca="1">IF(L91="","",L91/(1+'General inputs'!$H$24)^D91)</f>
        <v>0</v>
      </c>
      <c r="N91" s="103"/>
      <c r="O91" s="122"/>
      <c r="P91" s="233" t="str">
        <f ca="1">IF(OR(LEFT(E91,4)*1&lt;LEFT('General inputs'!$I$15,4)*1,LEFT(E91,4)*1&gt;LEFT('General inputs'!$I$15,4)+'General inputs'!$H$28-1),"",O91/(1+'General inputs'!$H$24)^D91)</f>
        <v/>
      </c>
      <c r="Q91" s="103"/>
      <c r="R91" s="122"/>
      <c r="S91" s="233" t="str">
        <f ca="1">IF(OR(LEFT(E91,4)*1&lt;LEFT('General inputs'!$I$15,4)*1,LEFT(E91,4)*1&gt;LEFT('General inputs'!$I$15,4)+'General inputs'!$H$28-1),"",R91/(1+'General inputs'!$H$24)^D91)</f>
        <v/>
      </c>
      <c r="T91" s="105"/>
      <c r="U91" s="104"/>
    </row>
    <row r="92" spans="2:21" x14ac:dyDescent="0.25">
      <c r="B92" s="83"/>
      <c r="C92" s="104"/>
      <c r="D92" s="228">
        <f ca="1">IF(E92='General inputs'!$I$15,0,IF(E92&lt;'General inputs'!$I$15,D93-1,D91+1))</f>
        <v>49</v>
      </c>
      <c r="E92" s="228" t="str">
        <f ca="1">OFFSET('General inputs'!$L$16,MATCH('DC Calculations'!E91,'General inputs'!$L$17:$L$186,0)+1,0)</f>
        <v>2069-70</v>
      </c>
      <c r="F92" s="233" t="str">
        <f ca="1">IF(LEFT(E92,4)*1&gt;LEFT('General inputs'!$I$15,4)+'General inputs'!$H$28-1,"",IF(E92&lt;"2006-07",0,OFFSET('ET inputs'!$C$11,MATCH('DC Calculations'!E92,'ET inputs'!$C$12:$C$102,0),1)))</f>
        <v/>
      </c>
      <c r="G92" s="233" t="str">
        <f ca="1">IF(LEFT(E92,4)*1&gt;LEFT('General inputs'!$I$15,4)+'General inputs'!$H$28-1,"",F92/(1+'General inputs'!$H$24)^D92)</f>
        <v/>
      </c>
      <c r="H92" s="233" t="str">
        <f ca="1">IF(OR(LEFT(E92,4)*1&lt;LEFT('General inputs'!$I$15,4)*1,LEFT(E92,4)*1&gt;LEFT('General inputs'!$I$15,4)+'General inputs'!$H$28-1),"",F92/(1+'General inputs'!$H$24)^D92)</f>
        <v/>
      </c>
      <c r="I92" s="103"/>
      <c r="J92" s="233" t="str">
        <f ca="1">IF(LEFT(E92,4)*1&gt;LEFT('General inputs'!$I$19,4)*1,"",SUMIF('Commissioned assets'!$F$17:$F$213,$E92,'Commissioned assets'!$P$17:$P$213))</f>
        <v/>
      </c>
      <c r="K92" s="233" t="str">
        <f ca="1">IF(J92="","",J92/(1+'General inputs'!$H$24)^D92)</f>
        <v/>
      </c>
      <c r="L92" s="233">
        <f ca="1">IF(LEFT(E92,4)*1&lt;LEFT('General inputs'!$I$19,4)*1+1,"",SUMIF('Uncommissioned assets'!$F$17:$F$213,$E92,'Uncommissioned assets'!$P$17:$P$213))</f>
        <v>0</v>
      </c>
      <c r="M92" s="233">
        <f ca="1">IF(L92="","",L92/(1+'General inputs'!$H$24)^D92)</f>
        <v>0</v>
      </c>
      <c r="N92" s="103"/>
      <c r="O92" s="122"/>
      <c r="P92" s="233" t="str">
        <f ca="1">IF(OR(LEFT(E92,4)*1&lt;LEFT('General inputs'!$I$15,4)*1,LEFT(E92,4)*1&gt;LEFT('General inputs'!$I$15,4)+'General inputs'!$H$28-1),"",O92/(1+'General inputs'!$H$24)^D92)</f>
        <v/>
      </c>
      <c r="Q92" s="103"/>
      <c r="R92" s="122"/>
      <c r="S92" s="233" t="str">
        <f ca="1">IF(OR(LEFT(E92,4)*1&lt;LEFT('General inputs'!$I$15,4)*1,LEFT(E92,4)*1&gt;LEFT('General inputs'!$I$15,4)+'General inputs'!$H$28-1),"",R92/(1+'General inputs'!$H$24)^D92)</f>
        <v/>
      </c>
      <c r="T92" s="105"/>
      <c r="U92" s="104"/>
    </row>
    <row r="93" spans="2:21" x14ac:dyDescent="0.25">
      <c r="B93" s="83"/>
      <c r="C93" s="104"/>
      <c r="D93" s="228">
        <f ca="1">IF(E93='General inputs'!$I$15,0,IF(E93&lt;'General inputs'!$I$15,D94-1,D92+1))</f>
        <v>50</v>
      </c>
      <c r="E93" s="228" t="str">
        <f ca="1">OFFSET('General inputs'!$L$16,MATCH('DC Calculations'!E92,'General inputs'!$L$17:$L$186,0)+1,0)</f>
        <v>2070-71</v>
      </c>
      <c r="F93" s="233" t="str">
        <f ca="1">IF(LEFT(E93,4)*1&gt;LEFT('General inputs'!$I$15,4)+'General inputs'!$H$28-1,"",IF(E93&lt;"2006-07",0,OFFSET('ET inputs'!$C$11,MATCH('DC Calculations'!E93,'ET inputs'!$C$12:$C$102,0),1)))</f>
        <v/>
      </c>
      <c r="G93" s="233" t="str">
        <f ca="1">IF(LEFT(E93,4)*1&gt;LEFT('General inputs'!$I$15,4)+'General inputs'!$H$28-1,"",F93/(1+'General inputs'!$H$24)^D93)</f>
        <v/>
      </c>
      <c r="H93" s="233" t="str">
        <f ca="1">IF(OR(LEFT(E93,4)*1&lt;LEFT('General inputs'!$I$15,4)*1,LEFT(E93,4)*1&gt;LEFT('General inputs'!$I$15,4)+'General inputs'!$H$28-1),"",F93/(1+'General inputs'!$H$24)^D93)</f>
        <v/>
      </c>
      <c r="I93" s="103"/>
      <c r="J93" s="233" t="str">
        <f ca="1">IF(LEFT(E93,4)*1&gt;LEFT('General inputs'!$I$19,4)*1,"",SUMIF('Commissioned assets'!$F$17:$F$213,$E93,'Commissioned assets'!$P$17:$P$213))</f>
        <v/>
      </c>
      <c r="K93" s="233" t="str">
        <f ca="1">IF(J93="","",J93/(1+'General inputs'!$H$24)^D93)</f>
        <v/>
      </c>
      <c r="L93" s="233">
        <f ca="1">IF(LEFT(E93,4)*1&lt;LEFT('General inputs'!$I$19,4)*1+1,"",SUMIF('Uncommissioned assets'!$F$17:$F$213,$E93,'Uncommissioned assets'!$P$17:$P$213))</f>
        <v>0</v>
      </c>
      <c r="M93" s="233">
        <f ca="1">IF(L93="","",L93/(1+'General inputs'!$H$24)^D93)</f>
        <v>0</v>
      </c>
      <c r="N93" s="103"/>
      <c r="O93" s="122"/>
      <c r="P93" s="233" t="str">
        <f ca="1">IF(OR(LEFT(E93,4)*1&lt;LEFT('General inputs'!$I$15,4)*1,LEFT(E93,4)*1&gt;LEFT('General inputs'!$I$15,4)+'General inputs'!$H$28-1),"",O93/(1+'General inputs'!$H$24)^D93)</f>
        <v/>
      </c>
      <c r="Q93" s="103"/>
      <c r="R93" s="122"/>
      <c r="S93" s="233" t="str">
        <f ca="1">IF(OR(LEFT(E93,4)*1&lt;LEFT('General inputs'!$I$15,4)*1,LEFT(E93,4)*1&gt;LEFT('General inputs'!$I$15,4)+'General inputs'!$H$28-1),"",R93/(1+'General inputs'!$H$24)^D93)</f>
        <v/>
      </c>
      <c r="T93" s="105"/>
      <c r="U93" s="104"/>
    </row>
    <row r="94" spans="2:21" x14ac:dyDescent="0.25">
      <c r="B94" s="83"/>
      <c r="C94" s="104"/>
      <c r="D94" s="228">
        <f ca="1">IF(E94='General inputs'!$I$15,0,IF(E94&lt;'General inputs'!$I$15,D95-1,D93+1))</f>
        <v>51</v>
      </c>
      <c r="E94" s="228" t="str">
        <f ca="1">OFFSET('General inputs'!$L$16,MATCH('DC Calculations'!E93,'General inputs'!$L$17:$L$186,0)+1,0)</f>
        <v>2071-72</v>
      </c>
      <c r="F94" s="233" t="str">
        <f ca="1">IF(LEFT(E94,4)*1&gt;LEFT('General inputs'!$I$15,4)+'General inputs'!$H$28-1,"",IF(E94&lt;"2006-07",0,OFFSET('ET inputs'!$C$11,MATCH('DC Calculations'!E94,'ET inputs'!$C$12:$C$102,0),1)))</f>
        <v/>
      </c>
      <c r="G94" s="233" t="str">
        <f ca="1">IF(LEFT(E94,4)*1&gt;LEFT('General inputs'!$I$15,4)+'General inputs'!$H$28-1,"",F94/(1+'General inputs'!$H$24)^D94)</f>
        <v/>
      </c>
      <c r="H94" s="233" t="str">
        <f ca="1">IF(OR(LEFT(E94,4)*1&lt;LEFT('General inputs'!$I$15,4)*1,LEFT(E94,4)*1&gt;LEFT('General inputs'!$I$15,4)+'General inputs'!$H$28-1),"",F94/(1+'General inputs'!$H$24)^D94)</f>
        <v/>
      </c>
      <c r="I94" s="103"/>
      <c r="J94" s="233" t="str">
        <f ca="1">IF(LEFT(E94,4)*1&gt;LEFT('General inputs'!$I$19,4)*1,"",SUMIF('Commissioned assets'!$F$17:$F$213,$E94,'Commissioned assets'!$P$17:$P$213))</f>
        <v/>
      </c>
      <c r="K94" s="233" t="str">
        <f ca="1">IF(J94="","",J94/(1+'General inputs'!$H$24)^D94)</f>
        <v/>
      </c>
      <c r="L94" s="233">
        <f ca="1">IF(LEFT(E94,4)*1&lt;LEFT('General inputs'!$I$19,4)*1+1,"",SUMIF('Uncommissioned assets'!$F$17:$F$213,$E94,'Uncommissioned assets'!$P$17:$P$213))</f>
        <v>0</v>
      </c>
      <c r="M94" s="233">
        <f ca="1">IF(L94="","",L94/(1+'General inputs'!$H$24)^D94)</f>
        <v>0</v>
      </c>
      <c r="N94" s="103"/>
      <c r="O94" s="122"/>
      <c r="P94" s="233" t="str">
        <f ca="1">IF(OR(LEFT(E94,4)*1&lt;LEFT('General inputs'!$I$15,4)*1,LEFT(E94,4)*1&gt;LEFT('General inputs'!$I$15,4)+'General inputs'!$H$28-1),"",O94/(1+'General inputs'!$H$24)^D94)</f>
        <v/>
      </c>
      <c r="Q94" s="103"/>
      <c r="R94" s="122"/>
      <c r="S94" s="233" t="str">
        <f ca="1">IF(OR(LEFT(E94,4)*1&lt;LEFT('General inputs'!$I$15,4)*1,LEFT(E94,4)*1&gt;LEFT('General inputs'!$I$15,4)+'General inputs'!$H$28-1),"",R94/(1+'General inputs'!$H$24)^D94)</f>
        <v/>
      </c>
      <c r="T94" s="105"/>
      <c r="U94" s="104"/>
    </row>
    <row r="95" spans="2:21" x14ac:dyDescent="0.25">
      <c r="B95" s="83"/>
      <c r="C95" s="104"/>
      <c r="D95" s="228">
        <f ca="1">IF(E95='General inputs'!$I$15,0,IF(E95&lt;'General inputs'!$I$15,D96-1,D94+1))</f>
        <v>52</v>
      </c>
      <c r="E95" s="228" t="str">
        <f ca="1">OFFSET('General inputs'!$L$16,MATCH('DC Calculations'!E94,'General inputs'!$L$17:$L$186,0)+1,0)</f>
        <v>2072-73</v>
      </c>
      <c r="F95" s="233" t="str">
        <f ca="1">IF(LEFT(E95,4)*1&gt;LEFT('General inputs'!$I$15,4)+'General inputs'!$H$28-1,"",IF(E95&lt;"2006-07",0,OFFSET('ET inputs'!$C$11,MATCH('DC Calculations'!E95,'ET inputs'!$C$12:$C$102,0),1)))</f>
        <v/>
      </c>
      <c r="G95" s="233" t="str">
        <f ca="1">IF(LEFT(E95,4)*1&gt;LEFT('General inputs'!$I$15,4)+'General inputs'!$H$28-1,"",F95/(1+'General inputs'!$H$24)^D95)</f>
        <v/>
      </c>
      <c r="H95" s="233" t="str">
        <f ca="1">IF(OR(LEFT(E95,4)*1&lt;LEFT('General inputs'!$I$15,4)*1,LEFT(E95,4)*1&gt;LEFT('General inputs'!$I$15,4)+'General inputs'!$H$28-1),"",F95/(1+'General inputs'!$H$24)^D95)</f>
        <v/>
      </c>
      <c r="I95" s="103"/>
      <c r="J95" s="233" t="str">
        <f ca="1">IF(LEFT(E95,4)*1&gt;LEFT('General inputs'!$I$19,4)*1,"",SUMIF('Commissioned assets'!$F$17:$F$213,$E95,'Commissioned assets'!$P$17:$P$213))</f>
        <v/>
      </c>
      <c r="K95" s="233" t="str">
        <f ca="1">IF(J95="","",J95/(1+'General inputs'!$H$24)^D95)</f>
        <v/>
      </c>
      <c r="L95" s="233">
        <f ca="1">IF(LEFT(E95,4)*1&lt;LEFT('General inputs'!$I$19,4)*1+1,"",SUMIF('Uncommissioned assets'!$F$17:$F$213,$E95,'Uncommissioned assets'!$P$17:$P$213))</f>
        <v>0</v>
      </c>
      <c r="M95" s="233">
        <f ca="1">IF(L95="","",L95/(1+'General inputs'!$H$24)^D95)</f>
        <v>0</v>
      </c>
      <c r="N95" s="103"/>
      <c r="O95" s="123"/>
      <c r="P95" s="233" t="str">
        <f ca="1">IF(OR(LEFT(E95,4)*1&lt;LEFT('General inputs'!$I$15,4)*1,LEFT(E95,4)*1&gt;LEFT('General inputs'!$I$15,4)+'General inputs'!$H$28-1),"",O95/(1+'General inputs'!$H$24)^D95)</f>
        <v/>
      </c>
      <c r="Q95" s="103"/>
      <c r="R95" s="123"/>
      <c r="S95" s="233" t="str">
        <f ca="1">IF(OR(LEFT(E95,4)*1&lt;LEFT('General inputs'!$I$15,4)*1,LEFT(E95,4)*1&gt;LEFT('General inputs'!$I$15,4)+'General inputs'!$H$28-1),"",R95/(1+'General inputs'!$H$24)^D95)</f>
        <v/>
      </c>
      <c r="T95" s="105"/>
      <c r="U95" s="104"/>
    </row>
    <row r="96" spans="2:21" x14ac:dyDescent="0.25">
      <c r="B96" s="83"/>
      <c r="C96" s="104"/>
      <c r="D96" s="228">
        <f ca="1">IF(E96='General inputs'!$I$15,0,IF(E96&lt;'General inputs'!$I$15,D97-1,D95+1))</f>
        <v>53</v>
      </c>
      <c r="E96" s="228" t="str">
        <f ca="1">OFFSET('General inputs'!$L$16,MATCH('DC Calculations'!E95,'General inputs'!$L$17:$L$186,0)+1,0)</f>
        <v>2073-74</v>
      </c>
      <c r="F96" s="233" t="str">
        <f ca="1">IF(LEFT(E96,4)*1&gt;LEFT('General inputs'!$I$15,4)+'General inputs'!$H$28-1,"",IF(E96&lt;"2006-07",0,OFFSET('ET inputs'!$C$11,MATCH('DC Calculations'!E96,'ET inputs'!$C$12:$C$102,0),1)))</f>
        <v/>
      </c>
      <c r="G96" s="233" t="str">
        <f ca="1">IF(LEFT(E96,4)*1&gt;LEFT('General inputs'!$I$15,4)+'General inputs'!$H$28-1,"",F96/(1+'General inputs'!$H$24)^D96)</f>
        <v/>
      </c>
      <c r="H96" s="233" t="str">
        <f ca="1">IF(OR(LEFT(E96,4)*1&lt;LEFT('General inputs'!$I$15,4)*1,LEFT(E96,4)*1&gt;LEFT('General inputs'!$I$15,4)+'General inputs'!$H$28-1),"",F96/(1+'General inputs'!$H$24)^D96)</f>
        <v/>
      </c>
      <c r="I96" s="103"/>
      <c r="J96" s="233" t="str">
        <f ca="1">IF(LEFT(E96,4)*1&gt;LEFT('General inputs'!$I$19,4)*1,"",SUMIF('Commissioned assets'!$F$17:$F$213,$E96,'Commissioned assets'!$P$17:$P$213))</f>
        <v/>
      </c>
      <c r="K96" s="233" t="str">
        <f ca="1">IF(J96="","",J96/(1+'General inputs'!$H$24)^D96)</f>
        <v/>
      </c>
      <c r="L96" s="233">
        <f ca="1">IF(LEFT(E96,4)*1&lt;LEFT('General inputs'!$I$19,4)*1+1,"",SUMIF('Uncommissioned assets'!$F$17:$F$213,$E96,'Uncommissioned assets'!$P$17:$P$213))</f>
        <v>0</v>
      </c>
      <c r="M96" s="233">
        <f ca="1">IF(L96="","",L96/(1+'General inputs'!$H$24)^D96)</f>
        <v>0</v>
      </c>
      <c r="N96" s="103"/>
      <c r="O96" s="123"/>
      <c r="P96" s="233" t="str">
        <f ca="1">IF(OR(LEFT(E96,4)*1&lt;LEFT('General inputs'!$I$15,4)*1,LEFT(E96,4)*1&gt;LEFT('General inputs'!$I$15,4)+'General inputs'!$H$28-1),"",O96/(1+'General inputs'!$H$24)^D96)</f>
        <v/>
      </c>
      <c r="Q96" s="103"/>
      <c r="R96" s="123"/>
      <c r="S96" s="233" t="str">
        <f ca="1">IF(OR(LEFT(E96,4)*1&lt;LEFT('General inputs'!$I$15,4)*1,LEFT(E96,4)*1&gt;LEFT('General inputs'!$I$15,4)+'General inputs'!$H$28-1),"",R96/(1+'General inputs'!$H$24)^D96)</f>
        <v/>
      </c>
      <c r="T96" s="105"/>
      <c r="U96" s="104"/>
    </row>
    <row r="97" spans="2:21" x14ac:dyDescent="0.25">
      <c r="B97" s="83"/>
      <c r="C97" s="104"/>
      <c r="D97" s="228">
        <f ca="1">IF(E97='General inputs'!$I$15,0,IF(E97&lt;'General inputs'!$I$15,D98-1,D96+1))</f>
        <v>54</v>
      </c>
      <c r="E97" s="228" t="str">
        <f ca="1">OFFSET('General inputs'!$L$16,MATCH('DC Calculations'!E96,'General inputs'!$L$17:$L$186,0)+1,0)</f>
        <v>2074-75</v>
      </c>
      <c r="F97" s="233" t="str">
        <f ca="1">IF(LEFT(E97,4)*1&gt;LEFT('General inputs'!$I$15,4)+'General inputs'!$H$28-1,"",IF(E97&lt;"2006-07",0,OFFSET('ET inputs'!$C$11,MATCH('DC Calculations'!E97,'ET inputs'!$C$12:$C$102,0),1)))</f>
        <v/>
      </c>
      <c r="G97" s="233" t="str">
        <f ca="1">IF(LEFT(E97,4)*1&gt;LEFT('General inputs'!$I$15,4)+'General inputs'!$H$28-1,"",F97/(1+'General inputs'!$H$24)^D97)</f>
        <v/>
      </c>
      <c r="H97" s="233" t="str">
        <f ca="1">IF(OR(LEFT(E97,4)*1&lt;LEFT('General inputs'!$I$15,4)*1,LEFT(E97,4)*1&gt;LEFT('General inputs'!$I$15,4)+'General inputs'!$H$28-1),"",F97/(1+'General inputs'!$H$24)^D97)</f>
        <v/>
      </c>
      <c r="I97" s="103"/>
      <c r="J97" s="233" t="str">
        <f ca="1">IF(LEFT(E97,4)*1&gt;LEFT('General inputs'!$I$19,4)*1,"",SUMIF('Commissioned assets'!$F$17:$F$213,$E97,'Commissioned assets'!$P$17:$P$213))</f>
        <v/>
      </c>
      <c r="K97" s="233" t="str">
        <f ca="1">IF(J97="","",J97/(1+'General inputs'!$H$24)^D97)</f>
        <v/>
      </c>
      <c r="L97" s="233">
        <f ca="1">IF(LEFT(E97,4)*1&lt;LEFT('General inputs'!$I$19,4)*1+1,"",SUMIF('Uncommissioned assets'!$F$17:$F$213,$E97,'Uncommissioned assets'!$P$17:$P$213))</f>
        <v>0</v>
      </c>
      <c r="M97" s="233">
        <f ca="1">IF(L97="","",L97/(1+'General inputs'!$H$24)^D97)</f>
        <v>0</v>
      </c>
      <c r="N97" s="103"/>
      <c r="O97" s="123"/>
      <c r="P97" s="233" t="str">
        <f ca="1">IF(OR(LEFT(E97,4)*1&lt;LEFT('General inputs'!$I$15,4)*1,LEFT(E97,4)*1&gt;LEFT('General inputs'!$I$15,4)+'General inputs'!$H$28-1),"",O97/(1+'General inputs'!$H$24)^D97)</f>
        <v/>
      </c>
      <c r="Q97" s="103"/>
      <c r="R97" s="123"/>
      <c r="S97" s="233" t="str">
        <f ca="1">IF(OR(LEFT(E97,4)*1&lt;LEFT('General inputs'!$I$15,4)*1,LEFT(E97,4)*1&gt;LEFT('General inputs'!$I$15,4)+'General inputs'!$H$28-1),"",R97/(1+'General inputs'!$H$24)^D97)</f>
        <v/>
      </c>
      <c r="T97" s="105"/>
      <c r="U97" s="104"/>
    </row>
    <row r="98" spans="2:21" x14ac:dyDescent="0.25">
      <c r="B98" s="83"/>
      <c r="C98" s="104"/>
      <c r="D98" s="228">
        <f ca="1">IF(E98='General inputs'!$I$15,0,IF(E98&lt;'General inputs'!$I$15,D99-1,D97+1))</f>
        <v>55</v>
      </c>
      <c r="E98" s="228" t="str">
        <f ca="1">OFFSET('General inputs'!$L$16,MATCH('DC Calculations'!E97,'General inputs'!$L$17:$L$186,0)+1,0)</f>
        <v>2075-76</v>
      </c>
      <c r="F98" s="233" t="str">
        <f ca="1">IF(LEFT(E98,4)*1&gt;LEFT('General inputs'!$I$15,4)+'General inputs'!$H$28-1,"",IF(E98&lt;"2006-07",0,OFFSET('ET inputs'!$C$11,MATCH('DC Calculations'!E98,'ET inputs'!$C$12:$C$102,0),1)))</f>
        <v/>
      </c>
      <c r="G98" s="233" t="str">
        <f ca="1">IF(LEFT(E98,4)*1&gt;LEFT('General inputs'!$I$15,4)+'General inputs'!$H$28-1,"",F98/(1+'General inputs'!$H$24)^D98)</f>
        <v/>
      </c>
      <c r="H98" s="233" t="str">
        <f ca="1">IF(OR(LEFT(E98,4)*1&lt;LEFT('General inputs'!$I$15,4)*1,LEFT(E98,4)*1&gt;LEFT('General inputs'!$I$15,4)+'General inputs'!$H$28-1),"",F98/(1+'General inputs'!$H$24)^D98)</f>
        <v/>
      </c>
      <c r="I98" s="103"/>
      <c r="J98" s="233" t="str">
        <f ca="1">IF(LEFT(E98,4)*1&gt;LEFT('General inputs'!$I$19,4)*1,"",SUMIF('Commissioned assets'!$F$17:$F$213,$E98,'Commissioned assets'!$P$17:$P$213))</f>
        <v/>
      </c>
      <c r="K98" s="233" t="str">
        <f ca="1">IF(J98="","",J98/(1+'General inputs'!$H$24)^D98)</f>
        <v/>
      </c>
      <c r="L98" s="233">
        <f ca="1">IF(LEFT(E98,4)*1&lt;LEFT('General inputs'!$I$19,4)*1+1,"",SUMIF('Uncommissioned assets'!$F$17:$F$213,$E98,'Uncommissioned assets'!$P$17:$P$213))</f>
        <v>0</v>
      </c>
      <c r="M98" s="233">
        <f ca="1">IF(L98="","",L98/(1+'General inputs'!$H$24)^D98)</f>
        <v>0</v>
      </c>
      <c r="N98" s="103"/>
      <c r="O98" s="123"/>
      <c r="P98" s="233" t="str">
        <f ca="1">IF(OR(LEFT(E98,4)*1&lt;LEFT('General inputs'!$I$15,4)*1,LEFT(E98,4)*1&gt;LEFT('General inputs'!$I$15,4)+'General inputs'!$H$28-1),"",O98/(1+'General inputs'!$H$24)^D98)</f>
        <v/>
      </c>
      <c r="Q98" s="103"/>
      <c r="R98" s="123"/>
      <c r="S98" s="233" t="str">
        <f ca="1">IF(OR(LEFT(E98,4)*1&lt;LEFT('General inputs'!$I$15,4)*1,LEFT(E98,4)*1&gt;LEFT('General inputs'!$I$15,4)+'General inputs'!$H$28-1),"",R98/(1+'General inputs'!$H$24)^D98)</f>
        <v/>
      </c>
      <c r="T98" s="105"/>
      <c r="U98" s="104"/>
    </row>
    <row r="99" spans="2:21" x14ac:dyDescent="0.25">
      <c r="B99" s="83"/>
      <c r="C99" s="104"/>
      <c r="D99" s="228">
        <f ca="1">IF(E99='General inputs'!$I$15,0,IF(E99&lt;'General inputs'!$I$15,D100-1,D98+1))</f>
        <v>56</v>
      </c>
      <c r="E99" s="228" t="str">
        <f ca="1">OFFSET('General inputs'!$L$16,MATCH('DC Calculations'!E98,'General inputs'!$L$17:$L$186,0)+1,0)</f>
        <v>2076-77</v>
      </c>
      <c r="F99" s="233" t="str">
        <f ca="1">IF(LEFT(E99,4)*1&gt;LEFT('General inputs'!$I$15,4)+'General inputs'!$H$28-1,"",IF(E99&lt;"2006-07",0,OFFSET('ET inputs'!$C$11,MATCH('DC Calculations'!E99,'ET inputs'!$C$12:$C$102,0),1)))</f>
        <v/>
      </c>
      <c r="G99" s="233" t="str">
        <f ca="1">IF(LEFT(E99,4)*1&gt;LEFT('General inputs'!$I$15,4)+'General inputs'!$H$28-1,"",F99/(1+'General inputs'!$H$24)^D99)</f>
        <v/>
      </c>
      <c r="H99" s="233" t="str">
        <f ca="1">IF(OR(LEFT(E99,4)*1&lt;LEFT('General inputs'!$I$15,4)*1,LEFT(E99,4)*1&gt;LEFT('General inputs'!$I$15,4)+'General inputs'!$H$28-1),"",F99/(1+'General inputs'!$H$24)^D99)</f>
        <v/>
      </c>
      <c r="I99" s="103"/>
      <c r="J99" s="233" t="str">
        <f ca="1">IF(LEFT(E99,4)*1&gt;LEFT('General inputs'!$I$19,4)*1,"",SUMIF('Commissioned assets'!$F$17:$F$213,$E99,'Commissioned assets'!$P$17:$P$213))</f>
        <v/>
      </c>
      <c r="K99" s="233" t="str">
        <f ca="1">IF(J99="","",J99/(1+'General inputs'!$H$24)^D99)</f>
        <v/>
      </c>
      <c r="L99" s="233">
        <f ca="1">IF(LEFT(E99,4)*1&lt;LEFT('General inputs'!$I$19,4)*1+1,"",SUMIF('Uncommissioned assets'!$F$17:$F$213,$E99,'Uncommissioned assets'!$P$17:$P$213))</f>
        <v>0</v>
      </c>
      <c r="M99" s="233">
        <f ca="1">IF(L99="","",L99/(1+'General inputs'!$H$24)^D99)</f>
        <v>0</v>
      </c>
      <c r="N99" s="103"/>
      <c r="O99" s="123"/>
      <c r="P99" s="233" t="str">
        <f ca="1">IF(OR(LEFT(E99,4)*1&lt;LEFT('General inputs'!$I$15,4)*1,LEFT(E99,4)*1&gt;LEFT('General inputs'!$I$15,4)+'General inputs'!$H$28-1),"",O99/(1+'General inputs'!$H$24)^D99)</f>
        <v/>
      </c>
      <c r="Q99" s="103"/>
      <c r="R99" s="123"/>
      <c r="S99" s="233" t="str">
        <f ca="1">IF(OR(LEFT(E99,4)*1&lt;LEFT('General inputs'!$I$15,4)*1,LEFT(E99,4)*1&gt;LEFT('General inputs'!$I$15,4)+'General inputs'!$H$28-1),"",R99/(1+'General inputs'!$H$24)^D99)</f>
        <v/>
      </c>
      <c r="T99" s="105"/>
      <c r="U99" s="104"/>
    </row>
    <row r="100" spans="2:21" x14ac:dyDescent="0.25">
      <c r="B100" s="83"/>
      <c r="C100" s="104"/>
      <c r="D100" s="228">
        <f ca="1">IF(E100='General inputs'!$I$15,0,IF(E100&lt;'General inputs'!$I$15,D101-1,D99+1))</f>
        <v>57</v>
      </c>
      <c r="E100" s="228" t="str">
        <f ca="1">OFFSET('General inputs'!$L$16,MATCH('DC Calculations'!E99,'General inputs'!$L$17:$L$186,0)+1,0)</f>
        <v>2077-78</v>
      </c>
      <c r="F100" s="233" t="str">
        <f ca="1">IF(LEFT(E100,4)*1&gt;LEFT('General inputs'!$I$15,4)+'General inputs'!$H$28-1,"",IF(E100&lt;"2006-07",0,OFFSET('ET inputs'!$C$11,MATCH('DC Calculations'!E100,'ET inputs'!$C$12:$C$102,0),1)))</f>
        <v/>
      </c>
      <c r="G100" s="233" t="str">
        <f ca="1">IF(LEFT(E100,4)*1&gt;LEFT('General inputs'!$I$15,4)+'General inputs'!$H$28-1,"",F100/(1+'General inputs'!$H$24)^D100)</f>
        <v/>
      </c>
      <c r="H100" s="233" t="str">
        <f ca="1">IF(OR(LEFT(E100,4)*1&lt;LEFT('General inputs'!$I$15,4)*1,LEFT(E100,4)*1&gt;LEFT('General inputs'!$I$15,4)+'General inputs'!$H$28-1),"",F100/(1+'General inputs'!$H$24)^D100)</f>
        <v/>
      </c>
      <c r="I100" s="103"/>
      <c r="J100" s="233" t="str">
        <f ca="1">IF(LEFT(E100,4)*1&gt;LEFT('General inputs'!$I$19,4)*1,"",SUMIF('Commissioned assets'!$F$17:$F$213,$E100,'Commissioned assets'!$P$17:$P$213))</f>
        <v/>
      </c>
      <c r="K100" s="233" t="str">
        <f ca="1">IF(J100="","",J100/(1+'General inputs'!$H$24)^D100)</f>
        <v/>
      </c>
      <c r="L100" s="233">
        <f ca="1">IF(LEFT(E100,4)*1&lt;LEFT('General inputs'!$I$19,4)*1+1,"",SUMIF('Uncommissioned assets'!$F$17:$F$213,$E100,'Uncommissioned assets'!$P$17:$P$213))</f>
        <v>0</v>
      </c>
      <c r="M100" s="233">
        <f ca="1">IF(L100="","",L100/(1+'General inputs'!$H$24)^D100)</f>
        <v>0</v>
      </c>
      <c r="N100" s="103"/>
      <c r="O100" s="123"/>
      <c r="P100" s="233" t="str">
        <f ca="1">IF(OR(LEFT(E100,4)*1&lt;LEFT('General inputs'!$I$15,4)*1,LEFT(E100,4)*1&gt;LEFT('General inputs'!$I$15,4)+'General inputs'!$H$28-1),"",O100/(1+'General inputs'!$H$24)^D100)</f>
        <v/>
      </c>
      <c r="Q100" s="103"/>
      <c r="R100" s="123"/>
      <c r="S100" s="233" t="str">
        <f ca="1">IF(OR(LEFT(E100,4)*1&lt;LEFT('General inputs'!$I$15,4)*1,LEFT(E100,4)*1&gt;LEFT('General inputs'!$I$15,4)+'General inputs'!$H$28-1),"",R100/(1+'General inputs'!$H$24)^D100)</f>
        <v/>
      </c>
      <c r="T100" s="105"/>
      <c r="U100" s="104"/>
    </row>
    <row r="101" spans="2:21" x14ac:dyDescent="0.25">
      <c r="B101" s="83"/>
      <c r="C101" s="104"/>
      <c r="D101" s="228">
        <f ca="1">IF(E101='General inputs'!$I$15,0,IF(E101&lt;'General inputs'!$I$15,D102-1,D100+1))</f>
        <v>58</v>
      </c>
      <c r="E101" s="228" t="str">
        <f ca="1">OFFSET('General inputs'!$L$16,MATCH('DC Calculations'!E100,'General inputs'!$L$17:$L$186,0)+1,0)</f>
        <v>2078-79</v>
      </c>
      <c r="F101" s="233" t="str">
        <f ca="1">IF(LEFT(E101,4)*1&gt;LEFT('General inputs'!$I$15,4)+'General inputs'!$H$28-1,"",IF(E101&lt;"2006-07",0,OFFSET('ET inputs'!$C$11,MATCH('DC Calculations'!E101,'ET inputs'!$C$12:$C$102,0),1)))</f>
        <v/>
      </c>
      <c r="G101" s="233" t="str">
        <f ca="1">IF(LEFT(E101,4)*1&gt;LEFT('General inputs'!$I$15,4)+'General inputs'!$H$28-1,"",F101/(1+'General inputs'!$H$24)^D101)</f>
        <v/>
      </c>
      <c r="H101" s="233" t="str">
        <f ca="1">IF(OR(LEFT(E101,4)*1&lt;LEFT('General inputs'!$I$15,4)*1,LEFT(E101,4)*1&gt;LEFT('General inputs'!$I$15,4)+'General inputs'!$H$28-1),"",F101/(1+'General inputs'!$H$24)^D101)</f>
        <v/>
      </c>
      <c r="I101" s="103"/>
      <c r="J101" s="233" t="str">
        <f ca="1">IF(LEFT(E101,4)*1&gt;LEFT('General inputs'!$I$19,4)*1,"",SUMIF('Commissioned assets'!$F$17:$F$213,$E101,'Commissioned assets'!$P$17:$P$213))</f>
        <v/>
      </c>
      <c r="K101" s="233" t="str">
        <f ca="1">IF(J101="","",J101/(1+'General inputs'!$H$24)^D101)</f>
        <v/>
      </c>
      <c r="L101" s="233">
        <f ca="1">IF(LEFT(E101,4)*1&lt;LEFT('General inputs'!$I$19,4)*1+1,"",SUMIF('Uncommissioned assets'!$F$17:$F$213,$E101,'Uncommissioned assets'!$P$17:$P$213))</f>
        <v>0</v>
      </c>
      <c r="M101" s="233">
        <f ca="1">IF(L101="","",L101/(1+'General inputs'!$H$24)^D101)</f>
        <v>0</v>
      </c>
      <c r="N101" s="103"/>
      <c r="O101" s="123"/>
      <c r="P101" s="233" t="str">
        <f ca="1">IF(OR(LEFT(E101,4)*1&lt;LEFT('General inputs'!$I$15,4)*1,LEFT(E101,4)*1&gt;LEFT('General inputs'!$I$15,4)+'General inputs'!$H$28-1),"",O101/(1+'General inputs'!$H$24)^D101)</f>
        <v/>
      </c>
      <c r="Q101" s="103"/>
      <c r="R101" s="123"/>
      <c r="S101" s="233" t="str">
        <f ca="1">IF(OR(LEFT(E101,4)*1&lt;LEFT('General inputs'!$I$15,4)*1,LEFT(E101,4)*1&gt;LEFT('General inputs'!$I$15,4)+'General inputs'!$H$28-1),"",R101/(1+'General inputs'!$H$24)^D101)</f>
        <v/>
      </c>
      <c r="T101" s="105"/>
      <c r="U101" s="104"/>
    </row>
    <row r="102" spans="2:21" x14ac:dyDescent="0.25">
      <c r="B102" s="83"/>
      <c r="C102" s="104"/>
      <c r="D102" s="228">
        <f ca="1">IF(E102='General inputs'!$I$15,0,IF(E102&lt;'General inputs'!$I$15,D103-1,D101+1))</f>
        <v>59</v>
      </c>
      <c r="E102" s="228" t="str">
        <f ca="1">OFFSET('General inputs'!$L$16,MATCH('DC Calculations'!E101,'General inputs'!$L$17:$L$186,0)+1,0)</f>
        <v>2079-80</v>
      </c>
      <c r="F102" s="233" t="str">
        <f ca="1">IF(LEFT(E102,4)*1&gt;LEFT('General inputs'!$I$15,4)+'General inputs'!$H$28-1,"",IF(E102&lt;"2006-07",0,OFFSET('ET inputs'!$C$11,MATCH('DC Calculations'!E102,'ET inputs'!$C$12:$C$102,0),1)))</f>
        <v/>
      </c>
      <c r="G102" s="233" t="str">
        <f ca="1">IF(LEFT(E102,4)*1&gt;LEFT('General inputs'!$I$15,4)+'General inputs'!$H$28-1,"",F102/(1+'General inputs'!$H$24)^D102)</f>
        <v/>
      </c>
      <c r="H102" s="233" t="str">
        <f ca="1">IF(OR(LEFT(E102,4)*1&lt;LEFT('General inputs'!$I$15,4)*1,LEFT(E102,4)*1&gt;LEFT('General inputs'!$I$15,4)+'General inputs'!$H$28-1),"",F102/(1+'General inputs'!$H$24)^D102)</f>
        <v/>
      </c>
      <c r="I102" s="103"/>
      <c r="J102" s="233" t="str">
        <f ca="1">IF(LEFT(E102,4)*1&gt;LEFT('General inputs'!$I$19,4)*1,"",SUMIF('Commissioned assets'!$F$17:$F$213,$E102,'Commissioned assets'!$P$17:$P$213))</f>
        <v/>
      </c>
      <c r="K102" s="233" t="str">
        <f ca="1">IF(J102="","",J102/(1+'General inputs'!$H$24)^D102)</f>
        <v/>
      </c>
      <c r="L102" s="233">
        <f ca="1">IF(LEFT(E102,4)*1&lt;LEFT('General inputs'!$I$19,4)*1+1,"",SUMIF('Uncommissioned assets'!$F$17:$F$213,$E102,'Uncommissioned assets'!$P$17:$P$213))</f>
        <v>0</v>
      </c>
      <c r="M102" s="233">
        <f ca="1">IF(L102="","",L102/(1+'General inputs'!$H$24)^D102)</f>
        <v>0</v>
      </c>
      <c r="N102" s="103"/>
      <c r="O102" s="123"/>
      <c r="P102" s="233" t="str">
        <f ca="1">IF(OR(LEFT(E102,4)*1&lt;LEFT('General inputs'!$I$15,4)*1,LEFT(E102,4)*1&gt;LEFT('General inputs'!$I$15,4)+'General inputs'!$H$28-1),"",O102/(1+'General inputs'!$H$24)^D102)</f>
        <v/>
      </c>
      <c r="Q102" s="103"/>
      <c r="R102" s="123"/>
      <c r="S102" s="233" t="str">
        <f ca="1">IF(OR(LEFT(E102,4)*1&lt;LEFT('General inputs'!$I$15,4)*1,LEFT(E102,4)*1&gt;LEFT('General inputs'!$I$15,4)+'General inputs'!$H$28-1),"",R102/(1+'General inputs'!$H$24)^D102)</f>
        <v/>
      </c>
      <c r="T102" s="105"/>
      <c r="U102" s="104"/>
    </row>
    <row r="103" spans="2:21" x14ac:dyDescent="0.25">
      <c r="B103" s="83"/>
      <c r="C103" s="104"/>
      <c r="D103" s="228">
        <f ca="1">IF(E103='General inputs'!$I$15,0,IF(E103&lt;'General inputs'!$I$15,D104-1,D102+1))</f>
        <v>60</v>
      </c>
      <c r="E103" s="228" t="str">
        <f ca="1">OFFSET('General inputs'!$L$16,MATCH('DC Calculations'!E102,'General inputs'!$L$17:$L$186,0)+1,0)</f>
        <v>2080-81</v>
      </c>
      <c r="F103" s="233" t="str">
        <f ca="1">IF(LEFT(E103,4)*1&gt;LEFT('General inputs'!$I$15,4)+'General inputs'!$H$28-1,"",IF(E103&lt;"2006-07",0,OFFSET('ET inputs'!$C$11,MATCH('DC Calculations'!E103,'ET inputs'!$C$12:$C$102,0),1)))</f>
        <v/>
      </c>
      <c r="G103" s="233" t="str">
        <f ca="1">IF(LEFT(E103,4)*1&gt;LEFT('General inputs'!$I$15,4)+'General inputs'!$H$28-1,"",F103/(1+'General inputs'!$H$24)^D103)</f>
        <v/>
      </c>
      <c r="H103" s="233" t="str">
        <f ca="1">IF(OR(LEFT(E103,4)*1&lt;LEFT('General inputs'!$I$15,4)*1,LEFT(E103,4)*1&gt;LEFT('General inputs'!$I$15,4)+'General inputs'!$H$28-1),"",F103/(1+'General inputs'!$H$24)^D103)</f>
        <v/>
      </c>
      <c r="I103" s="103"/>
      <c r="J103" s="233" t="str">
        <f ca="1">IF(LEFT(E103,4)*1&gt;LEFT('General inputs'!$I$19,4)*1,"",SUMIF('Commissioned assets'!$F$17:$F$213,$E103,'Commissioned assets'!$P$17:$P$213))</f>
        <v/>
      </c>
      <c r="K103" s="233" t="str">
        <f ca="1">IF(J103="","",J103/(1+'General inputs'!$H$24)^D103)</f>
        <v/>
      </c>
      <c r="L103" s="233">
        <f ca="1">IF(LEFT(E103,4)*1&lt;LEFT('General inputs'!$I$19,4)*1+1,"",SUMIF('Uncommissioned assets'!$F$17:$F$213,$E103,'Uncommissioned assets'!$P$17:$P$213))</f>
        <v>0</v>
      </c>
      <c r="M103" s="233">
        <f ca="1">IF(L103="","",L103/(1+'General inputs'!$H$24)^D103)</f>
        <v>0</v>
      </c>
      <c r="N103" s="103"/>
      <c r="O103" s="123"/>
      <c r="P103" s="233" t="str">
        <f ca="1">IF(OR(LEFT(E103,4)*1&lt;LEFT('General inputs'!$I$15,4)*1,LEFT(E103,4)*1&gt;LEFT('General inputs'!$I$15,4)+'General inputs'!$H$28-1),"",O103/(1+'General inputs'!$H$24)^D103)</f>
        <v/>
      </c>
      <c r="Q103" s="103"/>
      <c r="R103" s="123"/>
      <c r="S103" s="233" t="str">
        <f ca="1">IF(OR(LEFT(E103,4)*1&lt;LEFT('General inputs'!$I$15,4)*1,LEFT(E103,4)*1&gt;LEFT('General inputs'!$I$15,4)+'General inputs'!$H$28-1),"",R103/(1+'General inputs'!$H$24)^D103)</f>
        <v/>
      </c>
      <c r="T103" s="105"/>
      <c r="U103" s="104"/>
    </row>
    <row r="104" spans="2:21" x14ac:dyDescent="0.25">
      <c r="B104" s="83"/>
      <c r="C104" s="104"/>
      <c r="D104" s="228">
        <f ca="1">IF(E104='General inputs'!$I$15,0,IF(E104&lt;'General inputs'!$I$15,D105-1,D103+1))</f>
        <v>61</v>
      </c>
      <c r="E104" s="228" t="str">
        <f ca="1">OFFSET('General inputs'!$L$16,MATCH('DC Calculations'!E103,'General inputs'!$L$17:$L$186,0)+1,0)</f>
        <v>2081-82</v>
      </c>
      <c r="F104" s="233" t="str">
        <f ca="1">IF(LEFT(E104,4)*1&gt;LEFT('General inputs'!$I$15,4)+'General inputs'!$H$28-1,"",IF(E104&lt;"2006-07",0,OFFSET('ET inputs'!$C$11,MATCH('DC Calculations'!E104,'ET inputs'!$C$12:$C$102,0),1)))</f>
        <v/>
      </c>
      <c r="G104" s="233" t="str">
        <f ca="1">IF(LEFT(E104,4)*1&gt;LEFT('General inputs'!$I$15,4)+'General inputs'!$H$28-1,"",F104/(1+'General inputs'!$H$24)^D104)</f>
        <v/>
      </c>
      <c r="H104" s="233" t="str">
        <f ca="1">IF(OR(LEFT(E104,4)*1&lt;LEFT('General inputs'!$I$15,4)*1,LEFT(E104,4)*1&gt;LEFT('General inputs'!$I$15,4)+'General inputs'!$H$28-1),"",F104/(1+'General inputs'!$H$24)^D104)</f>
        <v/>
      </c>
      <c r="I104" s="103"/>
      <c r="J104" s="233" t="str">
        <f ca="1">IF(LEFT(E104,4)*1&gt;LEFT('General inputs'!$I$19,4)*1,"",SUMIF('Commissioned assets'!$F$17:$F$213,$E104,'Commissioned assets'!$P$17:$P$213))</f>
        <v/>
      </c>
      <c r="K104" s="233" t="str">
        <f ca="1">IF(J104="","",J104/(1+'General inputs'!$H$24)^D104)</f>
        <v/>
      </c>
      <c r="L104" s="233">
        <f ca="1">IF(LEFT(E104,4)*1&lt;LEFT('General inputs'!$I$19,4)*1+1,"",SUMIF('Uncommissioned assets'!$F$17:$F$213,$E104,'Uncommissioned assets'!$P$17:$P$213))</f>
        <v>0</v>
      </c>
      <c r="M104" s="233">
        <f ca="1">IF(L104="","",L104/(1+'General inputs'!$H$24)^D104)</f>
        <v>0</v>
      </c>
      <c r="N104" s="103"/>
      <c r="O104" s="123"/>
      <c r="P104" s="233" t="str">
        <f ca="1">IF(OR(LEFT(E104,4)*1&lt;LEFT('General inputs'!$I$15,4)*1,LEFT(E104,4)*1&gt;LEFT('General inputs'!$I$15,4)+'General inputs'!$H$28-1),"",O104/(1+'General inputs'!$H$24)^D104)</f>
        <v/>
      </c>
      <c r="Q104" s="103"/>
      <c r="R104" s="123"/>
      <c r="S104" s="233" t="str">
        <f ca="1">IF(OR(LEFT(E104,4)*1&lt;LEFT('General inputs'!$I$15,4)*1,LEFT(E104,4)*1&gt;LEFT('General inputs'!$I$15,4)+'General inputs'!$H$28-1),"",R104/(1+'General inputs'!$H$24)^D104)</f>
        <v/>
      </c>
      <c r="T104" s="105"/>
      <c r="U104" s="104"/>
    </row>
    <row r="105" spans="2:21" x14ac:dyDescent="0.25">
      <c r="B105" s="83"/>
      <c r="C105" s="104"/>
      <c r="D105" s="228">
        <f ca="1">IF(E105='General inputs'!$I$15,0,IF(E105&lt;'General inputs'!$I$15,D106-1,D104+1))</f>
        <v>62</v>
      </c>
      <c r="E105" s="228" t="str">
        <f ca="1">OFFSET('General inputs'!$L$16,MATCH('DC Calculations'!E104,'General inputs'!$L$17:$L$186,0)+1,0)</f>
        <v>2082-83</v>
      </c>
      <c r="F105" s="233" t="str">
        <f ca="1">IF(LEFT(E105,4)*1&gt;LEFT('General inputs'!$I$15,4)+'General inputs'!$H$28-1,"",IF(E105&lt;"2006-07",0,OFFSET('ET inputs'!$C$11,MATCH('DC Calculations'!E105,'ET inputs'!$C$12:$C$102,0),1)))</f>
        <v/>
      </c>
      <c r="G105" s="233" t="str">
        <f ca="1">IF(LEFT(E105,4)*1&gt;LEFT('General inputs'!$I$15,4)+'General inputs'!$H$28-1,"",F105/(1+'General inputs'!$H$24)^D105)</f>
        <v/>
      </c>
      <c r="H105" s="233" t="str">
        <f ca="1">IF(OR(LEFT(E105,4)*1&lt;LEFT('General inputs'!$I$15,4)*1,LEFT(E105,4)*1&gt;LEFT('General inputs'!$I$15,4)+'General inputs'!$H$28-1),"",F105/(1+'General inputs'!$H$24)^D105)</f>
        <v/>
      </c>
      <c r="I105" s="103"/>
      <c r="J105" s="233" t="str">
        <f ca="1">IF(LEFT(E105,4)*1&gt;LEFT('General inputs'!$I$19,4)*1,"",SUMIF('Commissioned assets'!$F$17:$F$213,$E105,'Commissioned assets'!$P$17:$P$213))</f>
        <v/>
      </c>
      <c r="K105" s="233" t="str">
        <f ca="1">IF(J105="","",J105/(1+'General inputs'!$H$24)^D105)</f>
        <v/>
      </c>
      <c r="L105" s="233">
        <f ca="1">IF(LEFT(E105,4)*1&lt;LEFT('General inputs'!$I$19,4)*1+1,"",SUMIF('Uncommissioned assets'!$F$17:$F$213,$E105,'Uncommissioned assets'!$P$17:$P$213))</f>
        <v>0</v>
      </c>
      <c r="M105" s="233">
        <f ca="1">IF(L105="","",L105/(1+'General inputs'!$H$24)^D105)</f>
        <v>0</v>
      </c>
      <c r="N105" s="103"/>
      <c r="O105" s="123"/>
      <c r="P105" s="233" t="str">
        <f ca="1">IF(OR(LEFT(E105,4)*1&lt;LEFT('General inputs'!$I$15,4)*1,LEFT(E105,4)*1&gt;LEFT('General inputs'!$I$15,4)+'General inputs'!$H$28-1),"",O105/(1+'General inputs'!$H$24)^D105)</f>
        <v/>
      </c>
      <c r="Q105" s="103"/>
      <c r="R105" s="123"/>
      <c r="S105" s="233" t="str">
        <f ca="1">IF(OR(LEFT(E105,4)*1&lt;LEFT('General inputs'!$I$15,4)*1,LEFT(E105,4)*1&gt;LEFT('General inputs'!$I$15,4)+'General inputs'!$H$28-1),"",R105/(1+'General inputs'!$H$24)^D105)</f>
        <v/>
      </c>
      <c r="T105" s="105"/>
      <c r="U105" s="104"/>
    </row>
    <row r="106" spans="2:21" x14ac:dyDescent="0.25">
      <c r="B106" s="83"/>
      <c r="C106" s="104"/>
      <c r="D106" s="228">
        <f ca="1">IF(E106='General inputs'!$I$15,0,IF(E106&lt;'General inputs'!$I$15,D107-1,D105+1))</f>
        <v>63</v>
      </c>
      <c r="E106" s="228" t="str">
        <f ca="1">OFFSET('General inputs'!$L$16,MATCH('DC Calculations'!E105,'General inputs'!$L$17:$L$186,0)+1,0)</f>
        <v>2083-84</v>
      </c>
      <c r="F106" s="233" t="str">
        <f ca="1">IF(LEFT(E106,4)*1&gt;LEFT('General inputs'!$I$15,4)+'General inputs'!$H$28-1,"",IF(E106&lt;"2006-07",0,OFFSET('ET inputs'!$C$11,MATCH('DC Calculations'!E106,'ET inputs'!$C$12:$C$102,0),1)))</f>
        <v/>
      </c>
      <c r="G106" s="233" t="str">
        <f ca="1">IF(LEFT(E106,4)*1&gt;LEFT('General inputs'!$I$15,4)+'General inputs'!$H$28-1,"",F106/(1+'General inputs'!$H$24)^D106)</f>
        <v/>
      </c>
      <c r="H106" s="233" t="str">
        <f ca="1">IF(OR(LEFT(E106,4)*1&lt;LEFT('General inputs'!$I$15,4)*1,LEFT(E106,4)*1&gt;LEFT('General inputs'!$I$15,4)+'General inputs'!$H$28-1),"",F106/(1+'General inputs'!$H$24)^D106)</f>
        <v/>
      </c>
      <c r="I106" s="103"/>
      <c r="J106" s="233" t="str">
        <f ca="1">IF(LEFT(E106,4)*1&gt;LEFT('General inputs'!$I$19,4)*1,"",SUMIF('Commissioned assets'!$F$17:$F$213,$E106,'Commissioned assets'!$P$17:$P$213))</f>
        <v/>
      </c>
      <c r="K106" s="233" t="str">
        <f ca="1">IF(J106="","",J106/(1+'General inputs'!$H$24)^D106)</f>
        <v/>
      </c>
      <c r="L106" s="233">
        <f ca="1">IF(LEFT(E106,4)*1&lt;LEFT('General inputs'!$I$19,4)*1+1,"",SUMIF('Uncommissioned assets'!$F$17:$F$213,$E106,'Uncommissioned assets'!$P$17:$P$213))</f>
        <v>0</v>
      </c>
      <c r="M106" s="233">
        <f ca="1">IF(L106="","",L106/(1+'General inputs'!$H$24)^D106)</f>
        <v>0</v>
      </c>
      <c r="N106" s="103"/>
      <c r="O106" s="123"/>
      <c r="P106" s="233" t="str">
        <f ca="1">IF(OR(LEFT(E106,4)*1&lt;LEFT('General inputs'!$I$15,4)*1,LEFT(E106,4)*1&gt;LEFT('General inputs'!$I$15,4)+'General inputs'!$H$28-1),"",O106/(1+'General inputs'!$H$24)^D106)</f>
        <v/>
      </c>
      <c r="Q106" s="103"/>
      <c r="R106" s="123"/>
      <c r="S106" s="233" t="str">
        <f ca="1">IF(OR(LEFT(E106,4)*1&lt;LEFT('General inputs'!$I$15,4)*1,LEFT(E106,4)*1&gt;LEFT('General inputs'!$I$15,4)+'General inputs'!$H$28-1),"",R106/(1+'General inputs'!$H$24)^D106)</f>
        <v/>
      </c>
      <c r="T106" s="105"/>
      <c r="U106" s="104"/>
    </row>
    <row r="107" spans="2:21" x14ac:dyDescent="0.25">
      <c r="B107" s="83"/>
      <c r="C107" s="104"/>
      <c r="D107" s="228">
        <f ca="1">IF(E107='General inputs'!$I$15,0,IF(E107&lt;'General inputs'!$I$15,D108-1,D106+1))</f>
        <v>64</v>
      </c>
      <c r="E107" s="228" t="str">
        <f ca="1">OFFSET('General inputs'!$L$16,MATCH('DC Calculations'!E106,'General inputs'!$L$17:$L$186,0)+1,0)</f>
        <v>2084-85</v>
      </c>
      <c r="F107" s="233" t="str">
        <f ca="1">IF(LEFT(E107,4)*1&gt;LEFT('General inputs'!$I$15,4)+'General inputs'!$H$28-1,"",IF(E107&lt;"2006-07",0,OFFSET('ET inputs'!$C$11,MATCH('DC Calculations'!E107,'ET inputs'!$C$12:$C$102,0),1)))</f>
        <v/>
      </c>
      <c r="G107" s="233" t="str">
        <f ca="1">IF(LEFT(E107,4)*1&gt;LEFT('General inputs'!$I$15,4)+'General inputs'!$H$28-1,"",F107/(1+'General inputs'!$H$24)^D107)</f>
        <v/>
      </c>
      <c r="H107" s="233" t="str">
        <f ca="1">IF(OR(LEFT(E107,4)*1&lt;LEFT('General inputs'!$I$15,4)*1,LEFT(E107,4)*1&gt;LEFT('General inputs'!$I$15,4)+'General inputs'!$H$28-1),"",F107/(1+'General inputs'!$H$24)^D107)</f>
        <v/>
      </c>
      <c r="I107" s="103"/>
      <c r="J107" s="233" t="str">
        <f ca="1">IF(LEFT(E107,4)*1&gt;LEFT('General inputs'!$I$19,4)*1,"",SUMIF('Commissioned assets'!$F$17:$F$213,$E107,'Commissioned assets'!$P$17:$P$213))</f>
        <v/>
      </c>
      <c r="K107" s="233" t="str">
        <f ca="1">IF(J107="","",J107/(1+'General inputs'!$H$24)^D107)</f>
        <v/>
      </c>
      <c r="L107" s="233">
        <f ca="1">IF(LEFT(E107,4)*1&lt;LEFT('General inputs'!$I$19,4)*1+1,"",SUMIF('Uncommissioned assets'!$F$17:$F$213,$E107,'Uncommissioned assets'!$P$17:$P$213))</f>
        <v>0</v>
      </c>
      <c r="M107" s="233">
        <f ca="1">IF(L107="","",L107/(1+'General inputs'!$H$24)^D107)</f>
        <v>0</v>
      </c>
      <c r="N107" s="103"/>
      <c r="O107" s="123"/>
      <c r="P107" s="233" t="str">
        <f ca="1">IF(OR(LEFT(E107,4)*1&lt;LEFT('General inputs'!$I$15,4)*1,LEFT(E107,4)*1&gt;LEFT('General inputs'!$I$15,4)+'General inputs'!$H$28-1),"",O107/(1+'General inputs'!$H$24)^D107)</f>
        <v/>
      </c>
      <c r="Q107" s="103"/>
      <c r="R107" s="123"/>
      <c r="S107" s="233" t="str">
        <f ca="1">IF(OR(LEFT(E107,4)*1&lt;LEFT('General inputs'!$I$15,4)*1,LEFT(E107,4)*1&gt;LEFT('General inputs'!$I$15,4)+'General inputs'!$H$28-1),"",R107/(1+'General inputs'!$H$24)^D107)</f>
        <v/>
      </c>
      <c r="T107" s="105"/>
      <c r="U107" s="104"/>
    </row>
    <row r="108" spans="2:21" x14ac:dyDescent="0.25">
      <c r="B108" s="83"/>
      <c r="C108" s="104"/>
      <c r="D108" s="228">
        <f ca="1">IF(E108='General inputs'!$I$15,0,IF(E108&lt;'General inputs'!$I$15,D109-1,D107+1))</f>
        <v>65</v>
      </c>
      <c r="E108" s="228" t="str">
        <f ca="1">OFFSET('General inputs'!$L$16,MATCH('DC Calculations'!E107,'General inputs'!$L$17:$L$186,0)+1,0)</f>
        <v>2085-86</v>
      </c>
      <c r="F108" s="233" t="str">
        <f ca="1">IF(LEFT(E108,4)*1&gt;LEFT('General inputs'!$I$15,4)+'General inputs'!$H$28-1,"",IF(E108&lt;"2006-07",0,OFFSET('ET inputs'!$C$11,MATCH('DC Calculations'!E108,'ET inputs'!$C$12:$C$102,0),1)))</f>
        <v/>
      </c>
      <c r="G108" s="233" t="str">
        <f ca="1">IF(LEFT(E108,4)*1&gt;LEFT('General inputs'!$I$15,4)+'General inputs'!$H$28-1,"",F108/(1+'General inputs'!$H$24)^D108)</f>
        <v/>
      </c>
      <c r="H108" s="233" t="str">
        <f ca="1">IF(OR(LEFT(E108,4)*1&lt;LEFT('General inputs'!$I$15,4)*1,LEFT(E108,4)*1&gt;LEFT('General inputs'!$I$15,4)+'General inputs'!$H$28-1),"",F108/(1+'General inputs'!$H$24)^D108)</f>
        <v/>
      </c>
      <c r="I108" s="103"/>
      <c r="J108" s="233" t="str">
        <f ca="1">IF(LEFT(E108,4)*1&gt;LEFT('General inputs'!$I$19,4)*1,"",SUMIF('Commissioned assets'!$F$17:$F$213,$E108,'Commissioned assets'!$P$17:$P$213))</f>
        <v/>
      </c>
      <c r="K108" s="233" t="str">
        <f ca="1">IF(J108="","",J108/(1+'General inputs'!$H$24)^D108)</f>
        <v/>
      </c>
      <c r="L108" s="233">
        <f ca="1">IF(LEFT(E108,4)*1&lt;LEFT('General inputs'!$I$19,4)*1+1,"",SUMIF('Uncommissioned assets'!$F$17:$F$213,$E108,'Uncommissioned assets'!$P$17:$P$213))</f>
        <v>0</v>
      </c>
      <c r="M108" s="233">
        <f ca="1">IF(L108="","",L108/(1+'General inputs'!$H$24)^D108)</f>
        <v>0</v>
      </c>
      <c r="N108" s="103"/>
      <c r="O108" s="123"/>
      <c r="P108" s="233" t="str">
        <f ca="1">IF(OR(LEFT(E108,4)*1&lt;LEFT('General inputs'!$I$15,4)*1,LEFT(E108,4)*1&gt;LEFT('General inputs'!$I$15,4)+'General inputs'!$H$28-1),"",O108/(1+'General inputs'!$H$24)^D108)</f>
        <v/>
      </c>
      <c r="Q108" s="103"/>
      <c r="R108" s="123"/>
      <c r="S108" s="233" t="str">
        <f ca="1">IF(OR(LEFT(E108,4)*1&lt;LEFT('General inputs'!$I$15,4)*1,LEFT(E108,4)*1&gt;LEFT('General inputs'!$I$15,4)+'General inputs'!$H$28-1),"",R108/(1+'General inputs'!$H$24)^D108)</f>
        <v/>
      </c>
      <c r="T108" s="105"/>
      <c r="U108" s="104"/>
    </row>
    <row r="109" spans="2:21" x14ac:dyDescent="0.25">
      <c r="B109" s="83"/>
      <c r="C109" s="104"/>
      <c r="D109" s="228">
        <f ca="1">IF(E109='General inputs'!$I$15,0,IF(E109&lt;'General inputs'!$I$15,D110-1,D108+1))</f>
        <v>66</v>
      </c>
      <c r="E109" s="228" t="str">
        <f ca="1">OFFSET('General inputs'!$L$16,MATCH('DC Calculations'!E108,'General inputs'!$L$17:$L$186,0)+1,0)</f>
        <v>2086-87</v>
      </c>
      <c r="F109" s="233" t="str">
        <f ca="1">IF(LEFT(E109,4)*1&gt;LEFT('General inputs'!$I$15,4)+'General inputs'!$H$28-1,"",IF(E109&lt;"2006-07",0,OFFSET('ET inputs'!$C$11,MATCH('DC Calculations'!E109,'ET inputs'!$C$12:$C$102,0),1)))</f>
        <v/>
      </c>
      <c r="G109" s="233" t="str">
        <f ca="1">IF(LEFT(E109,4)*1&gt;LEFT('General inputs'!$I$15,4)+'General inputs'!$H$28-1,"",F109/(1+'General inputs'!$H$24)^D109)</f>
        <v/>
      </c>
      <c r="H109" s="233" t="str">
        <f ca="1">IF(OR(LEFT(E109,4)*1&lt;LEFT('General inputs'!$I$15,4)*1,LEFT(E109,4)*1&gt;LEFT('General inputs'!$I$15,4)+'General inputs'!$H$28-1),"",F109/(1+'General inputs'!$H$24)^D109)</f>
        <v/>
      </c>
      <c r="I109" s="103"/>
      <c r="J109" s="233" t="str">
        <f ca="1">IF(LEFT(E109,4)*1&gt;LEFT('General inputs'!$I$19,4)*1,"",SUMIF('Commissioned assets'!$F$17:$F$213,$E109,'Commissioned assets'!$P$17:$P$213))</f>
        <v/>
      </c>
      <c r="K109" s="233" t="str">
        <f ca="1">IF(J109="","",J109/(1+'General inputs'!$H$24)^D109)</f>
        <v/>
      </c>
      <c r="L109" s="233">
        <f ca="1">IF(LEFT(E109,4)*1&lt;LEFT('General inputs'!$I$19,4)*1+1,"",SUMIF('Uncommissioned assets'!$F$17:$F$213,$E109,'Uncommissioned assets'!$P$17:$P$213))</f>
        <v>0</v>
      </c>
      <c r="M109" s="233">
        <f ca="1">IF(L109="","",L109/(1+'General inputs'!$H$24)^D109)</f>
        <v>0</v>
      </c>
      <c r="N109" s="103"/>
      <c r="O109" s="123"/>
      <c r="P109" s="233" t="str">
        <f ca="1">IF(OR(LEFT(E109,4)*1&lt;LEFT('General inputs'!$I$15,4)*1,LEFT(E109,4)*1&gt;LEFT('General inputs'!$I$15,4)+'General inputs'!$H$28-1),"",O109/(1+'General inputs'!$H$24)^D109)</f>
        <v/>
      </c>
      <c r="Q109" s="103"/>
      <c r="R109" s="123"/>
      <c r="S109" s="233" t="str">
        <f ca="1">IF(OR(LEFT(E109,4)*1&lt;LEFT('General inputs'!$I$15,4)*1,LEFT(E109,4)*1&gt;LEFT('General inputs'!$I$15,4)+'General inputs'!$H$28-1),"",R109/(1+'General inputs'!$H$24)^D109)</f>
        <v/>
      </c>
      <c r="T109" s="105"/>
      <c r="U109" s="104"/>
    </row>
    <row r="110" spans="2:21" x14ac:dyDescent="0.25">
      <c r="B110" s="83"/>
      <c r="C110" s="104"/>
      <c r="D110" s="228">
        <f ca="1">IF(E110='General inputs'!$I$15,0,IF(E110&lt;'General inputs'!$I$15,D111-1,D109+1))</f>
        <v>67</v>
      </c>
      <c r="E110" s="228" t="str">
        <f ca="1">OFFSET('General inputs'!$L$16,MATCH('DC Calculations'!E109,'General inputs'!$L$17:$L$186,0)+1,0)</f>
        <v>2087-88</v>
      </c>
      <c r="F110" s="233" t="str">
        <f ca="1">IF(LEFT(E110,4)*1&gt;LEFT('General inputs'!$I$15,4)+'General inputs'!$H$28-1,"",IF(E110&lt;"2006-07",0,OFFSET('ET inputs'!$C$11,MATCH('DC Calculations'!E110,'ET inputs'!$C$12:$C$102,0),1)))</f>
        <v/>
      </c>
      <c r="G110" s="233" t="str">
        <f ca="1">IF(LEFT(E110,4)*1&gt;LEFT('General inputs'!$I$15,4)+'General inputs'!$H$28-1,"",F110/(1+'General inputs'!$H$24)^D110)</f>
        <v/>
      </c>
      <c r="H110" s="233" t="str">
        <f ca="1">IF(OR(LEFT(E110,4)*1&lt;LEFT('General inputs'!$I$15,4)*1,LEFT(E110,4)*1&gt;LEFT('General inputs'!$I$15,4)+'General inputs'!$H$28-1),"",F110/(1+'General inputs'!$H$24)^D110)</f>
        <v/>
      </c>
      <c r="I110" s="103"/>
      <c r="J110" s="233" t="str">
        <f ca="1">IF(LEFT(E110,4)*1&gt;LEFT('General inputs'!$I$19,4)*1,"",SUMIF('Commissioned assets'!$F$17:$F$213,$E110,'Commissioned assets'!$P$17:$P$213))</f>
        <v/>
      </c>
      <c r="K110" s="233" t="str">
        <f ca="1">IF(J110="","",J110/(1+'General inputs'!$H$24)^D110)</f>
        <v/>
      </c>
      <c r="L110" s="233">
        <f ca="1">IF(LEFT(E110,4)*1&lt;LEFT('General inputs'!$I$19,4)*1+1,"",SUMIF('Uncommissioned assets'!$F$17:$F$213,$E110,'Uncommissioned assets'!$P$17:$P$213))</f>
        <v>0</v>
      </c>
      <c r="M110" s="233">
        <f ca="1">IF(L110="","",L110/(1+'General inputs'!$H$24)^D110)</f>
        <v>0</v>
      </c>
      <c r="N110" s="103"/>
      <c r="O110" s="123"/>
      <c r="P110" s="233" t="str">
        <f ca="1">IF(OR(LEFT(E110,4)*1&lt;LEFT('General inputs'!$I$15,4)*1,LEFT(E110,4)*1&gt;LEFT('General inputs'!$I$15,4)+'General inputs'!$H$28-1),"",O110/(1+'General inputs'!$H$24)^D110)</f>
        <v/>
      </c>
      <c r="Q110" s="103"/>
      <c r="R110" s="123"/>
      <c r="S110" s="233" t="str">
        <f ca="1">IF(OR(LEFT(E110,4)*1&lt;LEFT('General inputs'!$I$15,4)*1,LEFT(E110,4)*1&gt;LEFT('General inputs'!$I$15,4)+'General inputs'!$H$28-1),"",R110/(1+'General inputs'!$H$24)^D110)</f>
        <v/>
      </c>
      <c r="T110" s="105"/>
      <c r="U110" s="104"/>
    </row>
    <row r="111" spans="2:21" x14ac:dyDescent="0.25">
      <c r="B111" s="83"/>
      <c r="C111" s="104"/>
      <c r="D111" s="228">
        <f ca="1">IF(E111='General inputs'!$I$15,0,IF(E111&lt;'General inputs'!$I$15,D112-1,D110+1))</f>
        <v>68</v>
      </c>
      <c r="E111" s="228" t="str">
        <f ca="1">OFFSET('General inputs'!$L$16,MATCH('DC Calculations'!E110,'General inputs'!$L$17:$L$186,0)+1,0)</f>
        <v>2088-89</v>
      </c>
      <c r="F111" s="233" t="str">
        <f ca="1">IF(LEFT(E111,4)*1&gt;LEFT('General inputs'!$I$15,4)+'General inputs'!$H$28-1,"",IF(E111&lt;"2006-07",0,OFFSET('ET inputs'!$C$11,MATCH('DC Calculations'!E111,'ET inputs'!$C$12:$C$102,0),1)))</f>
        <v/>
      </c>
      <c r="G111" s="233" t="str">
        <f ca="1">IF(LEFT(E111,4)*1&gt;LEFT('General inputs'!$I$15,4)+'General inputs'!$H$28-1,"",F111/(1+'General inputs'!$H$24)^D111)</f>
        <v/>
      </c>
      <c r="H111" s="233" t="str">
        <f ca="1">IF(OR(LEFT(E111,4)*1&lt;LEFT('General inputs'!$I$15,4)*1,LEFT(E111,4)*1&gt;LEFT('General inputs'!$I$15,4)+'General inputs'!$H$28-1),"",F111/(1+'General inputs'!$H$24)^D111)</f>
        <v/>
      </c>
      <c r="I111" s="103"/>
      <c r="J111" s="233" t="str">
        <f ca="1">IF(LEFT(E111,4)*1&gt;LEFT('General inputs'!$I$19,4)*1,"",SUMIF('Commissioned assets'!$F$17:$F$213,$E111,'Commissioned assets'!$P$17:$P$213))</f>
        <v/>
      </c>
      <c r="K111" s="233" t="str">
        <f ca="1">IF(J111="","",J111/(1+'General inputs'!$H$24)^D111)</f>
        <v/>
      </c>
      <c r="L111" s="233">
        <f ca="1">IF(LEFT(E111,4)*1&lt;LEFT('General inputs'!$I$19,4)*1+1,"",SUMIF('Uncommissioned assets'!$F$17:$F$213,$E111,'Uncommissioned assets'!$P$17:$P$213))</f>
        <v>0</v>
      </c>
      <c r="M111" s="233">
        <f ca="1">IF(L111="","",L111/(1+'General inputs'!$H$24)^D111)</f>
        <v>0</v>
      </c>
      <c r="N111" s="103"/>
      <c r="O111" s="123"/>
      <c r="P111" s="233" t="str">
        <f ca="1">IF(OR(LEFT(E111,4)*1&lt;LEFT('General inputs'!$I$15,4)*1,LEFT(E111,4)*1&gt;LEFT('General inputs'!$I$15,4)+'General inputs'!$H$28-1),"",O111/(1+'General inputs'!$H$24)^D111)</f>
        <v/>
      </c>
      <c r="Q111" s="103"/>
      <c r="R111" s="123"/>
      <c r="S111" s="233" t="str">
        <f ca="1">IF(OR(LEFT(E111,4)*1&lt;LEFT('General inputs'!$I$15,4)*1,LEFT(E111,4)*1&gt;LEFT('General inputs'!$I$15,4)+'General inputs'!$H$28-1),"",R111/(1+'General inputs'!$H$24)^D111)</f>
        <v/>
      </c>
      <c r="T111" s="105"/>
      <c r="U111" s="104"/>
    </row>
    <row r="112" spans="2:21" x14ac:dyDescent="0.25">
      <c r="B112" s="83"/>
      <c r="C112" s="104"/>
      <c r="D112" s="228">
        <f ca="1">IF(E112='General inputs'!$I$15,0,IF(E112&lt;'General inputs'!$I$15,D113-1,D111+1))</f>
        <v>69</v>
      </c>
      <c r="E112" s="228" t="str">
        <f ca="1">OFFSET('General inputs'!$L$16,MATCH('DC Calculations'!E111,'General inputs'!$L$17:$L$186,0)+1,0)</f>
        <v>2089-90</v>
      </c>
      <c r="F112" s="233" t="str">
        <f ca="1">IF(LEFT(E112,4)*1&gt;LEFT('General inputs'!$I$15,4)+'General inputs'!$H$28-1,"",IF(E112&lt;"2006-07",0,OFFSET('ET inputs'!$C$11,MATCH('DC Calculations'!E112,'ET inputs'!$C$12:$C$102,0),1)))</f>
        <v/>
      </c>
      <c r="G112" s="233" t="str">
        <f ca="1">IF(LEFT(E112,4)*1&gt;LEFT('General inputs'!$I$15,4)+'General inputs'!$H$28-1,"",F112/(1+'General inputs'!$H$24)^D112)</f>
        <v/>
      </c>
      <c r="H112" s="233" t="str">
        <f ca="1">IF(OR(LEFT(E112,4)*1&lt;LEFT('General inputs'!$I$15,4)*1,LEFT(E112,4)*1&gt;LEFT('General inputs'!$I$15,4)+'General inputs'!$H$28-1),"",F112/(1+'General inputs'!$H$24)^D112)</f>
        <v/>
      </c>
      <c r="I112" s="103"/>
      <c r="J112" s="233" t="str">
        <f ca="1">IF(LEFT(E112,4)*1&gt;LEFT('General inputs'!$I$19,4)*1,"",SUMIF('Commissioned assets'!$F$17:$F$213,$E112,'Commissioned assets'!$P$17:$P$213))</f>
        <v/>
      </c>
      <c r="K112" s="233" t="str">
        <f ca="1">IF(J112="","",J112/(1+'General inputs'!$H$24)^D112)</f>
        <v/>
      </c>
      <c r="L112" s="233">
        <f ca="1">IF(LEFT(E112,4)*1&lt;LEFT('General inputs'!$I$19,4)*1+1,"",SUMIF('Uncommissioned assets'!$F$17:$F$213,$E112,'Uncommissioned assets'!$P$17:$P$213))</f>
        <v>0</v>
      </c>
      <c r="M112" s="233">
        <f ca="1">IF(L112="","",L112/(1+'General inputs'!$H$24)^D112)</f>
        <v>0</v>
      </c>
      <c r="N112" s="103"/>
      <c r="O112" s="123"/>
      <c r="P112" s="233" t="str">
        <f ca="1">IF(OR(LEFT(E112,4)*1&lt;LEFT('General inputs'!$I$15,4)*1,LEFT(E112,4)*1&gt;LEFT('General inputs'!$I$15,4)+'General inputs'!$H$28-1),"",O112/(1+'General inputs'!$H$24)^D112)</f>
        <v/>
      </c>
      <c r="Q112" s="103"/>
      <c r="R112" s="123"/>
      <c r="S112" s="233" t="str">
        <f ca="1">IF(OR(LEFT(E112,4)*1&lt;LEFT('General inputs'!$I$15,4)*1,LEFT(E112,4)*1&gt;LEFT('General inputs'!$I$15,4)+'General inputs'!$H$28-1),"",R112/(1+'General inputs'!$H$24)^D112)</f>
        <v/>
      </c>
      <c r="T112" s="105"/>
      <c r="U112" s="104"/>
    </row>
    <row r="113" spans="2:21" x14ac:dyDescent="0.25">
      <c r="B113" s="83"/>
      <c r="C113" s="104"/>
      <c r="D113" s="228">
        <f ca="1">IF(E113='General inputs'!$I$15,0,IF(E113&lt;'General inputs'!$I$15,D114-1,D112+1))</f>
        <v>70</v>
      </c>
      <c r="E113" s="228" t="str">
        <f ca="1">OFFSET('General inputs'!$L$16,MATCH('DC Calculations'!E112,'General inputs'!$L$17:$L$186,0)+1,0)</f>
        <v>2090-91</v>
      </c>
      <c r="F113" s="233" t="str">
        <f ca="1">IF(LEFT(E113,4)*1&gt;LEFT('General inputs'!$I$15,4)+'General inputs'!$H$28-1,"",IF(E113&lt;"2006-07",0,OFFSET('ET inputs'!$C$11,MATCH('DC Calculations'!E113,'ET inputs'!$C$12:$C$102,0),1)))</f>
        <v/>
      </c>
      <c r="G113" s="233" t="str">
        <f ca="1">IF(LEFT(E113,4)*1&gt;LEFT('General inputs'!$I$15,4)+'General inputs'!$H$28-1,"",F113/(1+'General inputs'!$H$24)^D113)</f>
        <v/>
      </c>
      <c r="H113" s="233" t="str">
        <f ca="1">IF(OR(LEFT(E113,4)*1&lt;LEFT('General inputs'!$I$15,4)*1,LEFT(E113,4)*1&gt;LEFT('General inputs'!$I$15,4)+'General inputs'!$H$28-1),"",F113/(1+'General inputs'!$H$24)^D113)</f>
        <v/>
      </c>
      <c r="I113" s="103"/>
      <c r="J113" s="233" t="str">
        <f ca="1">IF(LEFT(E113,4)*1&gt;LEFT('General inputs'!$I$19,4)*1,"",SUMIF('Commissioned assets'!$F$17:$F$213,$E113,'Commissioned assets'!$P$17:$P$213))</f>
        <v/>
      </c>
      <c r="K113" s="233" t="str">
        <f ca="1">IF(J113="","",J113/(1+'General inputs'!$H$24)^D113)</f>
        <v/>
      </c>
      <c r="L113" s="233">
        <f ca="1">IF(LEFT(E113,4)*1&lt;LEFT('General inputs'!$I$19,4)*1+1,"",SUMIF('Uncommissioned assets'!$F$17:$F$213,$E113,'Uncommissioned assets'!$P$17:$P$213))</f>
        <v>0</v>
      </c>
      <c r="M113" s="233">
        <f ca="1">IF(L113="","",L113/(1+'General inputs'!$H$24)^D113)</f>
        <v>0</v>
      </c>
      <c r="N113" s="103"/>
      <c r="O113" s="123"/>
      <c r="P113" s="233" t="str">
        <f ca="1">IF(OR(LEFT(E113,4)*1&lt;LEFT('General inputs'!$I$15,4)*1,LEFT(E113,4)*1&gt;LEFT('General inputs'!$I$15,4)+'General inputs'!$H$28-1),"",O113/(1+'General inputs'!$H$24)^D113)</f>
        <v/>
      </c>
      <c r="Q113" s="103"/>
      <c r="R113" s="123"/>
      <c r="S113" s="233" t="str">
        <f ca="1">IF(OR(LEFT(E113,4)*1&lt;LEFT('General inputs'!$I$15,4)*1,LEFT(E113,4)*1&gt;LEFT('General inputs'!$I$15,4)+'General inputs'!$H$28-1),"",R113/(1+'General inputs'!$H$24)^D113)</f>
        <v/>
      </c>
      <c r="T113" s="105"/>
      <c r="U113" s="104"/>
    </row>
    <row r="114" spans="2:21" x14ac:dyDescent="0.25">
      <c r="B114" s="83"/>
      <c r="C114" s="104"/>
      <c r="D114" s="228">
        <f ca="1">IF(E114='General inputs'!$I$15,0,IF(E114&lt;'General inputs'!$I$15,D115-1,D113+1))</f>
        <v>71</v>
      </c>
      <c r="E114" s="228" t="str">
        <f ca="1">OFFSET('General inputs'!$L$16,MATCH('DC Calculations'!E113,'General inputs'!$L$17:$L$186,0)+1,0)</f>
        <v>2091-92</v>
      </c>
      <c r="F114" s="233" t="str">
        <f ca="1">IF(LEFT(E114,4)*1&gt;LEFT('General inputs'!$I$15,4)+'General inputs'!$H$28-1,"",IF(E114&lt;"2006-07",0,OFFSET('ET inputs'!$C$11,MATCH('DC Calculations'!E114,'ET inputs'!$C$12:$C$102,0),1)))</f>
        <v/>
      </c>
      <c r="G114" s="233" t="str">
        <f ca="1">IF(LEFT(E114,4)*1&gt;LEFT('General inputs'!$I$15,4)+'General inputs'!$H$28-1,"",F114/(1+'General inputs'!$H$24)^D114)</f>
        <v/>
      </c>
      <c r="H114" s="233" t="str">
        <f ca="1">IF(OR(LEFT(E114,4)*1&lt;LEFT('General inputs'!$I$15,4)*1,LEFT(E114,4)*1&gt;LEFT('General inputs'!$I$15,4)+'General inputs'!$H$28-1),"",F114/(1+'General inputs'!$H$24)^D114)</f>
        <v/>
      </c>
      <c r="I114" s="103"/>
      <c r="J114" s="233" t="str">
        <f ca="1">IF(LEFT(E114,4)*1&gt;LEFT('General inputs'!$I$19,4)*1,"",SUMIF('Commissioned assets'!$F$17:$F$213,$E114,'Commissioned assets'!$P$17:$P$213))</f>
        <v/>
      </c>
      <c r="K114" s="233" t="str">
        <f ca="1">IF(J114="","",J114/(1+'General inputs'!$H$24)^D114)</f>
        <v/>
      </c>
      <c r="L114" s="233">
        <f ca="1">IF(LEFT(E114,4)*1&lt;LEFT('General inputs'!$I$19,4)*1+1,"",SUMIF('Uncommissioned assets'!$F$17:$F$213,$E114,'Uncommissioned assets'!$P$17:$P$213))</f>
        <v>0</v>
      </c>
      <c r="M114" s="233">
        <f ca="1">IF(L114="","",L114/(1+'General inputs'!$H$24)^D114)</f>
        <v>0</v>
      </c>
      <c r="N114" s="103"/>
      <c r="O114" s="123"/>
      <c r="P114" s="233" t="str">
        <f ca="1">IF(OR(LEFT(E114,4)*1&lt;LEFT('General inputs'!$I$15,4)*1,LEFT(E114,4)*1&gt;LEFT('General inputs'!$I$15,4)+'General inputs'!$H$28-1),"",O114/(1+'General inputs'!$H$24)^D114)</f>
        <v/>
      </c>
      <c r="Q114" s="103"/>
      <c r="R114" s="123"/>
      <c r="S114" s="233" t="str">
        <f ca="1">IF(OR(LEFT(E114,4)*1&lt;LEFT('General inputs'!$I$15,4)*1,LEFT(E114,4)*1&gt;LEFT('General inputs'!$I$15,4)+'General inputs'!$H$28-1),"",R114/(1+'General inputs'!$H$24)^D114)</f>
        <v/>
      </c>
      <c r="T114" s="105"/>
      <c r="U114" s="104"/>
    </row>
    <row r="115" spans="2:21" x14ac:dyDescent="0.25">
      <c r="B115" s="83"/>
      <c r="C115" s="104"/>
      <c r="D115" s="228">
        <f ca="1">IF(E115='General inputs'!$I$15,0,IF(E115&lt;'General inputs'!$I$15,D116-1,D114+1))</f>
        <v>72</v>
      </c>
      <c r="E115" s="228" t="str">
        <f ca="1">OFFSET('General inputs'!$L$16,MATCH('DC Calculations'!E114,'General inputs'!$L$17:$L$186,0)+1,0)</f>
        <v>2092-93</v>
      </c>
      <c r="F115" s="233" t="str">
        <f ca="1">IF(LEFT(E115,4)*1&gt;LEFT('General inputs'!$I$15,4)+'General inputs'!$H$28-1,"",IF(E115&lt;"2006-07",0,OFFSET('ET inputs'!$C$11,MATCH('DC Calculations'!E115,'ET inputs'!$C$12:$C$102,0),1)))</f>
        <v/>
      </c>
      <c r="G115" s="233" t="str">
        <f ca="1">IF(LEFT(E115,4)*1&gt;LEFT('General inputs'!$I$15,4)+'General inputs'!$H$28-1,"",F115/(1+'General inputs'!$H$24)^D115)</f>
        <v/>
      </c>
      <c r="H115" s="233" t="str">
        <f ca="1">IF(OR(LEFT(E115,4)*1&lt;LEFT('General inputs'!$I$15,4)*1,LEFT(E115,4)*1&gt;LEFT('General inputs'!$I$15,4)+'General inputs'!$H$28-1),"",F115/(1+'General inputs'!$H$24)^D115)</f>
        <v/>
      </c>
      <c r="I115" s="103"/>
      <c r="J115" s="233" t="str">
        <f ca="1">IF(LEFT(E115,4)*1&gt;LEFT('General inputs'!$I$19,4)*1,"",SUMIF('Commissioned assets'!$F$17:$F$213,$E115,'Commissioned assets'!$P$17:$P$213))</f>
        <v/>
      </c>
      <c r="K115" s="233" t="str">
        <f ca="1">IF(J115="","",J115/(1+'General inputs'!$H$24)^D115)</f>
        <v/>
      </c>
      <c r="L115" s="233">
        <f ca="1">IF(LEFT(E115,4)*1&lt;LEFT('General inputs'!$I$19,4)*1+1,"",SUMIF('Uncommissioned assets'!$F$17:$F$213,$E115,'Uncommissioned assets'!$P$17:$P$213))</f>
        <v>0</v>
      </c>
      <c r="M115" s="233">
        <f ca="1">IF(L115="","",L115/(1+'General inputs'!$H$24)^D115)</f>
        <v>0</v>
      </c>
      <c r="N115" s="103"/>
      <c r="O115" s="123"/>
      <c r="P115" s="233" t="str">
        <f ca="1">IF(OR(LEFT(E115,4)*1&lt;LEFT('General inputs'!$I$15,4)*1,LEFT(E115,4)*1&gt;LEFT('General inputs'!$I$15,4)+'General inputs'!$H$28-1),"",O115/(1+'General inputs'!$H$24)^D115)</f>
        <v/>
      </c>
      <c r="Q115" s="103"/>
      <c r="R115" s="123"/>
      <c r="S115" s="233" t="str">
        <f ca="1">IF(OR(LEFT(E115,4)*1&lt;LEFT('General inputs'!$I$15,4)*1,LEFT(E115,4)*1&gt;LEFT('General inputs'!$I$15,4)+'General inputs'!$H$28-1),"",R115/(1+'General inputs'!$H$24)^D115)</f>
        <v/>
      </c>
      <c r="T115" s="105"/>
      <c r="U115" s="104"/>
    </row>
    <row r="116" spans="2:21" x14ac:dyDescent="0.25">
      <c r="B116" s="83"/>
      <c r="C116" s="104"/>
      <c r="D116" s="228">
        <f ca="1">IF(E116='General inputs'!$I$15,0,IF(E116&lt;'General inputs'!$I$15,D117-1,D115+1))</f>
        <v>73</v>
      </c>
      <c r="E116" s="228" t="str">
        <f ca="1">OFFSET('General inputs'!$L$16,MATCH('DC Calculations'!E115,'General inputs'!$L$17:$L$186,0)+1,0)</f>
        <v>2093-94</v>
      </c>
      <c r="F116" s="233" t="str">
        <f ca="1">IF(LEFT(E116,4)*1&gt;LEFT('General inputs'!$I$15,4)+'General inputs'!$H$28-1,"",IF(E116&lt;"2006-07",0,OFFSET('ET inputs'!$C$11,MATCH('DC Calculations'!E116,'ET inputs'!$C$12:$C$102,0),1)))</f>
        <v/>
      </c>
      <c r="G116" s="233" t="str">
        <f ca="1">IF(LEFT(E116,4)*1&gt;LEFT('General inputs'!$I$15,4)+'General inputs'!$H$28-1,"",F116/(1+'General inputs'!$H$24)^D116)</f>
        <v/>
      </c>
      <c r="H116" s="233" t="str">
        <f ca="1">IF(OR(LEFT(E116,4)*1&lt;LEFT('General inputs'!$I$15,4)*1,LEFT(E116,4)*1&gt;LEFT('General inputs'!$I$15,4)+'General inputs'!$H$28-1),"",F116/(1+'General inputs'!$H$24)^D116)</f>
        <v/>
      </c>
      <c r="I116" s="103"/>
      <c r="J116" s="233" t="str">
        <f ca="1">IF(LEFT(E116,4)*1&gt;LEFT('General inputs'!$I$19,4)*1,"",SUMIF('Commissioned assets'!$F$17:$F$213,$E116,'Commissioned assets'!$P$17:$P$213))</f>
        <v/>
      </c>
      <c r="K116" s="233" t="str">
        <f ca="1">IF(J116="","",J116/(1+'General inputs'!$H$24)^D116)</f>
        <v/>
      </c>
      <c r="L116" s="233">
        <f ca="1">IF(LEFT(E116,4)*1&lt;LEFT('General inputs'!$I$19,4)*1+1,"",SUMIF('Uncommissioned assets'!$F$17:$F$213,$E116,'Uncommissioned assets'!$P$17:$P$213))</f>
        <v>0</v>
      </c>
      <c r="M116" s="233">
        <f ca="1">IF(L116="","",L116/(1+'General inputs'!$H$24)^D116)</f>
        <v>0</v>
      </c>
      <c r="N116" s="103"/>
      <c r="O116" s="123"/>
      <c r="P116" s="233" t="str">
        <f ca="1">IF(OR(LEFT(E116,4)*1&lt;LEFT('General inputs'!$I$15,4)*1,LEFT(E116,4)*1&gt;LEFT('General inputs'!$I$15,4)+'General inputs'!$H$28-1),"",O116/(1+'General inputs'!$H$24)^D116)</f>
        <v/>
      </c>
      <c r="Q116" s="103"/>
      <c r="R116" s="123"/>
      <c r="S116" s="233" t="str">
        <f ca="1">IF(OR(LEFT(E116,4)*1&lt;LEFT('General inputs'!$I$15,4)*1,LEFT(E116,4)*1&gt;LEFT('General inputs'!$I$15,4)+'General inputs'!$H$28-1),"",R116/(1+'General inputs'!$H$24)^D116)</f>
        <v/>
      </c>
      <c r="T116" s="105"/>
      <c r="U116" s="104"/>
    </row>
    <row r="117" spans="2:21" x14ac:dyDescent="0.25">
      <c r="B117" s="83"/>
      <c r="C117" s="104"/>
      <c r="D117" s="228">
        <f ca="1">IF(E117='General inputs'!$I$15,0,IF(E117&lt;'General inputs'!$I$15,D118-1,D116+1))</f>
        <v>74</v>
      </c>
      <c r="E117" s="228" t="str">
        <f ca="1">OFFSET('General inputs'!$L$16,MATCH('DC Calculations'!E116,'General inputs'!$L$17:$L$186,0)+1,0)</f>
        <v>2094-95</v>
      </c>
      <c r="F117" s="233" t="str">
        <f ca="1">IF(LEFT(E117,4)*1&gt;LEFT('General inputs'!$I$15,4)+'General inputs'!$H$28-1,"",IF(E117&lt;"2006-07",0,OFFSET('ET inputs'!$C$11,MATCH('DC Calculations'!E117,'ET inputs'!$C$12:$C$102,0),1)))</f>
        <v/>
      </c>
      <c r="G117" s="233" t="str">
        <f ca="1">IF(LEFT(E117,4)*1&gt;LEFT('General inputs'!$I$15,4)+'General inputs'!$H$28-1,"",F117/(1+'General inputs'!$H$24)^D117)</f>
        <v/>
      </c>
      <c r="H117" s="233" t="str">
        <f ca="1">IF(OR(LEFT(E117,4)*1&lt;LEFT('General inputs'!$I$15,4)*1,LEFT(E117,4)*1&gt;LEFT('General inputs'!$I$15,4)+'General inputs'!$H$28-1),"",F117/(1+'General inputs'!$H$24)^D117)</f>
        <v/>
      </c>
      <c r="I117" s="103"/>
      <c r="J117" s="233" t="str">
        <f ca="1">IF(LEFT(E117,4)*1&gt;LEFT('General inputs'!$I$19,4)*1,"",SUMIF('Commissioned assets'!$F$17:$F$213,$E117,'Commissioned assets'!$P$17:$P$213))</f>
        <v/>
      </c>
      <c r="K117" s="233" t="str">
        <f ca="1">IF(J117="","",J117/(1+'General inputs'!$H$24)^D117)</f>
        <v/>
      </c>
      <c r="L117" s="233">
        <f ca="1">IF(LEFT(E117,4)*1&lt;LEFT('General inputs'!$I$19,4)*1+1,"",SUMIF('Uncommissioned assets'!$F$17:$F$213,$E117,'Uncommissioned assets'!$P$17:$P$213))</f>
        <v>0</v>
      </c>
      <c r="M117" s="233">
        <f ca="1">IF(L117="","",L117/(1+'General inputs'!$H$24)^D117)</f>
        <v>0</v>
      </c>
      <c r="N117" s="103"/>
      <c r="O117" s="123"/>
      <c r="P117" s="233" t="str">
        <f ca="1">IF(OR(LEFT(E117,4)*1&lt;LEFT('General inputs'!$I$15,4)*1,LEFT(E117,4)*1&gt;LEFT('General inputs'!$I$15,4)+'General inputs'!$H$28-1),"",O117/(1+'General inputs'!$H$24)^D117)</f>
        <v/>
      </c>
      <c r="Q117" s="103"/>
      <c r="R117" s="123"/>
      <c r="S117" s="233" t="str">
        <f ca="1">IF(OR(LEFT(E117,4)*1&lt;LEFT('General inputs'!$I$15,4)*1,LEFT(E117,4)*1&gt;LEFT('General inputs'!$I$15,4)+'General inputs'!$H$28-1),"",R117/(1+'General inputs'!$H$24)^D117)</f>
        <v/>
      </c>
      <c r="T117" s="105"/>
      <c r="U117" s="104"/>
    </row>
    <row r="118" spans="2:21" x14ac:dyDescent="0.25">
      <c r="B118" s="83"/>
      <c r="C118" s="104"/>
      <c r="D118" s="228">
        <f ca="1">IF(E118='General inputs'!$I$15,0,IF(E118&lt;'General inputs'!$I$15,D119-1,D117+1))</f>
        <v>75</v>
      </c>
      <c r="E118" s="228" t="str">
        <f ca="1">OFFSET('General inputs'!$L$16,MATCH('DC Calculations'!E117,'General inputs'!$L$17:$L$186,0)+1,0)</f>
        <v>2095-96</v>
      </c>
      <c r="F118" s="233" t="str">
        <f ca="1">IF(LEFT(E118,4)*1&gt;LEFT('General inputs'!$I$15,4)+'General inputs'!$H$28-1,"",IF(E118&lt;"2006-07",0,OFFSET('ET inputs'!$C$11,MATCH('DC Calculations'!E118,'ET inputs'!$C$12:$C$102,0),1)))</f>
        <v/>
      </c>
      <c r="G118" s="233" t="str">
        <f ca="1">IF(LEFT(E118,4)*1&gt;LEFT('General inputs'!$I$15,4)+'General inputs'!$H$28-1,"",F118/(1+'General inputs'!$H$24)^D118)</f>
        <v/>
      </c>
      <c r="H118" s="233" t="str">
        <f ca="1">IF(OR(LEFT(E118,4)*1&lt;LEFT('General inputs'!$I$15,4)*1,LEFT(E118,4)*1&gt;LEFT('General inputs'!$I$15,4)+'General inputs'!$H$28-1),"",F118/(1+'General inputs'!$H$24)^D118)</f>
        <v/>
      </c>
      <c r="I118" s="103"/>
      <c r="J118" s="233" t="str">
        <f ca="1">IF(LEFT(E118,4)*1&gt;LEFT('General inputs'!$I$19,4)*1,"",SUMIF('Commissioned assets'!$F$17:$F$213,$E118,'Commissioned assets'!$P$17:$P$213))</f>
        <v/>
      </c>
      <c r="K118" s="233" t="str">
        <f ca="1">IF(J118="","",J118/(1+'General inputs'!$H$24)^D118)</f>
        <v/>
      </c>
      <c r="L118" s="233">
        <f ca="1">IF(LEFT(E118,4)*1&lt;LEFT('General inputs'!$I$19,4)*1+1,"",SUMIF('Uncommissioned assets'!$F$17:$F$213,$E118,'Uncommissioned assets'!$P$17:$P$213))</f>
        <v>0</v>
      </c>
      <c r="M118" s="233">
        <f ca="1">IF(L118="","",L118/(1+'General inputs'!$H$24)^D118)</f>
        <v>0</v>
      </c>
      <c r="N118" s="103"/>
      <c r="O118" s="123"/>
      <c r="P118" s="233" t="str">
        <f ca="1">IF(OR(LEFT(E118,4)*1&lt;LEFT('General inputs'!$I$15,4)*1,LEFT(E118,4)*1&gt;LEFT('General inputs'!$I$15,4)+'General inputs'!$H$28-1),"",O118/(1+'General inputs'!$H$24)^D118)</f>
        <v/>
      </c>
      <c r="Q118" s="103"/>
      <c r="R118" s="123"/>
      <c r="S118" s="233" t="str">
        <f ca="1">IF(OR(LEFT(E118,4)*1&lt;LEFT('General inputs'!$I$15,4)*1,LEFT(E118,4)*1&gt;LEFT('General inputs'!$I$15,4)+'General inputs'!$H$28-1),"",R118/(1+'General inputs'!$H$24)^D118)</f>
        <v/>
      </c>
      <c r="T118" s="105"/>
      <c r="U118" s="104"/>
    </row>
    <row r="119" spans="2:21" x14ac:dyDescent="0.25">
      <c r="B119" s="83"/>
      <c r="C119" s="104"/>
      <c r="D119" s="228">
        <f ca="1">IF(E119='General inputs'!$I$15,0,IF(E119&lt;'General inputs'!$I$15,D120-1,D118+1))</f>
        <v>76</v>
      </c>
      <c r="E119" s="228" t="str">
        <f ca="1">OFFSET('General inputs'!$L$16,MATCH('DC Calculations'!E118,'General inputs'!$L$17:$L$186,0)+1,0)</f>
        <v>2096-97</v>
      </c>
      <c r="F119" s="233" t="str">
        <f ca="1">IF(LEFT(E119,4)*1&gt;LEFT('General inputs'!$I$15,4)+'General inputs'!$H$28-1,"",IF(E119&lt;"2006-07",0,OFFSET('ET inputs'!$C$11,MATCH('DC Calculations'!E119,'ET inputs'!$C$12:$C$102,0),1)))</f>
        <v/>
      </c>
      <c r="G119" s="233" t="str">
        <f ca="1">IF(LEFT(E119,4)*1&gt;LEFT('General inputs'!$I$15,4)+'General inputs'!$H$28-1,"",F119/(1+'General inputs'!$H$24)^D119)</f>
        <v/>
      </c>
      <c r="H119" s="233" t="str">
        <f ca="1">IF(OR(LEFT(E119,4)*1&lt;LEFT('General inputs'!$I$15,4)*1,LEFT(E119,4)*1&gt;LEFT('General inputs'!$I$15,4)+'General inputs'!$H$28-1),"",F119/(1+'General inputs'!$H$24)^D119)</f>
        <v/>
      </c>
      <c r="I119" s="103"/>
      <c r="J119" s="233" t="str">
        <f ca="1">IF(LEFT(E119,4)*1&gt;LEFT('General inputs'!$I$19,4)*1,"",SUMIF('Commissioned assets'!$F$17:$F$213,$E119,'Commissioned assets'!$P$17:$P$213))</f>
        <v/>
      </c>
      <c r="K119" s="233" t="str">
        <f ca="1">IF(J119="","",J119/(1+'General inputs'!$H$24)^D119)</f>
        <v/>
      </c>
      <c r="L119" s="233">
        <f ca="1">IF(LEFT(E119,4)*1&lt;LEFT('General inputs'!$I$19,4)*1+1,"",SUMIF('Uncommissioned assets'!$F$17:$F$213,$E119,'Uncommissioned assets'!$P$17:$P$213))</f>
        <v>0</v>
      </c>
      <c r="M119" s="233">
        <f ca="1">IF(L119="","",L119/(1+'General inputs'!$H$24)^D119)</f>
        <v>0</v>
      </c>
      <c r="N119" s="103"/>
      <c r="O119" s="123"/>
      <c r="P119" s="233" t="str">
        <f ca="1">IF(OR(LEFT(E119,4)*1&lt;LEFT('General inputs'!$I$15,4)*1,LEFT(E119,4)*1&gt;LEFT('General inputs'!$I$15,4)+'General inputs'!$H$28-1),"",O119/(1+'General inputs'!$H$24)^D119)</f>
        <v/>
      </c>
      <c r="Q119" s="103"/>
      <c r="R119" s="123"/>
      <c r="S119" s="233" t="str">
        <f ca="1">IF(OR(LEFT(E119,4)*1&lt;LEFT('General inputs'!$I$15,4)*1,LEFT(E119,4)*1&gt;LEFT('General inputs'!$I$15,4)+'General inputs'!$H$28-1),"",R119/(1+'General inputs'!$H$24)^D119)</f>
        <v/>
      </c>
      <c r="T119" s="105"/>
      <c r="U119" s="104"/>
    </row>
    <row r="120" spans="2:21" x14ac:dyDescent="0.25">
      <c r="B120" s="83"/>
      <c r="C120" s="104"/>
      <c r="D120" s="228">
        <f ca="1">IF(E120='General inputs'!$I$15,0,IF(E120&lt;'General inputs'!$I$15,D121-1,D119+1))</f>
        <v>77</v>
      </c>
      <c r="E120" s="228" t="str">
        <f ca="1">OFFSET('General inputs'!$L$16,MATCH('DC Calculations'!E119,'General inputs'!$L$17:$L$186,0)+1,0)</f>
        <v>2097-98</v>
      </c>
      <c r="F120" s="233" t="str">
        <f ca="1">IF(LEFT(E120,4)*1&gt;LEFT('General inputs'!$I$15,4)+'General inputs'!$H$28-1,"",IF(E120&lt;"2006-07",0,OFFSET('ET inputs'!$C$11,MATCH('DC Calculations'!E120,'ET inputs'!$C$12:$C$102,0),1)))</f>
        <v/>
      </c>
      <c r="G120" s="233" t="str">
        <f ca="1">IF(LEFT(E120,4)*1&gt;LEFT('General inputs'!$I$15,4)+'General inputs'!$H$28-1,"",F120/(1+'General inputs'!$H$24)^D120)</f>
        <v/>
      </c>
      <c r="H120" s="233" t="str">
        <f ca="1">IF(OR(LEFT(E120,4)*1&lt;LEFT('General inputs'!$I$15,4)*1,LEFT(E120,4)*1&gt;LEFT('General inputs'!$I$15,4)+'General inputs'!$H$28-1),"",F120/(1+'General inputs'!$H$24)^D120)</f>
        <v/>
      </c>
      <c r="I120" s="103"/>
      <c r="J120" s="233" t="str">
        <f ca="1">IF(LEFT(E120,4)*1&gt;LEFT('General inputs'!$I$19,4)*1,"",SUMIF('Commissioned assets'!$F$17:$F$213,$E120,'Commissioned assets'!$P$17:$P$213))</f>
        <v/>
      </c>
      <c r="K120" s="233" t="str">
        <f ca="1">IF(J120="","",J120/(1+'General inputs'!$H$24)^D120)</f>
        <v/>
      </c>
      <c r="L120" s="233">
        <f ca="1">IF(LEFT(E120,4)*1&lt;LEFT('General inputs'!$I$19,4)*1+1,"",SUMIF('Uncommissioned assets'!$F$17:$F$213,$E120,'Uncommissioned assets'!$P$17:$P$213))</f>
        <v>0</v>
      </c>
      <c r="M120" s="233">
        <f ca="1">IF(L120="","",L120/(1+'General inputs'!$H$24)^D120)</f>
        <v>0</v>
      </c>
      <c r="N120" s="103"/>
      <c r="O120" s="123"/>
      <c r="P120" s="233" t="str">
        <f ca="1">IF(OR(LEFT(E120,4)*1&lt;LEFT('General inputs'!$I$15,4)*1,LEFT(E120,4)*1&gt;LEFT('General inputs'!$I$15,4)+'General inputs'!$H$28-1),"",O120/(1+'General inputs'!$H$24)^D120)</f>
        <v/>
      </c>
      <c r="Q120" s="103"/>
      <c r="R120" s="123"/>
      <c r="S120" s="233" t="str">
        <f ca="1">IF(OR(LEFT(E120,4)*1&lt;LEFT('General inputs'!$I$15,4)*1,LEFT(E120,4)*1&gt;LEFT('General inputs'!$I$15,4)+'General inputs'!$H$28-1),"",R120/(1+'General inputs'!$H$24)^D120)</f>
        <v/>
      </c>
      <c r="T120" s="105"/>
      <c r="U120" s="104"/>
    </row>
    <row r="121" spans="2:21" x14ac:dyDescent="0.25">
      <c r="B121" s="83"/>
      <c r="C121" s="104"/>
      <c r="D121" s="228">
        <f ca="1">IF(E121='General inputs'!$I$15,0,IF(E121&lt;'General inputs'!$I$15,D122-1,D120+1))</f>
        <v>78</v>
      </c>
      <c r="E121" s="228" t="str">
        <f ca="1">OFFSET('General inputs'!$L$16,MATCH('DC Calculations'!E120,'General inputs'!$L$17:$L$186,0)+1,0)</f>
        <v>2098-99</v>
      </c>
      <c r="F121" s="233" t="str">
        <f ca="1">IF(LEFT(E121,4)*1&gt;LEFT('General inputs'!$I$15,4)+'General inputs'!$H$28-1,"",IF(E121&lt;"2006-07",0,OFFSET('ET inputs'!$C$11,MATCH('DC Calculations'!E121,'ET inputs'!$C$12:$C$102,0),1)))</f>
        <v/>
      </c>
      <c r="G121" s="233" t="str">
        <f ca="1">IF(LEFT(E121,4)*1&gt;LEFT('General inputs'!$I$15,4)+'General inputs'!$H$28-1,"",F121/(1+'General inputs'!$H$24)^D121)</f>
        <v/>
      </c>
      <c r="H121" s="233" t="str">
        <f ca="1">IF(OR(LEFT(E121,4)*1&lt;LEFT('General inputs'!$I$15,4)*1,LEFT(E121,4)*1&gt;LEFT('General inputs'!$I$15,4)+'General inputs'!$H$28-1),"",F121/(1+'General inputs'!$H$24)^D121)</f>
        <v/>
      </c>
      <c r="I121" s="103"/>
      <c r="J121" s="233" t="str">
        <f ca="1">IF(LEFT(E121,4)*1&gt;LEFT('General inputs'!$I$19,4)*1,"",SUMIF('Commissioned assets'!$F$17:$F$213,$E121,'Commissioned assets'!$P$17:$P$213))</f>
        <v/>
      </c>
      <c r="K121" s="233" t="str">
        <f ca="1">IF(J121="","",J121/(1+'General inputs'!$H$24)^D121)</f>
        <v/>
      </c>
      <c r="L121" s="233">
        <f ca="1">IF(LEFT(E121,4)*1&lt;LEFT('General inputs'!$I$19,4)*1+1,"",SUMIF('Uncommissioned assets'!$F$17:$F$213,$E121,'Uncommissioned assets'!$P$17:$P$213))</f>
        <v>0</v>
      </c>
      <c r="M121" s="233">
        <f ca="1">IF(L121="","",L121/(1+'General inputs'!$H$24)^D121)</f>
        <v>0</v>
      </c>
      <c r="N121" s="103"/>
      <c r="O121" s="123"/>
      <c r="P121" s="233" t="str">
        <f ca="1">IF(OR(LEFT(E121,4)*1&lt;LEFT('General inputs'!$I$15,4)*1,LEFT(E121,4)*1&gt;LEFT('General inputs'!$I$15,4)+'General inputs'!$H$28-1),"",O121/(1+'General inputs'!$H$24)^D121)</f>
        <v/>
      </c>
      <c r="Q121" s="103"/>
      <c r="R121" s="123"/>
      <c r="S121" s="233" t="str">
        <f ca="1">IF(OR(LEFT(E121,4)*1&lt;LEFT('General inputs'!$I$15,4)*1,LEFT(E121,4)*1&gt;LEFT('General inputs'!$I$15,4)+'General inputs'!$H$28-1),"",R121/(1+'General inputs'!$H$24)^D121)</f>
        <v/>
      </c>
      <c r="T121" s="105"/>
      <c r="U121" s="104"/>
    </row>
    <row r="122" spans="2:21" x14ac:dyDescent="0.25">
      <c r="B122" s="83"/>
      <c r="C122" s="104"/>
      <c r="D122" s="228">
        <f ca="1">IF(E122='General inputs'!$I$15,0,IF(E122&lt;'General inputs'!$I$15,D123-1,D121+1))</f>
        <v>79</v>
      </c>
      <c r="E122" s="228" t="str">
        <f ca="1">OFFSET('General inputs'!$L$16,MATCH('DC Calculations'!E121,'General inputs'!$L$17:$L$186,0)+1,0)</f>
        <v>2099-00</v>
      </c>
      <c r="F122" s="233" t="str">
        <f ca="1">IF(LEFT(E122,4)*1&gt;LEFT('General inputs'!$I$15,4)+'General inputs'!$H$28-1,"",IF(E122&lt;"2006-07",0,OFFSET('ET inputs'!$C$11,MATCH('DC Calculations'!E122,'ET inputs'!$C$12:$C$102,0),1)))</f>
        <v/>
      </c>
      <c r="G122" s="233" t="str">
        <f ca="1">IF(LEFT(E122,4)*1&gt;LEFT('General inputs'!$I$15,4)+'General inputs'!$H$28-1,"",F122/(1+'General inputs'!$H$24)^D122)</f>
        <v/>
      </c>
      <c r="H122" s="233" t="str">
        <f ca="1">IF(OR(LEFT(E122,4)*1&lt;LEFT('General inputs'!$I$15,4)*1,LEFT(E122,4)*1&gt;LEFT('General inputs'!$I$15,4)+'General inputs'!$H$28-1),"",F122/(1+'General inputs'!$H$24)^D122)</f>
        <v/>
      </c>
      <c r="I122" s="103"/>
      <c r="J122" s="233" t="str">
        <f ca="1">IF(LEFT(E122,4)*1&gt;LEFT('General inputs'!$I$19,4)*1,"",SUMIF('Commissioned assets'!$F$17:$F$213,$E122,'Commissioned assets'!$P$17:$P$213))</f>
        <v/>
      </c>
      <c r="K122" s="233" t="str">
        <f ca="1">IF(J122="","",J122/(1+'General inputs'!$H$24)^D122)</f>
        <v/>
      </c>
      <c r="L122" s="233">
        <f ca="1">IF(LEFT(E122,4)*1&lt;LEFT('General inputs'!$I$19,4)*1+1,"",SUMIF('Uncommissioned assets'!$F$17:$F$213,$E122,'Uncommissioned assets'!$P$17:$P$213))</f>
        <v>0</v>
      </c>
      <c r="M122" s="233">
        <f ca="1">IF(L122="","",L122/(1+'General inputs'!$H$24)^D122)</f>
        <v>0</v>
      </c>
      <c r="N122" s="103"/>
      <c r="O122" s="123"/>
      <c r="P122" s="233" t="str">
        <f ca="1">IF(OR(LEFT(E122,4)*1&lt;LEFT('General inputs'!$I$15,4)*1,LEFT(E122,4)*1&gt;LEFT('General inputs'!$I$15,4)+'General inputs'!$H$28-1),"",O122/(1+'General inputs'!$H$24)^D122)</f>
        <v/>
      </c>
      <c r="Q122" s="103"/>
      <c r="R122" s="123"/>
      <c r="S122" s="233" t="str">
        <f ca="1">IF(OR(LEFT(E122,4)*1&lt;LEFT('General inputs'!$I$15,4)*1,LEFT(E122,4)*1&gt;LEFT('General inputs'!$I$15,4)+'General inputs'!$H$28-1),"",R122/(1+'General inputs'!$H$24)^D122)</f>
        <v/>
      </c>
      <c r="T122" s="105"/>
      <c r="U122" s="104"/>
    </row>
    <row r="123" spans="2:21" x14ac:dyDescent="0.25">
      <c r="B123" s="83"/>
      <c r="C123" s="104"/>
      <c r="D123" s="228">
        <f ca="1">IF(E123='General inputs'!$I$15,0,IF(E123&lt;'General inputs'!$I$15,D124-1,D122+1))</f>
        <v>80</v>
      </c>
      <c r="E123" s="228" t="str">
        <f ca="1">OFFSET('General inputs'!$L$16,MATCH('DC Calculations'!E122,'General inputs'!$L$17:$L$186,0)+1,0)</f>
        <v>2100-01</v>
      </c>
      <c r="F123" s="233" t="str">
        <f ca="1">IF(LEFT(E123,4)*1&gt;LEFT('General inputs'!$I$15,4)+'General inputs'!$H$28-1,"",IF(E123&lt;"2006-07",0,OFFSET('ET inputs'!$C$11,MATCH('DC Calculations'!E123,'ET inputs'!$C$12:$C$102,0),1)))</f>
        <v/>
      </c>
      <c r="G123" s="233" t="str">
        <f ca="1">IF(LEFT(E123,4)*1&gt;LEFT('General inputs'!$I$15,4)+'General inputs'!$H$28-1,"",F123/(1+'General inputs'!$H$24)^D123)</f>
        <v/>
      </c>
      <c r="H123" s="233" t="str">
        <f ca="1">IF(OR(LEFT(E123,4)*1&lt;LEFT('General inputs'!$I$15,4)*1,LEFT(E123,4)*1&gt;LEFT('General inputs'!$I$15,4)+'General inputs'!$H$28-1),"",F123/(1+'General inputs'!$H$24)^D123)</f>
        <v/>
      </c>
      <c r="I123" s="103"/>
      <c r="J123" s="233" t="str">
        <f ca="1">IF(LEFT(E123,4)*1&gt;LEFT('General inputs'!$I$19,4)*1,"",SUMIF('Commissioned assets'!$F$17:$F$213,$E123,'Commissioned assets'!$P$17:$P$213))</f>
        <v/>
      </c>
      <c r="K123" s="233" t="str">
        <f ca="1">IF(J123="","",J123/(1+'General inputs'!$H$24)^D123)</f>
        <v/>
      </c>
      <c r="L123" s="233">
        <f ca="1">IF(LEFT(E123,4)*1&lt;LEFT('General inputs'!$I$19,4)*1+1,"",SUMIF('Uncommissioned assets'!$F$17:$F$213,$E123,'Uncommissioned assets'!$P$17:$P$213))</f>
        <v>0</v>
      </c>
      <c r="M123" s="233">
        <f ca="1">IF(L123="","",L123/(1+'General inputs'!$H$24)^D123)</f>
        <v>0</v>
      </c>
      <c r="N123" s="103"/>
      <c r="O123" s="123"/>
      <c r="P123" s="233" t="str">
        <f ca="1">IF(OR(LEFT(E123,4)*1&lt;LEFT('General inputs'!$I$15,4)*1,LEFT(E123,4)*1&gt;LEFT('General inputs'!$I$15,4)+'General inputs'!$H$28-1),"",O123/(1+'General inputs'!$H$24)^D123)</f>
        <v/>
      </c>
      <c r="Q123" s="103"/>
      <c r="R123" s="123"/>
      <c r="S123" s="233" t="str">
        <f ca="1">IF(OR(LEFT(E123,4)*1&lt;LEFT('General inputs'!$I$15,4)*1,LEFT(E123,4)*1&gt;LEFT('General inputs'!$I$15,4)+'General inputs'!$H$28-1),"",R123/(1+'General inputs'!$H$24)^D123)</f>
        <v/>
      </c>
      <c r="T123" s="105"/>
      <c r="U123" s="104"/>
    </row>
    <row r="124" spans="2:21" x14ac:dyDescent="0.25">
      <c r="B124" s="83"/>
      <c r="C124" s="104"/>
      <c r="D124" s="228">
        <f ca="1">IF(E124='General inputs'!$I$15,0,IF(E124&lt;'General inputs'!$I$15,D125-1,D123+1))</f>
        <v>81</v>
      </c>
      <c r="E124" s="228" t="str">
        <f ca="1">OFFSET('General inputs'!$L$16,MATCH('DC Calculations'!E123,'General inputs'!$L$17:$L$186,0)+1,0)</f>
        <v>2101-02</v>
      </c>
      <c r="F124" s="233" t="str">
        <f ca="1">IF(LEFT(E124,4)*1&gt;LEFT('General inputs'!$I$15,4)+'General inputs'!$H$28-1,"",IF(E124&lt;"2006-07",0,OFFSET('ET inputs'!$C$11,MATCH('DC Calculations'!E124,'ET inputs'!$C$12:$C$102,0),1)))</f>
        <v/>
      </c>
      <c r="G124" s="233" t="str">
        <f ca="1">IF(LEFT(E124,4)*1&gt;LEFT('General inputs'!$I$15,4)+'General inputs'!$H$28-1,"",F124/(1+'General inputs'!$H$24)^D124)</f>
        <v/>
      </c>
      <c r="H124" s="233" t="str">
        <f ca="1">IF(OR(LEFT(E124,4)*1&lt;LEFT('General inputs'!$I$15,4)*1,LEFT(E124,4)*1&gt;LEFT('General inputs'!$I$15,4)+'General inputs'!$H$28-1),"",F124/(1+'General inputs'!$H$24)^D124)</f>
        <v/>
      </c>
      <c r="I124" s="103"/>
      <c r="J124" s="233" t="str">
        <f ca="1">IF(LEFT(E124,4)*1&gt;LEFT('General inputs'!$I$19,4)*1,"",SUMIF('Commissioned assets'!$F$17:$F$213,$E124,'Commissioned assets'!$P$17:$P$213))</f>
        <v/>
      </c>
      <c r="K124" s="233" t="str">
        <f ca="1">IF(J124="","",J124/(1+'General inputs'!$H$24)^D124)</f>
        <v/>
      </c>
      <c r="L124" s="233">
        <f ca="1">IF(LEFT(E124,4)*1&lt;LEFT('General inputs'!$I$19,4)*1+1,"",SUMIF('Uncommissioned assets'!$F$17:$F$213,$E124,'Uncommissioned assets'!$P$17:$P$213))</f>
        <v>0</v>
      </c>
      <c r="M124" s="233">
        <f ca="1">IF(L124="","",L124/(1+'General inputs'!$H$24)^D124)</f>
        <v>0</v>
      </c>
      <c r="N124" s="103"/>
      <c r="O124" s="123"/>
      <c r="P124" s="233" t="str">
        <f ca="1">IF(OR(LEFT(E124,4)*1&lt;LEFT('General inputs'!$I$15,4)*1,LEFT(E124,4)*1&gt;LEFT('General inputs'!$I$15,4)+'General inputs'!$H$28-1),"",O124/(1+'General inputs'!$H$24)^D124)</f>
        <v/>
      </c>
      <c r="Q124" s="103"/>
      <c r="R124" s="123"/>
      <c r="S124" s="233" t="str">
        <f ca="1">IF(OR(LEFT(E124,4)*1&lt;LEFT('General inputs'!$I$15,4)*1,LEFT(E124,4)*1&gt;LEFT('General inputs'!$I$15,4)+'General inputs'!$H$28-1),"",R124/(1+'General inputs'!$H$24)^D124)</f>
        <v/>
      </c>
      <c r="T124" s="105"/>
      <c r="U124" s="104"/>
    </row>
    <row r="125" spans="2:21" x14ac:dyDescent="0.25">
      <c r="B125" s="83"/>
      <c r="C125" s="104"/>
      <c r="D125" s="228">
        <f ca="1">IF(E125='General inputs'!$I$15,0,IF(E125&lt;'General inputs'!$I$15,D126-1,D124+1))</f>
        <v>82</v>
      </c>
      <c r="E125" s="228" t="str">
        <f ca="1">OFFSET('General inputs'!$L$16,MATCH('DC Calculations'!E124,'General inputs'!$L$17:$L$186,0)+1,0)</f>
        <v>2102-03</v>
      </c>
      <c r="F125" s="233" t="str">
        <f ca="1">IF(LEFT(E125,4)*1&gt;LEFT('General inputs'!$I$15,4)+'General inputs'!$H$28-1,"",IF(E125&lt;"2006-07",0,OFFSET('ET inputs'!$C$11,MATCH('DC Calculations'!E125,'ET inputs'!$C$12:$C$102,0),1)))</f>
        <v/>
      </c>
      <c r="G125" s="233" t="str">
        <f ca="1">IF(LEFT(E125,4)*1&gt;LEFT('General inputs'!$I$15,4)+'General inputs'!$H$28-1,"",F125/(1+'General inputs'!$H$24)^D125)</f>
        <v/>
      </c>
      <c r="H125" s="233" t="str">
        <f ca="1">IF(OR(LEFT(E125,4)*1&lt;LEFT('General inputs'!$I$15,4)*1,LEFT(E125,4)*1&gt;LEFT('General inputs'!$I$15,4)+'General inputs'!$H$28-1),"",F125/(1+'General inputs'!$H$24)^D125)</f>
        <v/>
      </c>
      <c r="I125" s="103"/>
      <c r="J125" s="233" t="str">
        <f ca="1">IF(LEFT(E125,4)*1&gt;LEFT('General inputs'!$I$19,4)*1,"",SUMIF('Commissioned assets'!$F$17:$F$213,$E125,'Commissioned assets'!$P$17:$P$213))</f>
        <v/>
      </c>
      <c r="K125" s="233" t="str">
        <f ca="1">IF(J125="","",J125/(1+'General inputs'!$H$24)^D125)</f>
        <v/>
      </c>
      <c r="L125" s="233">
        <f ca="1">IF(LEFT(E125,4)*1&lt;LEFT('General inputs'!$I$19,4)*1+1,"",SUMIF('Uncommissioned assets'!$F$17:$F$213,$E125,'Uncommissioned assets'!$P$17:$P$213))</f>
        <v>0</v>
      </c>
      <c r="M125" s="233">
        <f ca="1">IF(L125="","",L125/(1+'General inputs'!$H$24)^D125)</f>
        <v>0</v>
      </c>
      <c r="N125" s="103"/>
      <c r="O125" s="123"/>
      <c r="P125" s="233" t="str">
        <f ca="1">IF(OR(LEFT(E125,4)*1&lt;LEFT('General inputs'!$I$15,4)*1,LEFT(E125,4)*1&gt;LEFT('General inputs'!$I$15,4)+'General inputs'!$H$28-1),"",O125/(1+'General inputs'!$H$24)^D125)</f>
        <v/>
      </c>
      <c r="Q125" s="103"/>
      <c r="R125" s="123"/>
      <c r="S125" s="233" t="str">
        <f ca="1">IF(OR(LEFT(E125,4)*1&lt;LEFT('General inputs'!$I$15,4)*1,LEFT(E125,4)*1&gt;LEFT('General inputs'!$I$15,4)+'General inputs'!$H$28-1),"",R125/(1+'General inputs'!$H$24)^D125)</f>
        <v/>
      </c>
      <c r="T125" s="105"/>
      <c r="U125" s="104"/>
    </row>
    <row r="126" spans="2:21" x14ac:dyDescent="0.25">
      <c r="B126" s="83"/>
      <c r="C126" s="104"/>
      <c r="D126" s="228">
        <f ca="1">IF(E126='General inputs'!$I$15,0,IF(E126&lt;'General inputs'!$I$15,D127-1,D125+1))</f>
        <v>83</v>
      </c>
      <c r="E126" s="228" t="str">
        <f ca="1">OFFSET('General inputs'!$L$16,MATCH('DC Calculations'!E125,'General inputs'!$L$17:$L$186,0)+1,0)</f>
        <v>2103-04</v>
      </c>
      <c r="F126" s="233" t="str">
        <f ca="1">IF(LEFT(E126,4)*1&gt;LEFT('General inputs'!$I$15,4)+'General inputs'!$H$28-1,"",IF(E126&lt;"2006-07",0,OFFSET('ET inputs'!$C$11,MATCH('DC Calculations'!E126,'ET inputs'!$C$12:$C$102,0),1)))</f>
        <v/>
      </c>
      <c r="G126" s="233" t="str">
        <f ca="1">IF(LEFT(E126,4)*1&gt;LEFT('General inputs'!$I$15,4)+'General inputs'!$H$28-1,"",F126/(1+'General inputs'!$H$24)^D126)</f>
        <v/>
      </c>
      <c r="H126" s="233" t="str">
        <f ca="1">IF(OR(LEFT(E126,4)*1&lt;LEFT('General inputs'!$I$15,4)*1,LEFT(E126,4)*1&gt;LEFT('General inputs'!$I$15,4)+'General inputs'!$H$28-1),"",F126/(1+'General inputs'!$H$24)^D126)</f>
        <v/>
      </c>
      <c r="I126" s="103"/>
      <c r="J126" s="233" t="str">
        <f ca="1">IF(LEFT(E126,4)*1&gt;LEFT('General inputs'!$I$19,4)*1,"",SUMIF('Commissioned assets'!$F$17:$F$213,$E126,'Commissioned assets'!$P$17:$P$213))</f>
        <v/>
      </c>
      <c r="K126" s="233" t="str">
        <f ca="1">IF(J126="","",J126/(1+'General inputs'!$H$24)^D126)</f>
        <v/>
      </c>
      <c r="L126" s="233">
        <f ca="1">IF(LEFT(E126,4)*1&lt;LEFT('General inputs'!$I$19,4)*1+1,"",SUMIF('Uncommissioned assets'!$F$17:$F$213,$E126,'Uncommissioned assets'!$P$17:$P$213))</f>
        <v>0</v>
      </c>
      <c r="M126" s="233">
        <f ca="1">IF(L126="","",L126/(1+'General inputs'!$H$24)^D126)</f>
        <v>0</v>
      </c>
      <c r="N126" s="103"/>
      <c r="O126" s="123"/>
      <c r="P126" s="233" t="str">
        <f ca="1">IF(OR(LEFT(E126,4)*1&lt;LEFT('General inputs'!$I$15,4)*1,LEFT(E126,4)*1&gt;LEFT('General inputs'!$I$15,4)+'General inputs'!$H$28-1),"",O126/(1+'General inputs'!$H$24)^D126)</f>
        <v/>
      </c>
      <c r="Q126" s="103"/>
      <c r="R126" s="123"/>
      <c r="S126" s="233" t="str">
        <f ca="1">IF(OR(LEFT(E126,4)*1&lt;LEFT('General inputs'!$I$15,4)*1,LEFT(E126,4)*1&gt;LEFT('General inputs'!$I$15,4)+'General inputs'!$H$28-1),"",R126/(1+'General inputs'!$H$24)^D126)</f>
        <v/>
      </c>
      <c r="T126" s="105"/>
      <c r="U126" s="104"/>
    </row>
    <row r="127" spans="2:21" x14ac:dyDescent="0.25">
      <c r="B127" s="83"/>
      <c r="C127" s="104"/>
      <c r="D127" s="228">
        <f ca="1">IF(E127='General inputs'!$I$15,0,IF(E127&lt;'General inputs'!$I$15,D128-1,D126+1))</f>
        <v>84</v>
      </c>
      <c r="E127" s="228" t="str">
        <f ca="1">OFFSET('General inputs'!$L$16,MATCH('DC Calculations'!E126,'General inputs'!$L$17:$L$186,0)+1,0)</f>
        <v>2104-05</v>
      </c>
      <c r="F127" s="233" t="str">
        <f ca="1">IF(LEFT(E127,4)*1&gt;LEFT('General inputs'!$I$15,4)+'General inputs'!$H$28-1,"",IF(E127&lt;"2006-07",0,OFFSET('ET inputs'!$C$11,MATCH('DC Calculations'!E127,'ET inputs'!$C$12:$C$102,0),1)))</f>
        <v/>
      </c>
      <c r="G127" s="233" t="str">
        <f ca="1">IF(LEFT(E127,4)*1&gt;LEFT('General inputs'!$I$15,4)+'General inputs'!$H$28-1,"",F127/(1+'General inputs'!$H$24)^D127)</f>
        <v/>
      </c>
      <c r="H127" s="233" t="str">
        <f ca="1">IF(OR(LEFT(E127,4)*1&lt;LEFT('General inputs'!$I$15,4)*1,LEFT(E127,4)*1&gt;LEFT('General inputs'!$I$15,4)+'General inputs'!$H$28-1),"",F127/(1+'General inputs'!$H$24)^D127)</f>
        <v/>
      </c>
      <c r="I127" s="103"/>
      <c r="J127" s="233" t="str">
        <f ca="1">IF(LEFT(E127,4)*1&gt;LEFT('General inputs'!$I$19,4)*1,"",SUMIF('Commissioned assets'!$F$17:$F$213,$E127,'Commissioned assets'!$P$17:$P$213))</f>
        <v/>
      </c>
      <c r="K127" s="233" t="str">
        <f ca="1">IF(J127="","",J127/(1+'General inputs'!$H$24)^D127)</f>
        <v/>
      </c>
      <c r="L127" s="233">
        <f ca="1">IF(LEFT(E127,4)*1&lt;LEFT('General inputs'!$I$19,4)*1+1,"",SUMIF('Uncommissioned assets'!$F$17:$F$213,$E127,'Uncommissioned assets'!$P$17:$P$213))</f>
        <v>0</v>
      </c>
      <c r="M127" s="233">
        <f ca="1">IF(L127="","",L127/(1+'General inputs'!$H$24)^D127)</f>
        <v>0</v>
      </c>
      <c r="N127" s="103"/>
      <c r="O127" s="123"/>
      <c r="P127" s="233" t="str">
        <f ca="1">IF(OR(LEFT(E127,4)*1&lt;LEFT('General inputs'!$I$15,4)*1,LEFT(E127,4)*1&gt;LEFT('General inputs'!$I$15,4)+'General inputs'!$H$28-1),"",O127/(1+'General inputs'!$H$24)^D127)</f>
        <v/>
      </c>
      <c r="Q127" s="103"/>
      <c r="R127" s="123"/>
      <c r="S127" s="233" t="str">
        <f ca="1">IF(OR(LEFT(E127,4)*1&lt;LEFT('General inputs'!$I$15,4)*1,LEFT(E127,4)*1&gt;LEFT('General inputs'!$I$15,4)+'General inputs'!$H$28-1),"",R127/(1+'General inputs'!$H$24)^D127)</f>
        <v/>
      </c>
      <c r="T127" s="105"/>
      <c r="U127" s="104"/>
    </row>
    <row r="128" spans="2:21" x14ac:dyDescent="0.25">
      <c r="B128" s="83"/>
      <c r="C128" s="104"/>
      <c r="D128" s="228">
        <f ca="1">IF(E128='General inputs'!$I$15,0,IF(E128&lt;'General inputs'!$I$15,C129-1,D127+1))</f>
        <v>85</v>
      </c>
      <c r="E128" s="228" t="str">
        <f ca="1">OFFSET('General inputs'!$L$16,MATCH('DC Calculations'!E127,'General inputs'!$L$17:$L$186,0)+1,0)</f>
        <v>2105-06</v>
      </c>
      <c r="F128" s="233" t="str">
        <f ca="1">IF(LEFT(E128,4)*1&gt;LEFT('General inputs'!$I$15,4)+'General inputs'!$H$28-1,"",IF(E128&lt;"2006-07",0,OFFSET('ET inputs'!$C$11,MATCH('DC Calculations'!E128,'ET inputs'!$C$12:$C$102,0),1)))</f>
        <v/>
      </c>
      <c r="G128" s="233" t="str">
        <f ca="1">IF(LEFT(E128,4)*1&gt;LEFT('General inputs'!$I$15,4)+'General inputs'!$H$28-1,"",F128/(1+'General inputs'!$H$24)^D128)</f>
        <v/>
      </c>
      <c r="H128" s="233" t="str">
        <f ca="1">IF(OR(LEFT(E128,4)*1&lt;LEFT('General inputs'!$I$15,4)*1,LEFT(E128,4)*1&gt;LEFT('General inputs'!$I$15,4)+'General inputs'!$H$28-1),"",F128/(1+'General inputs'!$H$24)^D128)</f>
        <v/>
      </c>
      <c r="I128" s="103"/>
      <c r="J128" s="233" t="str">
        <f ca="1">IF(LEFT(E128,4)*1&gt;LEFT('General inputs'!$I$19,4)*1,"",SUMIF('Commissioned assets'!$F$17:$F$213,$E128,'Commissioned assets'!$P$17:$P$213))</f>
        <v/>
      </c>
      <c r="K128" s="233" t="str">
        <f ca="1">IF(J128="","",J128/(1+'General inputs'!$H$24)^D128)</f>
        <v/>
      </c>
      <c r="L128" s="233">
        <f ca="1">IF(LEFT(E128,4)*1&lt;LEFT('General inputs'!$I$19,4)*1+1,"",SUMIF('Uncommissioned assets'!$F$17:$F$213,$E128,'Uncommissioned assets'!$P$17:$P$213))</f>
        <v>0</v>
      </c>
      <c r="M128" s="233">
        <f ca="1">IF(L128="","",L128/(1+'General inputs'!$H$24)^D128)</f>
        <v>0</v>
      </c>
      <c r="N128" s="103"/>
      <c r="O128" s="123"/>
      <c r="P128" s="233" t="str">
        <f ca="1">IF(OR(LEFT(E128,4)*1&lt;LEFT('General inputs'!$I$15,4)*1,LEFT(E128,4)*1&gt;LEFT('General inputs'!$I$15,4)+'General inputs'!$H$28-1),"",O128/(1+'General inputs'!$H$24)^D128)</f>
        <v/>
      </c>
      <c r="Q128" s="103"/>
      <c r="R128" s="123"/>
      <c r="S128" s="233" t="str">
        <f ca="1">IF(OR(LEFT(E128,4)*1&lt;LEFT('General inputs'!$I$15,4)*1,LEFT(E128,4)*1&gt;LEFT('General inputs'!$I$15,4)+'General inputs'!$H$28-1),"",R128/(1+'General inputs'!$H$24)^D128)</f>
        <v/>
      </c>
      <c r="T128" s="105"/>
      <c r="U128" s="104"/>
    </row>
    <row r="129" spans="2:20" x14ac:dyDescent="0.25">
      <c r="B129" s="85"/>
      <c r="C129" s="70"/>
      <c r="D129" s="70"/>
      <c r="E129" s="70"/>
      <c r="F129" s="70"/>
      <c r="G129" s="70"/>
      <c r="H129" s="70"/>
      <c r="I129" s="70"/>
      <c r="J129" s="70"/>
      <c r="K129" s="70"/>
      <c r="L129" s="70"/>
      <c r="M129" s="70"/>
      <c r="N129" s="70"/>
      <c r="O129" s="70"/>
      <c r="P129" s="70"/>
      <c r="Q129" s="70"/>
      <c r="R129" s="70"/>
      <c r="S129" s="70"/>
      <c r="T129" s="86"/>
    </row>
  </sheetData>
  <conditionalFormatting sqref="O35">
    <cfRule type="containsText" dxfId="12" priority="5" operator="containsText" text="data">
      <formula>NOT(ISERROR(SEARCH("data",O35)))</formula>
    </cfRule>
  </conditionalFormatting>
  <conditionalFormatting sqref="R35">
    <cfRule type="containsText" dxfId="11" priority="3" operator="containsText" text="data">
      <formula>NOT(ISERROR(SEARCH("data",R35)))</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LEFT($E38,4)*1&gt;LEFT('General inputs'!$I$19,4)*1</xm:f>
            <x14:dxf>
              <fill>
                <patternFill>
                  <bgColor rgb="FFDDDDDD"/>
                </patternFill>
              </fill>
            </x14:dxf>
          </x14:cfRule>
          <xm:sqref>J38:K128</xm:sqref>
        </x14:conditionalFormatting>
        <x14:conditionalFormatting xmlns:xm="http://schemas.microsoft.com/office/excel/2006/main">
          <x14:cfRule type="expression" priority="78" id="{F2539AB7-12EB-495F-868F-335C45BD094E}">
            <xm:f>LEFT($E38,4)*1&gt;LEFT('General inputs'!$I$15,4)*1+'General inputs'!$H$28-1</xm:f>
            <x14:dxf>
              <fill>
                <patternFill>
                  <bgColor rgb="FFDDDDDD"/>
                </patternFill>
              </fill>
            </x14:dxf>
          </x14:cfRule>
          <xm:sqref>F38:G128</xm:sqref>
        </x14:conditionalFormatting>
        <x14:conditionalFormatting xmlns:xm="http://schemas.microsoft.com/office/excel/2006/main">
          <x14:cfRule type="expression" priority="79" id="{C0A81E9A-9D86-4B88-9785-A24519DF4322}">
            <xm:f>LEFT($E38,4)*1&lt;=LEFT('General inputs'!$I$19,4)*1</xm:f>
            <x14:dxf>
              <fill>
                <patternFill>
                  <bgColor rgb="FFDDDDDD"/>
                </patternFill>
              </fill>
            </x14:dxf>
          </x14:cfRule>
          <xm:sqref>L38:M128</xm:sqref>
        </x14:conditionalFormatting>
        <x14:conditionalFormatting xmlns:xm="http://schemas.microsoft.com/office/excel/2006/main">
          <x14:cfRule type="expression" priority="80" id="{4007EED2-5127-4B0E-9224-74B73C828219}">
            <xm:f>OR(LEFT($E38,4)*1&lt;LEFT('General inputs'!$I$15,4)*1,LEFT($E38,4)*1&gt;LEFT('General inputs'!$I$15,4)*1+'General inputs'!$H$28-1)</xm:f>
            <x14:dxf>
              <fill>
                <patternFill>
                  <bgColor rgb="FFDDDDDD"/>
                </patternFill>
              </fill>
            </x14:dxf>
          </x14:cfRule>
          <xm:sqref>O38:P128 R38:S128</xm:sqref>
        </x14:conditionalFormatting>
        <x14:conditionalFormatting xmlns:xm="http://schemas.microsoft.com/office/excel/2006/main">
          <x14:cfRule type="expression" priority="1" id="{0E760C6E-53CB-438B-B66C-B181FBCCFE16}">
            <xm:f>OR(LEFT($E38,4)*1&lt;LEFT('General inputs'!$I$15,4)*1,LEFT($E38,4)*1&gt;LEFT('General inputs'!$I$15,4)*1+'General inputs'!$H$28-1)</xm:f>
            <x14:dxf>
              <fill>
                <patternFill>
                  <bgColor rgb="FFDDDDDD"/>
                </patternFill>
              </fill>
            </x14:dxf>
          </x14:cfRule>
          <xm:sqref>H38:H128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79998168889431442"/>
  </sheetPr>
  <dimension ref="C3:N186"/>
  <sheetViews>
    <sheetView showGridLines="0" zoomScaleNormal="100" workbookViewId="0"/>
  </sheetViews>
  <sheetFormatPr defaultRowHeight="11.5" x14ac:dyDescent="0.25"/>
  <cols>
    <col min="1" max="3" width="2.69921875" customWidth="1"/>
    <col min="4" max="4" width="20.3984375" customWidth="1"/>
    <col min="5" max="6" width="15.69921875" customWidth="1"/>
    <col min="7" max="7" width="18.8984375" customWidth="1"/>
    <col min="8" max="14" width="15.69921875" customWidth="1"/>
  </cols>
  <sheetData>
    <row r="3" spans="3:14" ht="20" x14ac:dyDescent="0.4">
      <c r="C3" s="87" t="s">
        <v>65</v>
      </c>
    </row>
    <row r="5" spans="3:14" ht="15.5" x14ac:dyDescent="0.35">
      <c r="C5" s="3" t="s">
        <v>128</v>
      </c>
      <c r="H5" s="266" t="s">
        <v>130</v>
      </c>
      <c r="I5" s="267"/>
      <c r="L5" s="124" t="str">
        <f>"Do not delete - data validation for option at "&amp;ADDRESS(ROW(H5),COLUMN(H5))</f>
        <v>Do not delete - data validation for option at $H$5</v>
      </c>
      <c r="M5" s="104"/>
      <c r="N5" s="104"/>
    </row>
    <row r="6" spans="3:14" x14ac:dyDescent="0.25">
      <c r="L6" s="104" t="s">
        <v>129</v>
      </c>
      <c r="M6" s="104"/>
      <c r="N6" s="104"/>
    </row>
    <row r="7" spans="3:14" ht="15.5" x14ac:dyDescent="0.35">
      <c r="C7" s="3" t="s">
        <v>81</v>
      </c>
      <c r="H7" s="268" t="s">
        <v>341</v>
      </c>
      <c r="I7" s="267"/>
      <c r="L7" s="136" t="s">
        <v>130</v>
      </c>
      <c r="M7" s="104"/>
      <c r="N7" s="104"/>
    </row>
    <row r="8" spans="3:14" x14ac:dyDescent="0.25">
      <c r="L8" s="121" t="s">
        <v>131</v>
      </c>
      <c r="M8" s="104"/>
      <c r="N8" s="104"/>
    </row>
    <row r="9" spans="3:14" ht="15.5" x14ac:dyDescent="0.35">
      <c r="C9" s="3" t="s">
        <v>134</v>
      </c>
      <c r="H9" s="266" t="s">
        <v>135</v>
      </c>
      <c r="I9" s="267"/>
      <c r="L9" s="236" t="s">
        <v>132</v>
      </c>
      <c r="M9" s="104"/>
      <c r="N9" s="104"/>
    </row>
    <row r="10" spans="3:14" x14ac:dyDescent="0.25">
      <c r="L10" s="104"/>
      <c r="M10" s="104"/>
      <c r="N10" s="104"/>
    </row>
    <row r="11" spans="3:14" x14ac:dyDescent="0.25">
      <c r="L11" s="124" t="str">
        <f>"Do not delete - data validation for option at "&amp;ADDRESS(ROW(H32),COLUMN(H32))</f>
        <v>Do not delete - data validation for option at $H$32</v>
      </c>
      <c r="M11" s="104"/>
      <c r="N11" s="104"/>
    </row>
    <row r="12" spans="3:14" x14ac:dyDescent="0.25">
      <c r="L12" s="136" t="s">
        <v>39</v>
      </c>
      <c r="M12" s="104"/>
      <c r="N12" s="104"/>
    </row>
    <row r="13" spans="3:14" ht="15.5" x14ac:dyDescent="0.35">
      <c r="C13" s="3" t="s">
        <v>93</v>
      </c>
      <c r="I13" s="138" t="s">
        <v>50</v>
      </c>
      <c r="L13" s="121" t="s">
        <v>40</v>
      </c>
      <c r="M13" s="104"/>
      <c r="N13" s="104"/>
    </row>
    <row r="14" spans="3:14" x14ac:dyDescent="0.25">
      <c r="L14" s="236" t="s">
        <v>41</v>
      </c>
      <c r="M14" s="104"/>
      <c r="N14" s="104"/>
    </row>
    <row r="15" spans="3:14" x14ac:dyDescent="0.25">
      <c r="D15" s="73" t="s">
        <v>294</v>
      </c>
      <c r="I15" s="78" t="s">
        <v>52</v>
      </c>
      <c r="L15" s="104"/>
      <c r="M15" s="104"/>
      <c r="N15" s="104"/>
    </row>
    <row r="16" spans="3:14" x14ac:dyDescent="0.25">
      <c r="D16" s="73"/>
      <c r="L16" s="124" t="str">
        <f ca="1">"Do not delete - data validation for options at "&amp;ADDRESS(ROW(I15),COLUMN(I15))&amp;", "&amp;ADDRESS(ROW(I17),COLUMN(I17))&amp;" and "&amp;ADDRESS(ROW(I30),COLUMN(I30))&amp;", and date range for the "&amp;MID(CELL("filename",'DC Calculations'!$A$1),FIND("]",CELL("filename",'DC Calculations'!$A$1))+1,255)&amp;" worksheet."</f>
        <v>Do not delete - data validation for options at $I$15, $I$17 and $I$30, and date range for the DC Calculations worksheet.</v>
      </c>
      <c r="M16" s="104"/>
      <c r="N16" s="104"/>
    </row>
    <row r="17" spans="3:14" x14ac:dyDescent="0.25">
      <c r="D17" s="73" t="s">
        <v>282</v>
      </c>
      <c r="I17" s="78" t="s">
        <v>209</v>
      </c>
      <c r="L17" s="237" t="str">
        <f t="shared" ref="L17:L35" si="0">LEFT(L18,4)-1&amp;"-"&amp;RIGHT(L18,2)-1</f>
        <v>1970-71</v>
      </c>
      <c r="M17" s="104"/>
      <c r="N17" s="104"/>
    </row>
    <row r="18" spans="3:14" x14ac:dyDescent="0.25">
      <c r="D18" s="73"/>
      <c r="L18" s="238" t="str">
        <f t="shared" si="0"/>
        <v>1971-72</v>
      </c>
      <c r="M18" s="104"/>
      <c r="N18" s="104"/>
    </row>
    <row r="19" spans="3:14" x14ac:dyDescent="0.25">
      <c r="D19" s="73" t="s">
        <v>63</v>
      </c>
      <c r="H19" s="235">
        <v>43646</v>
      </c>
      <c r="I19" s="250" t="str">
        <f>IF(MONTH(H19)&gt;=7,YEAR(H19)&amp;"-"&amp;RIGHT(YEAR(H19),2)+1,RIGHT(YEAR(H19),4)-1&amp;"-"&amp;RIGHT(YEAR(H19),2))</f>
        <v>2018-19</v>
      </c>
      <c r="J19" s="104"/>
      <c r="K19" s="104"/>
      <c r="L19" s="238" t="str">
        <f t="shared" si="0"/>
        <v>1972-73</v>
      </c>
      <c r="M19" s="104"/>
      <c r="N19" s="104"/>
    </row>
    <row r="20" spans="3:14" x14ac:dyDescent="0.25">
      <c r="I20" s="104"/>
      <c r="J20" s="104"/>
      <c r="K20" s="104"/>
      <c r="L20" s="238" t="str">
        <f t="shared" si="0"/>
        <v>1973-74</v>
      </c>
      <c r="M20" s="104"/>
      <c r="N20" s="104"/>
    </row>
    <row r="21" spans="3:14" x14ac:dyDescent="0.25">
      <c r="I21" s="104"/>
      <c r="J21" s="104"/>
      <c r="K21" s="104"/>
      <c r="L21" s="238" t="str">
        <f t="shared" si="0"/>
        <v>1974-75</v>
      </c>
      <c r="M21" s="104"/>
      <c r="N21" s="104"/>
    </row>
    <row r="22" spans="3:14" ht="15.5" x14ac:dyDescent="0.35">
      <c r="C22" s="3" t="s">
        <v>92</v>
      </c>
      <c r="I22" s="104"/>
      <c r="J22" s="104"/>
      <c r="K22" s="104"/>
      <c r="L22" s="238" t="str">
        <f t="shared" si="0"/>
        <v>1975-76</v>
      </c>
      <c r="M22" s="104"/>
      <c r="N22" s="104"/>
    </row>
    <row r="23" spans="3:14" ht="12" customHeight="1" x14ac:dyDescent="0.25">
      <c r="D23" s="73"/>
      <c r="H23" s="63"/>
      <c r="I23" s="104"/>
      <c r="J23" s="104"/>
      <c r="K23" s="104"/>
      <c r="L23" s="238" t="str">
        <f t="shared" si="0"/>
        <v>1976-77</v>
      </c>
      <c r="M23" s="104"/>
      <c r="N23" s="104"/>
    </row>
    <row r="24" spans="3:14" ht="12" customHeight="1" x14ac:dyDescent="0.25">
      <c r="D24" s="7" t="s">
        <v>99</v>
      </c>
      <c r="H24" s="199">
        <v>0.05</v>
      </c>
      <c r="I24" s="104"/>
      <c r="J24" s="104"/>
      <c r="K24" s="104"/>
      <c r="L24" s="238" t="str">
        <f t="shared" si="0"/>
        <v>1977-78</v>
      </c>
      <c r="M24" s="104"/>
      <c r="N24" s="104"/>
    </row>
    <row r="25" spans="3:14" ht="12" customHeight="1" x14ac:dyDescent="0.35">
      <c r="C25" s="3"/>
      <c r="I25" s="104"/>
      <c r="J25" s="104"/>
      <c r="K25" s="104"/>
      <c r="L25" s="238" t="str">
        <f t="shared" si="0"/>
        <v>1978-79</v>
      </c>
      <c r="M25" s="104"/>
      <c r="N25" s="104"/>
    </row>
    <row r="26" spans="3:14" ht="12" customHeight="1" x14ac:dyDescent="0.35">
      <c r="C26" s="3"/>
      <c r="D26" s="73" t="s">
        <v>118</v>
      </c>
      <c r="H26" s="92">
        <v>200</v>
      </c>
      <c r="I26" s="104"/>
      <c r="J26" s="104"/>
      <c r="K26" s="104"/>
      <c r="L26" s="238" t="str">
        <f t="shared" si="0"/>
        <v>1979-80</v>
      </c>
      <c r="M26" s="104"/>
      <c r="N26" s="104"/>
    </row>
    <row r="27" spans="3:14" ht="12" customHeight="1" x14ac:dyDescent="0.25">
      <c r="I27" s="104"/>
      <c r="J27" s="104"/>
      <c r="K27" s="104"/>
      <c r="L27" s="238" t="str">
        <f t="shared" si="0"/>
        <v>1980-81</v>
      </c>
      <c r="M27" s="104"/>
      <c r="N27" s="104"/>
    </row>
    <row r="28" spans="3:14" ht="12" customHeight="1" x14ac:dyDescent="0.25">
      <c r="D28" s="73" t="s">
        <v>36</v>
      </c>
      <c r="H28" s="94">
        <v>30</v>
      </c>
      <c r="I28" s="104"/>
      <c r="J28" s="104"/>
      <c r="K28" s="104"/>
      <c r="L28" s="238" t="str">
        <f t="shared" si="0"/>
        <v>1981-82</v>
      </c>
      <c r="M28" s="104"/>
      <c r="N28" s="104"/>
    </row>
    <row r="29" spans="3:14" ht="12" customHeight="1" x14ac:dyDescent="0.35">
      <c r="C29" s="3"/>
      <c r="I29" s="104"/>
      <c r="J29" s="104"/>
      <c r="K29" s="104"/>
      <c r="L29" s="238" t="str">
        <f t="shared" si="0"/>
        <v>1982-83</v>
      </c>
      <c r="M29" s="104"/>
      <c r="N29" s="104"/>
    </row>
    <row r="30" spans="3:14" ht="12" customHeight="1" x14ac:dyDescent="0.35">
      <c r="C30" s="3"/>
      <c r="D30" s="73" t="s">
        <v>51</v>
      </c>
      <c r="I30" s="78" t="s">
        <v>105</v>
      </c>
      <c r="L30" s="238" t="str">
        <f t="shared" si="0"/>
        <v>1983-84</v>
      </c>
      <c r="M30" s="104"/>
      <c r="N30" s="104"/>
    </row>
    <row r="31" spans="3:14" ht="12" customHeight="1" x14ac:dyDescent="0.35">
      <c r="C31" s="3"/>
      <c r="L31" s="238" t="str">
        <f t="shared" si="0"/>
        <v>1984-85</v>
      </c>
      <c r="M31" s="104"/>
      <c r="N31" s="104"/>
    </row>
    <row r="32" spans="3:14" ht="12" customHeight="1" x14ac:dyDescent="0.35">
      <c r="C32" s="3"/>
      <c r="D32" s="73" t="s">
        <v>38</v>
      </c>
      <c r="H32" s="78" t="s">
        <v>40</v>
      </c>
      <c r="L32" s="238" t="str">
        <f t="shared" si="0"/>
        <v>1985-86</v>
      </c>
      <c r="M32" s="104"/>
      <c r="N32" s="104"/>
    </row>
    <row r="33" spans="3:14" ht="12" customHeight="1" x14ac:dyDescent="0.35">
      <c r="C33" s="3"/>
      <c r="D33" s="73"/>
      <c r="L33" s="238" t="str">
        <f t="shared" si="0"/>
        <v>1986-87</v>
      </c>
      <c r="M33" s="104"/>
      <c r="N33" s="104"/>
    </row>
    <row r="34" spans="3:14" ht="12" customHeight="1" x14ac:dyDescent="0.25">
      <c r="L34" s="238" t="str">
        <f t="shared" si="0"/>
        <v>1987-88</v>
      </c>
      <c r="M34" s="104"/>
      <c r="N34" s="104"/>
    </row>
    <row r="35" spans="3:14" ht="12" customHeight="1" x14ac:dyDescent="0.25">
      <c r="L35" s="238" t="str">
        <f t="shared" si="0"/>
        <v>1988-89</v>
      </c>
      <c r="M35" s="104"/>
      <c r="N35" s="104"/>
    </row>
    <row r="36" spans="3:14" ht="12" customHeight="1" x14ac:dyDescent="0.25">
      <c r="L36" s="238" t="str">
        <f>LEFT(L37,4)-1&amp;"-"&amp;RIGHT(L37,2)-1</f>
        <v>1989-90</v>
      </c>
      <c r="M36" s="104"/>
      <c r="N36" s="104"/>
    </row>
    <row r="37" spans="3:14" ht="12" customHeight="1" x14ac:dyDescent="0.25">
      <c r="L37" s="206" t="s">
        <v>185</v>
      </c>
    </row>
    <row r="38" spans="3:14" ht="12" customHeight="1" x14ac:dyDescent="0.25">
      <c r="L38" s="71" t="s">
        <v>187</v>
      </c>
    </row>
    <row r="39" spans="3:14" ht="12" customHeight="1" x14ac:dyDescent="0.25">
      <c r="F39" s="60"/>
      <c r="L39" s="71" t="s">
        <v>188</v>
      </c>
    </row>
    <row r="40" spans="3:14" ht="12" customHeight="1" x14ac:dyDescent="0.25">
      <c r="F40" s="60"/>
      <c r="L40" s="71" t="s">
        <v>189</v>
      </c>
    </row>
    <row r="41" spans="3:14" ht="12" customHeight="1" x14ac:dyDescent="0.35">
      <c r="C41" s="3"/>
      <c r="L41" s="71" t="s">
        <v>190</v>
      </c>
    </row>
    <row r="42" spans="3:14" x14ac:dyDescent="0.25">
      <c r="L42" s="71" t="s">
        <v>191</v>
      </c>
    </row>
    <row r="43" spans="3:14" x14ac:dyDescent="0.25">
      <c r="L43" s="71" t="s">
        <v>192</v>
      </c>
    </row>
    <row r="44" spans="3:14" x14ac:dyDescent="0.25">
      <c r="L44" s="71" t="s">
        <v>193</v>
      </c>
    </row>
    <row r="45" spans="3:14" x14ac:dyDescent="0.25">
      <c r="L45" s="71" t="s">
        <v>194</v>
      </c>
    </row>
    <row r="46" spans="3:14" x14ac:dyDescent="0.25">
      <c r="L46" s="71" t="s">
        <v>186</v>
      </c>
    </row>
    <row r="47" spans="3:14" x14ac:dyDescent="0.25">
      <c r="L47" s="71" t="s">
        <v>168</v>
      </c>
    </row>
    <row r="48" spans="3:14" x14ac:dyDescent="0.25">
      <c r="L48" s="71" t="s">
        <v>195</v>
      </c>
    </row>
    <row r="49" spans="12:12" x14ac:dyDescent="0.25">
      <c r="L49" s="71" t="s">
        <v>196</v>
      </c>
    </row>
    <row r="50" spans="12:12" x14ac:dyDescent="0.25">
      <c r="L50" s="71" t="s">
        <v>197</v>
      </c>
    </row>
    <row r="51" spans="12:12" x14ac:dyDescent="0.25">
      <c r="L51" s="71" t="s">
        <v>198</v>
      </c>
    </row>
    <row r="52" spans="12:12" x14ac:dyDescent="0.25">
      <c r="L52" s="71" t="s">
        <v>199</v>
      </c>
    </row>
    <row r="53" spans="12:12" x14ac:dyDescent="0.25">
      <c r="L53" s="71" t="s">
        <v>200</v>
      </c>
    </row>
    <row r="54" spans="12:12" x14ac:dyDescent="0.25">
      <c r="L54" s="71" t="s">
        <v>201</v>
      </c>
    </row>
    <row r="55" spans="12:12" x14ac:dyDescent="0.25">
      <c r="L55" s="71" t="s">
        <v>202</v>
      </c>
    </row>
    <row r="56" spans="12:12" x14ac:dyDescent="0.25">
      <c r="L56" s="71" t="s">
        <v>203</v>
      </c>
    </row>
    <row r="57" spans="12:12" x14ac:dyDescent="0.25">
      <c r="L57" s="71" t="s">
        <v>204</v>
      </c>
    </row>
    <row r="58" spans="12:12" x14ac:dyDescent="0.25">
      <c r="L58" s="71" t="s">
        <v>205</v>
      </c>
    </row>
    <row r="59" spans="12:12" x14ac:dyDescent="0.25">
      <c r="L59" s="71" t="s">
        <v>206</v>
      </c>
    </row>
    <row r="60" spans="12:12" x14ac:dyDescent="0.25">
      <c r="L60" s="71" t="s">
        <v>207</v>
      </c>
    </row>
    <row r="61" spans="12:12" x14ac:dyDescent="0.25">
      <c r="L61" s="71" t="s">
        <v>208</v>
      </c>
    </row>
    <row r="62" spans="12:12" x14ac:dyDescent="0.25">
      <c r="L62" s="71" t="s">
        <v>209</v>
      </c>
    </row>
    <row r="63" spans="12:12" x14ac:dyDescent="0.25">
      <c r="L63" s="71" t="s">
        <v>210</v>
      </c>
    </row>
    <row r="64" spans="12:12" x14ac:dyDescent="0.25">
      <c r="L64" s="71" t="s">
        <v>211</v>
      </c>
    </row>
    <row r="65" spans="12:12" x14ac:dyDescent="0.25">
      <c r="L65" s="71" t="s">
        <v>28</v>
      </c>
    </row>
    <row r="66" spans="12:12" x14ac:dyDescent="0.25">
      <c r="L66" s="71" t="s">
        <v>105</v>
      </c>
    </row>
    <row r="67" spans="12:12" x14ac:dyDescent="0.25">
      <c r="L67" s="71" t="s">
        <v>52</v>
      </c>
    </row>
    <row r="68" spans="12:12" x14ac:dyDescent="0.25">
      <c r="L68" s="71" t="s">
        <v>53</v>
      </c>
    </row>
    <row r="69" spans="12:12" x14ac:dyDescent="0.25">
      <c r="L69" s="71" t="s">
        <v>54</v>
      </c>
    </row>
    <row r="70" spans="12:12" x14ac:dyDescent="0.25">
      <c r="L70" s="71" t="s">
        <v>55</v>
      </c>
    </row>
    <row r="71" spans="12:12" x14ac:dyDescent="0.25">
      <c r="L71" s="71" t="s">
        <v>56</v>
      </c>
    </row>
    <row r="72" spans="12:12" x14ac:dyDescent="0.25">
      <c r="L72" s="71" t="s">
        <v>57</v>
      </c>
    </row>
    <row r="73" spans="12:12" x14ac:dyDescent="0.25">
      <c r="L73" s="71" t="s">
        <v>58</v>
      </c>
    </row>
    <row r="74" spans="12:12" x14ac:dyDescent="0.25">
      <c r="L74" s="71" t="s">
        <v>59</v>
      </c>
    </row>
    <row r="75" spans="12:12" x14ac:dyDescent="0.25">
      <c r="L75" s="71" t="s">
        <v>60</v>
      </c>
    </row>
    <row r="76" spans="12:12" x14ac:dyDescent="0.25">
      <c r="L76" s="71" t="s">
        <v>61</v>
      </c>
    </row>
    <row r="77" spans="12:12" x14ac:dyDescent="0.25">
      <c r="L77" s="71" t="s">
        <v>62</v>
      </c>
    </row>
    <row r="78" spans="12:12" x14ac:dyDescent="0.25">
      <c r="L78" s="71" t="s">
        <v>212</v>
      </c>
    </row>
    <row r="79" spans="12:12" x14ac:dyDescent="0.25">
      <c r="L79" s="71" t="s">
        <v>213</v>
      </c>
    </row>
    <row r="80" spans="12:12" x14ac:dyDescent="0.25">
      <c r="L80" s="71" t="s">
        <v>214</v>
      </c>
    </row>
    <row r="81" spans="12:12" x14ac:dyDescent="0.25">
      <c r="L81" s="71" t="s">
        <v>215</v>
      </c>
    </row>
    <row r="82" spans="12:12" x14ac:dyDescent="0.25">
      <c r="L82" s="71" t="s">
        <v>216</v>
      </c>
    </row>
    <row r="83" spans="12:12" x14ac:dyDescent="0.25">
      <c r="L83" s="71" t="s">
        <v>217</v>
      </c>
    </row>
    <row r="84" spans="12:12" x14ac:dyDescent="0.25">
      <c r="L84" s="71" t="s">
        <v>218</v>
      </c>
    </row>
    <row r="85" spans="12:12" x14ac:dyDescent="0.25">
      <c r="L85" s="71" t="s">
        <v>219</v>
      </c>
    </row>
    <row r="86" spans="12:12" x14ac:dyDescent="0.25">
      <c r="L86" s="71" t="s">
        <v>220</v>
      </c>
    </row>
    <row r="87" spans="12:12" x14ac:dyDescent="0.25">
      <c r="L87" s="71" t="s">
        <v>221</v>
      </c>
    </row>
    <row r="88" spans="12:12" x14ac:dyDescent="0.25">
      <c r="L88" s="71" t="s">
        <v>222</v>
      </c>
    </row>
    <row r="89" spans="12:12" x14ac:dyDescent="0.25">
      <c r="L89" s="71" t="s">
        <v>223</v>
      </c>
    </row>
    <row r="90" spans="12:12" x14ac:dyDescent="0.25">
      <c r="L90" s="71" t="s">
        <v>224</v>
      </c>
    </row>
    <row r="91" spans="12:12" x14ac:dyDescent="0.25">
      <c r="L91" s="71" t="s">
        <v>225</v>
      </c>
    </row>
    <row r="92" spans="12:12" x14ac:dyDescent="0.25">
      <c r="L92" s="71" t="s">
        <v>226</v>
      </c>
    </row>
    <row r="93" spans="12:12" x14ac:dyDescent="0.25">
      <c r="L93" s="71" t="s">
        <v>227</v>
      </c>
    </row>
    <row r="94" spans="12:12" x14ac:dyDescent="0.25">
      <c r="L94" s="71" t="s">
        <v>228</v>
      </c>
    </row>
    <row r="95" spans="12:12" x14ac:dyDescent="0.25">
      <c r="L95" s="71" t="s">
        <v>229</v>
      </c>
    </row>
    <row r="96" spans="12:12" x14ac:dyDescent="0.25">
      <c r="L96" s="71" t="s">
        <v>230</v>
      </c>
    </row>
    <row r="97" spans="12:12" x14ac:dyDescent="0.25">
      <c r="L97" s="71" t="s">
        <v>231</v>
      </c>
    </row>
    <row r="98" spans="12:12" x14ac:dyDescent="0.25">
      <c r="L98" s="71" t="s">
        <v>232</v>
      </c>
    </row>
    <row r="99" spans="12:12" x14ac:dyDescent="0.25">
      <c r="L99" s="71" t="s">
        <v>233</v>
      </c>
    </row>
    <row r="100" spans="12:12" x14ac:dyDescent="0.25">
      <c r="L100" s="71" t="s">
        <v>234</v>
      </c>
    </row>
    <row r="101" spans="12:12" x14ac:dyDescent="0.25">
      <c r="L101" s="71" t="s">
        <v>235</v>
      </c>
    </row>
    <row r="102" spans="12:12" x14ac:dyDescent="0.25">
      <c r="L102" s="71" t="s">
        <v>236</v>
      </c>
    </row>
    <row r="103" spans="12:12" x14ac:dyDescent="0.25">
      <c r="L103" s="71" t="s">
        <v>237</v>
      </c>
    </row>
    <row r="104" spans="12:12" x14ac:dyDescent="0.25">
      <c r="L104" s="71" t="s">
        <v>238</v>
      </c>
    </row>
    <row r="105" spans="12:12" x14ac:dyDescent="0.25">
      <c r="L105" s="71" t="s">
        <v>239</v>
      </c>
    </row>
    <row r="106" spans="12:12" x14ac:dyDescent="0.25">
      <c r="L106" s="71" t="s">
        <v>240</v>
      </c>
    </row>
    <row r="107" spans="12:12" x14ac:dyDescent="0.25">
      <c r="L107" s="71" t="s">
        <v>241</v>
      </c>
    </row>
    <row r="108" spans="12:12" x14ac:dyDescent="0.25">
      <c r="L108" s="71" t="s">
        <v>242</v>
      </c>
    </row>
    <row r="109" spans="12:12" x14ac:dyDescent="0.25">
      <c r="L109" s="71" t="s">
        <v>243</v>
      </c>
    </row>
    <row r="110" spans="12:12" x14ac:dyDescent="0.25">
      <c r="L110" s="71" t="s">
        <v>244</v>
      </c>
    </row>
    <row r="111" spans="12:12" x14ac:dyDescent="0.25">
      <c r="L111" s="71" t="s">
        <v>245</v>
      </c>
    </row>
    <row r="112" spans="12:12" x14ac:dyDescent="0.25">
      <c r="L112" s="71" t="s">
        <v>246</v>
      </c>
    </row>
    <row r="113" spans="12:12" x14ac:dyDescent="0.25">
      <c r="L113" s="71" t="s">
        <v>247</v>
      </c>
    </row>
    <row r="114" spans="12:12" x14ac:dyDescent="0.25">
      <c r="L114" s="71" t="s">
        <v>248</v>
      </c>
    </row>
    <row r="115" spans="12:12" x14ac:dyDescent="0.25">
      <c r="L115" s="71" t="s">
        <v>249</v>
      </c>
    </row>
    <row r="116" spans="12:12" x14ac:dyDescent="0.25">
      <c r="L116" s="71" t="s">
        <v>250</v>
      </c>
    </row>
    <row r="117" spans="12:12" x14ac:dyDescent="0.25">
      <c r="L117" s="71" t="s">
        <v>251</v>
      </c>
    </row>
    <row r="118" spans="12:12" x14ac:dyDescent="0.25">
      <c r="L118" s="71" t="s">
        <v>252</v>
      </c>
    </row>
    <row r="119" spans="12:12" x14ac:dyDescent="0.25">
      <c r="L119" s="71" t="s">
        <v>253</v>
      </c>
    </row>
    <row r="120" spans="12:12" x14ac:dyDescent="0.25">
      <c r="L120" s="71" t="s">
        <v>254</v>
      </c>
    </row>
    <row r="121" spans="12:12" x14ac:dyDescent="0.25">
      <c r="L121" s="71" t="s">
        <v>255</v>
      </c>
    </row>
    <row r="122" spans="12:12" x14ac:dyDescent="0.25">
      <c r="L122" s="71" t="s">
        <v>256</v>
      </c>
    </row>
    <row r="123" spans="12:12" x14ac:dyDescent="0.25">
      <c r="L123" s="71" t="s">
        <v>257</v>
      </c>
    </row>
    <row r="124" spans="12:12" x14ac:dyDescent="0.25">
      <c r="L124" s="71" t="s">
        <v>258</v>
      </c>
    </row>
    <row r="125" spans="12:12" x14ac:dyDescent="0.25">
      <c r="L125" s="71" t="s">
        <v>259</v>
      </c>
    </row>
    <row r="126" spans="12:12" x14ac:dyDescent="0.25">
      <c r="L126" s="71" t="s">
        <v>260</v>
      </c>
    </row>
    <row r="127" spans="12:12" x14ac:dyDescent="0.25">
      <c r="L127" s="71" t="s">
        <v>261</v>
      </c>
    </row>
    <row r="128" spans="12:12" x14ac:dyDescent="0.25">
      <c r="L128" s="71" t="s">
        <v>262</v>
      </c>
    </row>
    <row r="129" spans="12:12" x14ac:dyDescent="0.25">
      <c r="L129" s="71" t="s">
        <v>263</v>
      </c>
    </row>
    <row r="130" spans="12:12" x14ac:dyDescent="0.25">
      <c r="L130" s="71" t="s">
        <v>264</v>
      </c>
    </row>
    <row r="131" spans="12:12" x14ac:dyDescent="0.25">
      <c r="L131" s="71" t="s">
        <v>265</v>
      </c>
    </row>
    <row r="132" spans="12:12" x14ac:dyDescent="0.25">
      <c r="L132" s="71" t="s">
        <v>266</v>
      </c>
    </row>
    <row r="133" spans="12:12" x14ac:dyDescent="0.25">
      <c r="L133" s="71" t="s">
        <v>267</v>
      </c>
    </row>
    <row r="134" spans="12:12" x14ac:dyDescent="0.25">
      <c r="L134" s="71" t="s">
        <v>268</v>
      </c>
    </row>
    <row r="135" spans="12:12" x14ac:dyDescent="0.25">
      <c r="L135" s="71" t="s">
        <v>269</v>
      </c>
    </row>
    <row r="136" spans="12:12" x14ac:dyDescent="0.25">
      <c r="L136" s="71" t="s">
        <v>270</v>
      </c>
    </row>
    <row r="137" spans="12:12" x14ac:dyDescent="0.25">
      <c r="L137" s="71" t="s">
        <v>271</v>
      </c>
    </row>
    <row r="138" spans="12:12" x14ac:dyDescent="0.25">
      <c r="L138" s="71" t="s">
        <v>272</v>
      </c>
    </row>
    <row r="139" spans="12:12" x14ac:dyDescent="0.25">
      <c r="L139" s="71" t="s">
        <v>273</v>
      </c>
    </row>
    <row r="140" spans="12:12" x14ac:dyDescent="0.25">
      <c r="L140" s="71" t="s">
        <v>274</v>
      </c>
    </row>
    <row r="141" spans="12:12" x14ac:dyDescent="0.25">
      <c r="L141" s="71" t="s">
        <v>275</v>
      </c>
    </row>
    <row r="142" spans="12:12" x14ac:dyDescent="0.25">
      <c r="L142" s="71" t="s">
        <v>276</v>
      </c>
    </row>
    <row r="143" spans="12:12" x14ac:dyDescent="0.25">
      <c r="L143" s="71" t="s">
        <v>277</v>
      </c>
    </row>
    <row r="144" spans="12:12" x14ac:dyDescent="0.25">
      <c r="L144" s="71" t="s">
        <v>278</v>
      </c>
    </row>
    <row r="145" spans="12:12" x14ac:dyDescent="0.25">
      <c r="L145" s="71" t="s">
        <v>279</v>
      </c>
    </row>
    <row r="146" spans="12:12" x14ac:dyDescent="0.25">
      <c r="L146" s="71" t="s">
        <v>344</v>
      </c>
    </row>
    <row r="147" spans="12:12" x14ac:dyDescent="0.25">
      <c r="L147" s="71" t="s">
        <v>345</v>
      </c>
    </row>
    <row r="148" spans="12:12" x14ac:dyDescent="0.25">
      <c r="L148" s="71" t="str">
        <f>LEFT(L147,4)+1&amp;"-0"&amp;RIGHT(L147,2)+1</f>
        <v>2101-02</v>
      </c>
    </row>
    <row r="149" spans="12:12" x14ac:dyDescent="0.25">
      <c r="L149" s="71" t="str">
        <f t="shared" ref="L149:L155" si="1">LEFT(L148,4)+1&amp;"-0"&amp;RIGHT(L148,2)+1</f>
        <v>2102-03</v>
      </c>
    </row>
    <row r="150" spans="12:12" x14ac:dyDescent="0.25">
      <c r="L150" s="71" t="str">
        <f t="shared" si="1"/>
        <v>2103-04</v>
      </c>
    </row>
    <row r="151" spans="12:12" x14ac:dyDescent="0.25">
      <c r="L151" s="71" t="str">
        <f t="shared" si="1"/>
        <v>2104-05</v>
      </c>
    </row>
    <row r="152" spans="12:12" x14ac:dyDescent="0.25">
      <c r="L152" s="71" t="str">
        <f t="shared" si="1"/>
        <v>2105-06</v>
      </c>
    </row>
    <row r="153" spans="12:12" x14ac:dyDescent="0.25">
      <c r="L153" s="71" t="str">
        <f t="shared" si="1"/>
        <v>2106-07</v>
      </c>
    </row>
    <row r="154" spans="12:12" x14ac:dyDescent="0.25">
      <c r="L154" s="71" t="str">
        <f t="shared" si="1"/>
        <v>2107-08</v>
      </c>
    </row>
    <row r="155" spans="12:12" x14ac:dyDescent="0.25">
      <c r="L155" s="71" t="str">
        <f t="shared" si="1"/>
        <v>2108-09</v>
      </c>
    </row>
    <row r="156" spans="12:12" x14ac:dyDescent="0.25">
      <c r="L156" s="71" t="str">
        <f>LEFT(L155,4)+1&amp;"-"&amp;RIGHT(L155,2)+1</f>
        <v>2109-10</v>
      </c>
    </row>
    <row r="157" spans="12:12" x14ac:dyDescent="0.25">
      <c r="L157" s="71" t="str">
        <f t="shared" ref="L157:L186" si="2">LEFT(L156,4)+1&amp;"-"&amp;RIGHT(L156,2)+1</f>
        <v>2110-11</v>
      </c>
    </row>
    <row r="158" spans="12:12" x14ac:dyDescent="0.25">
      <c r="L158" s="71" t="str">
        <f t="shared" si="2"/>
        <v>2111-12</v>
      </c>
    </row>
    <row r="159" spans="12:12" x14ac:dyDescent="0.25">
      <c r="L159" s="71" t="str">
        <f t="shared" si="2"/>
        <v>2112-13</v>
      </c>
    </row>
    <row r="160" spans="12:12" x14ac:dyDescent="0.25">
      <c r="L160" s="71" t="str">
        <f t="shared" si="2"/>
        <v>2113-14</v>
      </c>
    </row>
    <row r="161" spans="12:12" x14ac:dyDescent="0.25">
      <c r="L161" s="71" t="str">
        <f t="shared" si="2"/>
        <v>2114-15</v>
      </c>
    </row>
    <row r="162" spans="12:12" x14ac:dyDescent="0.25">
      <c r="L162" s="71" t="str">
        <f t="shared" si="2"/>
        <v>2115-16</v>
      </c>
    </row>
    <row r="163" spans="12:12" x14ac:dyDescent="0.25">
      <c r="L163" s="71" t="str">
        <f t="shared" si="2"/>
        <v>2116-17</v>
      </c>
    </row>
    <row r="164" spans="12:12" x14ac:dyDescent="0.25">
      <c r="L164" s="71" t="str">
        <f t="shared" si="2"/>
        <v>2117-18</v>
      </c>
    </row>
    <row r="165" spans="12:12" x14ac:dyDescent="0.25">
      <c r="L165" s="71" t="str">
        <f t="shared" si="2"/>
        <v>2118-19</v>
      </c>
    </row>
    <row r="166" spans="12:12" x14ac:dyDescent="0.25">
      <c r="L166" s="71" t="str">
        <f t="shared" si="2"/>
        <v>2119-20</v>
      </c>
    </row>
    <row r="167" spans="12:12" x14ac:dyDescent="0.25">
      <c r="L167" s="71" t="str">
        <f t="shared" si="2"/>
        <v>2120-21</v>
      </c>
    </row>
    <row r="168" spans="12:12" x14ac:dyDescent="0.25">
      <c r="L168" s="71" t="str">
        <f t="shared" si="2"/>
        <v>2121-22</v>
      </c>
    </row>
    <row r="169" spans="12:12" x14ac:dyDescent="0.25">
      <c r="L169" s="71" t="str">
        <f t="shared" si="2"/>
        <v>2122-23</v>
      </c>
    </row>
    <row r="170" spans="12:12" x14ac:dyDescent="0.25">
      <c r="L170" s="71" t="str">
        <f t="shared" si="2"/>
        <v>2123-24</v>
      </c>
    </row>
    <row r="171" spans="12:12" x14ac:dyDescent="0.25">
      <c r="L171" s="71" t="str">
        <f t="shared" si="2"/>
        <v>2124-25</v>
      </c>
    </row>
    <row r="172" spans="12:12" x14ac:dyDescent="0.25">
      <c r="L172" s="71" t="str">
        <f t="shared" si="2"/>
        <v>2125-26</v>
      </c>
    </row>
    <row r="173" spans="12:12" x14ac:dyDescent="0.25">
      <c r="L173" s="71" t="str">
        <f t="shared" si="2"/>
        <v>2126-27</v>
      </c>
    </row>
    <row r="174" spans="12:12" x14ac:dyDescent="0.25">
      <c r="L174" s="71" t="str">
        <f t="shared" si="2"/>
        <v>2127-28</v>
      </c>
    </row>
    <row r="175" spans="12:12" x14ac:dyDescent="0.25">
      <c r="L175" s="71" t="str">
        <f t="shared" si="2"/>
        <v>2128-29</v>
      </c>
    </row>
    <row r="176" spans="12:12" x14ac:dyDescent="0.25">
      <c r="L176" s="71" t="str">
        <f t="shared" si="2"/>
        <v>2129-30</v>
      </c>
    </row>
    <row r="177" spans="12:12" x14ac:dyDescent="0.25">
      <c r="L177" s="71" t="str">
        <f t="shared" si="2"/>
        <v>2130-31</v>
      </c>
    </row>
    <row r="178" spans="12:12" x14ac:dyDescent="0.25">
      <c r="L178" s="71" t="str">
        <f t="shared" si="2"/>
        <v>2131-32</v>
      </c>
    </row>
    <row r="179" spans="12:12" x14ac:dyDescent="0.25">
      <c r="L179" s="71" t="str">
        <f t="shared" si="2"/>
        <v>2132-33</v>
      </c>
    </row>
    <row r="180" spans="12:12" x14ac:dyDescent="0.25">
      <c r="L180" s="71" t="str">
        <f t="shared" si="2"/>
        <v>2133-34</v>
      </c>
    </row>
    <row r="181" spans="12:12" x14ac:dyDescent="0.25">
      <c r="L181" s="71" t="str">
        <f t="shared" si="2"/>
        <v>2134-35</v>
      </c>
    </row>
    <row r="182" spans="12:12" x14ac:dyDescent="0.25">
      <c r="L182" s="71" t="str">
        <f t="shared" si="2"/>
        <v>2135-36</v>
      </c>
    </row>
    <row r="183" spans="12:12" x14ac:dyDescent="0.25">
      <c r="L183" s="71" t="str">
        <f t="shared" si="2"/>
        <v>2136-37</v>
      </c>
    </row>
    <row r="184" spans="12:12" x14ac:dyDescent="0.25">
      <c r="L184" s="71" t="str">
        <f t="shared" si="2"/>
        <v>2137-38</v>
      </c>
    </row>
    <row r="185" spans="12:12" x14ac:dyDescent="0.25">
      <c r="L185" s="71" t="str">
        <f t="shared" si="2"/>
        <v>2138-39</v>
      </c>
    </row>
    <row r="186" spans="12:12" x14ac:dyDescent="0.25">
      <c r="L186" s="72" t="str">
        <f t="shared" si="2"/>
        <v>2139-40</v>
      </c>
    </row>
  </sheetData>
  <mergeCells count="3">
    <mergeCell ref="H5:I5"/>
    <mergeCell ref="H7:I7"/>
    <mergeCell ref="H9:I9"/>
  </mergeCells>
  <dataValidations count="4">
    <dataValidation type="list" allowBlank="1" showInputMessage="1" showErrorMessage="1" sqref="H5:I5">
      <formula1>$L$7:$L$9</formula1>
    </dataValidation>
    <dataValidation type="list" allowBlank="1" showInputMessage="1" showErrorMessage="1" sqref="H32">
      <formula1>$L$12:$L$14</formula1>
    </dataValidation>
    <dataValidation type="list" allowBlank="1" showInputMessage="1" showErrorMessage="1" sqref="I30 I15">
      <formula1>$L$37:$L$145</formula1>
    </dataValidation>
    <dataValidation type="list" allowBlank="1" showInputMessage="1" showErrorMessage="1" sqref="I17">
      <formula1>$L$17:$L$145</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79998168889431442"/>
  </sheetPr>
  <dimension ref="C1:R214"/>
  <sheetViews>
    <sheetView showGridLines="0" zoomScaleNormal="100" workbookViewId="0">
      <pane ySplit="16" topLeftCell="A17" activePane="bottomLeft" state="frozen"/>
      <selection activeCell="C9" sqref="C9"/>
      <selection pane="bottomLeft" activeCell="A17" sqref="A17"/>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6" width="18.59765625" customWidth="1"/>
    <col min="18" max="18" width="9.09765625" customWidth="1"/>
  </cols>
  <sheetData>
    <row r="1" spans="3:18" x14ac:dyDescent="0.25">
      <c r="E1" s="60"/>
    </row>
    <row r="2" spans="3:18" x14ac:dyDescent="0.25">
      <c r="E2" s="60"/>
    </row>
    <row r="3" spans="3:18" ht="20" x14ac:dyDescent="0.4">
      <c r="C3" s="87" t="s">
        <v>321</v>
      </c>
    </row>
    <row r="5" spans="3:18" x14ac:dyDescent="0.25">
      <c r="D5" s="60"/>
    </row>
    <row r="6" spans="3:18" ht="12" customHeight="1" x14ac:dyDescent="0.25">
      <c r="C6" s="240" t="str">
        <f ca="1">"Consideration must be given to the principles regarding asset exclusions presented on the '"&amp;MID(CELL("filename",'Asset exclusions'!A1),FIND("]",CELL("filename",'Asset exclusions'!A1))+1,255)&amp;"' worksheet before assets are entered into the register."</f>
        <v>Consideration must be given to the principles regarding asset exclusions presented on the 'Asset exclusions' worksheet before assets are entered into the register.</v>
      </c>
      <c r="D6" s="104"/>
      <c r="E6" s="104"/>
      <c r="F6" s="104"/>
      <c r="G6" s="104"/>
      <c r="H6" s="104"/>
      <c r="I6" s="104"/>
      <c r="J6" s="104"/>
      <c r="K6" s="104"/>
      <c r="L6" s="104"/>
      <c r="M6" s="104"/>
      <c r="N6" s="104"/>
      <c r="O6" s="104"/>
      <c r="P6" s="104"/>
      <c r="Q6" s="104"/>
      <c r="R6" s="104"/>
    </row>
    <row r="7" spans="3:18" x14ac:dyDescent="0.25">
      <c r="C7" s="165" t="str">
        <f ca="1">"Hyperlink to the '"&amp;MID(CELL("filename",'Asset exclusions'!A1),FIND("]",CELL("filename",'Asset exclusions'!A1))+1,255)&amp;"' worksheet:"</f>
        <v>Hyperlink to the 'Asset exclusions' worksheet:</v>
      </c>
      <c r="D7" s="104"/>
      <c r="E7" s="185" t="s">
        <v>160</v>
      </c>
      <c r="F7" s="104"/>
      <c r="G7" s="104"/>
      <c r="H7" s="104"/>
      <c r="I7" s="104"/>
      <c r="J7" s="104"/>
      <c r="K7" s="104"/>
      <c r="L7" s="104"/>
      <c r="M7" s="104"/>
      <c r="N7" s="104"/>
      <c r="O7" s="104"/>
      <c r="P7" s="104"/>
      <c r="Q7" s="104"/>
      <c r="R7" s="104"/>
    </row>
    <row r="8" spans="3:18" x14ac:dyDescent="0.25">
      <c r="C8" s="165" t="s">
        <v>330</v>
      </c>
      <c r="D8" s="104"/>
      <c r="E8" s="185"/>
      <c r="F8" s="104"/>
      <c r="G8" s="104"/>
      <c r="H8" s="104"/>
      <c r="I8" s="104"/>
      <c r="J8" s="104"/>
      <c r="K8" s="104"/>
      <c r="L8" s="104"/>
      <c r="M8" s="104"/>
      <c r="N8" s="104"/>
      <c r="O8" s="104"/>
      <c r="P8" s="104"/>
      <c r="Q8" s="104"/>
      <c r="R8" s="104"/>
    </row>
    <row r="9" spans="3:18" x14ac:dyDescent="0.25">
      <c r="C9" s="104"/>
      <c r="D9" s="104"/>
      <c r="E9" s="104"/>
      <c r="F9" s="104"/>
      <c r="G9" s="104"/>
      <c r="H9" s="104"/>
      <c r="I9" s="104"/>
      <c r="J9" s="104"/>
      <c r="K9" s="104"/>
      <c r="L9" s="104"/>
      <c r="M9" s="104"/>
      <c r="N9" s="104"/>
      <c r="O9" s="104"/>
      <c r="P9" s="104"/>
      <c r="Q9" s="104"/>
      <c r="R9" s="104"/>
    </row>
    <row r="10" spans="3:18" x14ac:dyDescent="0.25">
      <c r="C10" s="124" t="s">
        <v>64</v>
      </c>
      <c r="D10" s="104"/>
      <c r="E10" s="104"/>
      <c r="F10" s="104"/>
      <c r="G10" s="104"/>
      <c r="H10" s="104"/>
      <c r="I10" s="104"/>
      <c r="J10" s="104"/>
      <c r="K10" s="104"/>
      <c r="L10" s="104"/>
      <c r="M10" s="104"/>
      <c r="N10" s="104"/>
      <c r="O10" s="104"/>
      <c r="P10" s="104"/>
      <c r="Q10" s="104"/>
      <c r="R10" s="104"/>
    </row>
    <row r="11" spans="3:18" x14ac:dyDescent="0.25">
      <c r="C11" s="125" t="s">
        <v>67</v>
      </c>
      <c r="D11" s="104"/>
      <c r="E11" s="132">
        <f>'General inputs'!$H$19</f>
        <v>43646</v>
      </c>
      <c r="F11" s="104"/>
      <c r="G11" s="104"/>
      <c r="H11" s="104"/>
      <c r="I11" s="104"/>
      <c r="J11" s="104"/>
      <c r="K11" s="104"/>
      <c r="L11" s="104"/>
      <c r="M11" s="104"/>
      <c r="N11" s="104"/>
      <c r="O11" s="104"/>
      <c r="P11" s="104"/>
      <c r="Q11" s="104"/>
      <c r="R11" s="104"/>
    </row>
    <row r="12" spans="3:18" x14ac:dyDescent="0.25">
      <c r="C12" s="104"/>
      <c r="D12" s="104"/>
      <c r="E12" s="104"/>
      <c r="F12" s="104"/>
      <c r="G12" s="104"/>
      <c r="H12" s="104"/>
      <c r="I12" s="104"/>
      <c r="J12" s="104"/>
      <c r="K12" s="104"/>
      <c r="L12" s="104"/>
      <c r="M12" s="104"/>
      <c r="N12" s="104"/>
      <c r="O12" s="104"/>
      <c r="P12" s="104"/>
      <c r="Q12" s="104"/>
      <c r="R12" s="104"/>
    </row>
    <row r="13" spans="3:18" ht="15.5" x14ac:dyDescent="0.35">
      <c r="C13" s="195" t="s">
        <v>296</v>
      </c>
      <c r="D13" s="104"/>
      <c r="E13" s="104"/>
      <c r="F13" s="104"/>
      <c r="G13" s="104"/>
      <c r="H13" s="104"/>
      <c r="I13" s="104"/>
      <c r="J13" s="104"/>
      <c r="K13" s="104"/>
      <c r="L13" s="104"/>
      <c r="M13" s="104"/>
      <c r="N13" s="104"/>
      <c r="O13" s="104"/>
      <c r="P13" s="104"/>
      <c r="Q13" s="104"/>
      <c r="R13" s="104"/>
    </row>
    <row r="14" spans="3:18" x14ac:dyDescent="0.25">
      <c r="C14" s="104"/>
      <c r="D14" s="104"/>
      <c r="E14" s="104"/>
      <c r="F14" s="104"/>
      <c r="G14" s="104"/>
      <c r="H14" s="104"/>
      <c r="I14" s="104"/>
      <c r="K14" s="104"/>
      <c r="L14" s="104"/>
      <c r="M14" s="104"/>
      <c r="N14" s="104"/>
      <c r="O14" s="104"/>
      <c r="P14" s="104"/>
      <c r="Q14" s="104"/>
      <c r="R14" s="104"/>
    </row>
    <row r="15" spans="3:18" x14ac:dyDescent="0.25">
      <c r="C15" s="124" t="s">
        <v>29</v>
      </c>
      <c r="E15" s="104"/>
      <c r="F15" s="104"/>
      <c r="G15" s="104"/>
      <c r="H15" s="124" t="s">
        <v>30</v>
      </c>
      <c r="I15" s="104"/>
      <c r="K15" s="104"/>
      <c r="L15" s="124" t="s">
        <v>31</v>
      </c>
      <c r="M15" s="124"/>
      <c r="N15" s="104"/>
      <c r="O15" s="104"/>
      <c r="P15" s="104"/>
      <c r="Q15" s="104"/>
      <c r="R15" s="104"/>
    </row>
    <row r="16" spans="3:18" ht="62" customHeight="1" x14ac:dyDescent="0.25">
      <c r="C16" s="53" t="s">
        <v>26</v>
      </c>
      <c r="D16" s="53" t="s">
        <v>25</v>
      </c>
      <c r="E16" s="53" t="s">
        <v>27</v>
      </c>
      <c r="F16" s="53" t="s">
        <v>37</v>
      </c>
      <c r="G16" s="104"/>
      <c r="H16" s="53" t="s">
        <v>42</v>
      </c>
      <c r="I16" s="53" t="s">
        <v>97</v>
      </c>
      <c r="J16" s="53" t="s">
        <v>95</v>
      </c>
      <c r="K16" s="104"/>
      <c r="L16" s="53" t="s">
        <v>96</v>
      </c>
      <c r="M16" s="53" t="s">
        <v>119</v>
      </c>
      <c r="N16" s="53" t="str">
        <f>"MEERA value per unit/measure of length (B) 
("&amp;'General inputs'!$H$32&amp;" as at 1 July "&amp;LEFT('General inputs'!$I$30,4)&amp;")"</f>
        <v>MEERA value per unit/measure of length (B) 
($'000 as at 1 July 2019)</v>
      </c>
      <c r="O16" s="53" t="str">
        <f>"Total MEERA value (A x B)
("&amp;'General inputs'!$H$32&amp;", $"&amp;'General inputs'!$I$30&amp;")"</f>
        <v>Total MEERA value (A x B)
($'000, $2019-20)</v>
      </c>
      <c r="P16" s="53" t="str">
        <f>"MEERA value allocated to DSP pre avoided costs ("&amp;'General inputs'!$H$32&amp;", $"&amp;'General inputs'!$I$30&amp;")"</f>
        <v>MEERA value allocated to DSP pre avoided costs ($'000, $2019-20)</v>
      </c>
      <c r="Q16" s="104"/>
      <c r="R16" s="104"/>
    </row>
    <row r="17" spans="3:18" ht="12" customHeight="1" x14ac:dyDescent="0.25">
      <c r="C17" s="54">
        <v>123456</v>
      </c>
      <c r="D17" s="147" t="s">
        <v>163</v>
      </c>
      <c r="E17" s="239">
        <v>42550</v>
      </c>
      <c r="F17" s="241" t="str">
        <f>IF(E17="","-",IF(E17&gt;$E$11,"ERROR - date outside of range",IF(MONTH(E17)&gt;=7,YEAR(E17)&amp;"-"&amp;IF(YEAR(E17)=1999,"00",IF(AND(YEAR(E17)&gt;=2000,YEAR(E17)&lt;2009),"0","")&amp;RIGHT(YEAR(E17),2)+1),RIGHT(YEAR(E17),4)-1&amp;"-"&amp;RIGHT(YEAR(E17),2))))</f>
        <v>2015-16</v>
      </c>
      <c r="G17" s="1"/>
      <c r="H17" s="151" t="s">
        <v>109</v>
      </c>
      <c r="I17" s="54">
        <v>10000</v>
      </c>
      <c r="J17" s="129">
        <f ca="1">IFERROR(MIN('DC Calculations'!$F$28/I17,1),"-")</f>
        <v>0.25</v>
      </c>
      <c r="K17" s="120"/>
      <c r="L17" s="54">
        <v>1</v>
      </c>
      <c r="M17" s="54" t="s">
        <v>136</v>
      </c>
      <c r="N17" s="54">
        <v>10000</v>
      </c>
      <c r="O17" s="244">
        <f>IF(N17="","-",L17*N17)</f>
        <v>10000</v>
      </c>
      <c r="P17" s="126">
        <f ca="1">IF(O17="-","-",IF(E17&gt;$E$11,0,O17*J17))</f>
        <v>2500</v>
      </c>
      <c r="Q17" s="104"/>
      <c r="R17" s="104"/>
    </row>
    <row r="18" spans="3:18" ht="23" x14ac:dyDescent="0.25">
      <c r="C18" s="55">
        <v>123457</v>
      </c>
      <c r="D18" s="148" t="s">
        <v>164</v>
      </c>
      <c r="E18" s="61">
        <v>43281</v>
      </c>
      <c r="F18" s="242" t="str">
        <f t="shared" ref="F18:F81" si="0">IF(E18="","-",IF(E18&gt;$E$11,"ERROR - date outside of range",IF(MONTH(E18)&gt;=7,YEAR(E18)&amp;"-"&amp;IF(YEAR(E18)=1999,"00",IF(AND(YEAR(E18)&gt;=2000,YEAR(E18)&lt;2009),"0","")&amp;RIGHT(YEAR(E18),2)+1),RIGHT(YEAR(E18),4)-1&amp;"-"&amp;RIGHT(YEAR(E18),2))))</f>
        <v>2017-18</v>
      </c>
      <c r="G18" s="1"/>
      <c r="H18" s="152" t="s">
        <v>108</v>
      </c>
      <c r="I18" s="55">
        <v>10000</v>
      </c>
      <c r="J18" s="130">
        <f ca="1">IFERROR(MIN('DC Calculations'!$F$28/I18,1),"-")</f>
        <v>0.25</v>
      </c>
      <c r="K18" s="120"/>
      <c r="L18" s="172">
        <v>1</v>
      </c>
      <c r="M18" s="55" t="s">
        <v>120</v>
      </c>
      <c r="N18" s="55">
        <v>50000</v>
      </c>
      <c r="O18" s="245">
        <f t="shared" ref="O18:O81" si="1">IF(N18="","-",L18*N18)</f>
        <v>50000</v>
      </c>
      <c r="P18" s="127">
        <f t="shared" ref="P18:P81" ca="1" si="2">IF(O18="-","-",IF(E18&gt;$E$11,0,O18*J18))</f>
        <v>12500</v>
      </c>
      <c r="Q18" s="104"/>
      <c r="R18" s="131"/>
    </row>
    <row r="19" spans="3:18" x14ac:dyDescent="0.25">
      <c r="C19" s="55"/>
      <c r="D19" s="148"/>
      <c r="E19" s="61"/>
      <c r="F19" s="242" t="str">
        <f t="shared" si="0"/>
        <v>-</v>
      </c>
      <c r="G19" s="1"/>
      <c r="H19" s="152"/>
      <c r="I19" s="55"/>
      <c r="J19" s="130" t="str">
        <f ca="1">IFERROR(MIN('DC Calculations'!$F$28/I19,1),"-")</f>
        <v>-</v>
      </c>
      <c r="K19" s="120"/>
      <c r="L19" s="55"/>
      <c r="M19" s="55"/>
      <c r="N19" s="55"/>
      <c r="O19" s="245" t="str">
        <f t="shared" si="1"/>
        <v>-</v>
      </c>
      <c r="P19" s="127" t="str">
        <f t="shared" si="2"/>
        <v>-</v>
      </c>
      <c r="Q19" s="104"/>
      <c r="R19" s="104"/>
    </row>
    <row r="20" spans="3:18" x14ac:dyDescent="0.25">
      <c r="C20" s="55"/>
      <c r="D20" s="148"/>
      <c r="E20" s="61"/>
      <c r="F20" s="242" t="str">
        <f t="shared" si="0"/>
        <v>-</v>
      </c>
      <c r="G20" s="1"/>
      <c r="H20" s="152"/>
      <c r="I20" s="55"/>
      <c r="J20" s="130" t="str">
        <f ca="1">IFERROR(MIN('DC Calculations'!$F$28/I20,1),"-")</f>
        <v>-</v>
      </c>
      <c r="K20" s="120"/>
      <c r="L20" s="55"/>
      <c r="M20" s="55"/>
      <c r="N20" s="55"/>
      <c r="O20" s="245" t="str">
        <f t="shared" si="1"/>
        <v>-</v>
      </c>
      <c r="P20" s="127" t="str">
        <f t="shared" si="2"/>
        <v>-</v>
      </c>
      <c r="Q20" s="104"/>
      <c r="R20" s="104"/>
    </row>
    <row r="21" spans="3:18" x14ac:dyDescent="0.25">
      <c r="C21" s="55"/>
      <c r="D21" s="148"/>
      <c r="E21" s="61"/>
      <c r="F21" s="242" t="str">
        <f t="shared" si="0"/>
        <v>-</v>
      </c>
      <c r="G21" s="1"/>
      <c r="H21" s="152"/>
      <c r="I21" s="55"/>
      <c r="J21" s="130" t="str">
        <f ca="1">IFERROR(MIN('DC Calculations'!$F$28/I21,1),"-")</f>
        <v>-</v>
      </c>
      <c r="K21" s="120"/>
      <c r="L21" s="55"/>
      <c r="M21" s="55"/>
      <c r="N21" s="55"/>
      <c r="O21" s="245" t="str">
        <f t="shared" si="1"/>
        <v>-</v>
      </c>
      <c r="P21" s="127" t="str">
        <f t="shared" si="2"/>
        <v>-</v>
      </c>
      <c r="Q21" s="104"/>
      <c r="R21" s="104"/>
    </row>
    <row r="22" spans="3:18" x14ac:dyDescent="0.25">
      <c r="C22" s="55"/>
      <c r="D22" s="148"/>
      <c r="E22" s="61"/>
      <c r="F22" s="242" t="str">
        <f t="shared" si="0"/>
        <v>-</v>
      </c>
      <c r="G22" s="1"/>
      <c r="H22" s="152"/>
      <c r="I22" s="55"/>
      <c r="J22" s="130" t="str">
        <f ca="1">IFERROR(MIN('DC Calculations'!$F$28/I22,1),"-")</f>
        <v>-</v>
      </c>
      <c r="K22" s="120"/>
      <c r="L22" s="55"/>
      <c r="M22" s="55"/>
      <c r="N22" s="55"/>
      <c r="O22" s="245" t="str">
        <f t="shared" si="1"/>
        <v>-</v>
      </c>
      <c r="P22" s="127" t="str">
        <f t="shared" si="2"/>
        <v>-</v>
      </c>
      <c r="Q22" s="104"/>
      <c r="R22" s="104"/>
    </row>
    <row r="23" spans="3:18" x14ac:dyDescent="0.25">
      <c r="C23" s="55"/>
      <c r="D23" s="148"/>
      <c r="E23" s="61"/>
      <c r="F23" s="242" t="str">
        <f t="shared" si="0"/>
        <v>-</v>
      </c>
      <c r="G23" s="1"/>
      <c r="H23" s="152"/>
      <c r="I23" s="55"/>
      <c r="J23" s="130" t="str">
        <f ca="1">IFERROR(MIN('DC Calculations'!$F$28/I23,1),"-")</f>
        <v>-</v>
      </c>
      <c r="K23" s="120"/>
      <c r="L23" s="55"/>
      <c r="M23" s="55"/>
      <c r="N23" s="55"/>
      <c r="O23" s="245" t="str">
        <f t="shared" si="1"/>
        <v>-</v>
      </c>
      <c r="P23" s="127" t="str">
        <f t="shared" si="2"/>
        <v>-</v>
      </c>
      <c r="Q23" s="104"/>
      <c r="R23" s="104"/>
    </row>
    <row r="24" spans="3:18" x14ac:dyDescent="0.25">
      <c r="C24" s="55"/>
      <c r="D24" s="148"/>
      <c r="E24" s="61"/>
      <c r="F24" s="242" t="str">
        <f t="shared" si="0"/>
        <v>-</v>
      </c>
      <c r="G24" s="1"/>
      <c r="H24" s="152"/>
      <c r="I24" s="55"/>
      <c r="J24" s="130" t="str">
        <f ca="1">IFERROR(MIN('DC Calculations'!$F$28/I24,1),"-")</f>
        <v>-</v>
      </c>
      <c r="K24" s="120"/>
      <c r="L24" s="55"/>
      <c r="M24" s="55"/>
      <c r="N24" s="55"/>
      <c r="O24" s="245" t="str">
        <f t="shared" si="1"/>
        <v>-</v>
      </c>
      <c r="P24" s="127" t="str">
        <f t="shared" si="2"/>
        <v>-</v>
      </c>
      <c r="Q24" s="104"/>
      <c r="R24" s="104"/>
    </row>
    <row r="25" spans="3:18" x14ac:dyDescent="0.25">
      <c r="C25" s="55"/>
      <c r="D25" s="148"/>
      <c r="E25" s="61"/>
      <c r="F25" s="242" t="str">
        <f t="shared" si="0"/>
        <v>-</v>
      </c>
      <c r="G25" s="1"/>
      <c r="H25" s="152"/>
      <c r="I25" s="55"/>
      <c r="J25" s="130" t="str">
        <f ca="1">IFERROR(MIN('DC Calculations'!$F$28/I25,1),"-")</f>
        <v>-</v>
      </c>
      <c r="K25" s="120"/>
      <c r="L25" s="55"/>
      <c r="M25" s="55"/>
      <c r="N25" s="55"/>
      <c r="O25" s="245" t="str">
        <f t="shared" si="1"/>
        <v>-</v>
      </c>
      <c r="P25" s="127" t="str">
        <f t="shared" si="2"/>
        <v>-</v>
      </c>
      <c r="Q25" s="104"/>
      <c r="R25" s="104"/>
    </row>
    <row r="26" spans="3:18" x14ac:dyDescent="0.25">
      <c r="C26" s="55"/>
      <c r="D26" s="148"/>
      <c r="E26" s="61"/>
      <c r="F26" s="242" t="str">
        <f t="shared" si="0"/>
        <v>-</v>
      </c>
      <c r="G26" s="1"/>
      <c r="H26" s="152"/>
      <c r="I26" s="55"/>
      <c r="J26" s="130" t="str">
        <f ca="1">IFERROR(MIN('DC Calculations'!$F$28/I26,1),"-")</f>
        <v>-</v>
      </c>
      <c r="K26" s="120"/>
      <c r="L26" s="55"/>
      <c r="M26" s="55"/>
      <c r="N26" s="55"/>
      <c r="O26" s="245" t="str">
        <f t="shared" si="1"/>
        <v>-</v>
      </c>
      <c r="P26" s="127" t="str">
        <f t="shared" si="2"/>
        <v>-</v>
      </c>
      <c r="Q26" s="104"/>
      <c r="R26" s="104"/>
    </row>
    <row r="27" spans="3:18" x14ac:dyDescent="0.25">
      <c r="C27" s="55"/>
      <c r="D27" s="148"/>
      <c r="E27" s="61"/>
      <c r="F27" s="242" t="str">
        <f t="shared" si="0"/>
        <v>-</v>
      </c>
      <c r="G27" s="1"/>
      <c r="H27" s="152"/>
      <c r="I27" s="55"/>
      <c r="J27" s="130" t="str">
        <f ca="1">IFERROR(MIN('DC Calculations'!$F$28/I27,1),"-")</f>
        <v>-</v>
      </c>
      <c r="K27" s="120"/>
      <c r="L27" s="55"/>
      <c r="M27" s="55"/>
      <c r="N27" s="55"/>
      <c r="O27" s="245" t="str">
        <f t="shared" si="1"/>
        <v>-</v>
      </c>
      <c r="P27" s="127" t="str">
        <f t="shared" si="2"/>
        <v>-</v>
      </c>
      <c r="Q27" s="104"/>
      <c r="R27" s="104"/>
    </row>
    <row r="28" spans="3:18" x14ac:dyDescent="0.25">
      <c r="C28" s="55"/>
      <c r="D28" s="148"/>
      <c r="E28" s="61"/>
      <c r="F28" s="242" t="str">
        <f t="shared" si="0"/>
        <v>-</v>
      </c>
      <c r="G28" s="1"/>
      <c r="H28" s="152"/>
      <c r="I28" s="55"/>
      <c r="J28" s="130" t="str">
        <f ca="1">IFERROR(MIN('DC Calculations'!$F$28/I28,1),"-")</f>
        <v>-</v>
      </c>
      <c r="K28" s="120"/>
      <c r="L28" s="55"/>
      <c r="M28" s="55"/>
      <c r="N28" s="55"/>
      <c r="O28" s="245" t="str">
        <f t="shared" si="1"/>
        <v>-</v>
      </c>
      <c r="P28" s="127" t="str">
        <f t="shared" si="2"/>
        <v>-</v>
      </c>
      <c r="Q28" s="104"/>
      <c r="R28" s="104"/>
    </row>
    <row r="29" spans="3:18" x14ac:dyDescent="0.25">
      <c r="C29" s="55"/>
      <c r="D29" s="148"/>
      <c r="E29" s="61"/>
      <c r="F29" s="242" t="str">
        <f t="shared" si="0"/>
        <v>-</v>
      </c>
      <c r="G29" s="1"/>
      <c r="H29" s="152"/>
      <c r="I29" s="55"/>
      <c r="J29" s="130" t="str">
        <f ca="1">IFERROR(MIN('DC Calculations'!$F$28/I29,1),"-")</f>
        <v>-</v>
      </c>
      <c r="K29" s="120"/>
      <c r="L29" s="55"/>
      <c r="M29" s="55"/>
      <c r="N29" s="55"/>
      <c r="O29" s="245" t="str">
        <f t="shared" si="1"/>
        <v>-</v>
      </c>
      <c r="P29" s="127" t="str">
        <f t="shared" si="2"/>
        <v>-</v>
      </c>
      <c r="Q29" s="104"/>
      <c r="R29" s="104"/>
    </row>
    <row r="30" spans="3:18" x14ac:dyDescent="0.25">
      <c r="C30" s="55"/>
      <c r="D30" s="148"/>
      <c r="E30" s="61"/>
      <c r="F30" s="242" t="str">
        <f t="shared" si="0"/>
        <v>-</v>
      </c>
      <c r="G30" s="1"/>
      <c r="H30" s="152"/>
      <c r="I30" s="55"/>
      <c r="J30" s="130" t="str">
        <f ca="1">IFERROR(MIN('DC Calculations'!$F$28/I30,1),"-")</f>
        <v>-</v>
      </c>
      <c r="K30" s="120"/>
      <c r="L30" s="55"/>
      <c r="M30" s="55"/>
      <c r="N30" s="55"/>
      <c r="O30" s="245" t="str">
        <f t="shared" si="1"/>
        <v>-</v>
      </c>
      <c r="P30" s="127" t="str">
        <f t="shared" si="2"/>
        <v>-</v>
      </c>
      <c r="Q30" s="104"/>
      <c r="R30" s="104"/>
    </row>
    <row r="31" spans="3:18" x14ac:dyDescent="0.25">
      <c r="C31" s="55"/>
      <c r="D31" s="148"/>
      <c r="E31" s="61"/>
      <c r="F31" s="242" t="str">
        <f t="shared" si="0"/>
        <v>-</v>
      </c>
      <c r="G31" s="1"/>
      <c r="H31" s="152"/>
      <c r="I31" s="55"/>
      <c r="J31" s="130" t="str">
        <f ca="1">IFERROR(MIN('DC Calculations'!$F$28/I31,1),"-")</f>
        <v>-</v>
      </c>
      <c r="K31" s="120"/>
      <c r="L31" s="55"/>
      <c r="M31" s="55"/>
      <c r="N31" s="55"/>
      <c r="O31" s="245" t="str">
        <f t="shared" si="1"/>
        <v>-</v>
      </c>
      <c r="P31" s="127" t="str">
        <f t="shared" si="2"/>
        <v>-</v>
      </c>
      <c r="Q31" s="104"/>
      <c r="R31" s="104"/>
    </row>
    <row r="32" spans="3:18" x14ac:dyDescent="0.25">
      <c r="C32" s="55"/>
      <c r="D32" s="148"/>
      <c r="E32" s="61"/>
      <c r="F32" s="242" t="str">
        <f t="shared" si="0"/>
        <v>-</v>
      </c>
      <c r="G32" s="1"/>
      <c r="H32" s="152"/>
      <c r="I32" s="55"/>
      <c r="J32" s="130" t="str">
        <f ca="1">IFERROR(MIN('DC Calculations'!$F$28/I32,1),"-")</f>
        <v>-</v>
      </c>
      <c r="K32" s="120"/>
      <c r="L32" s="55"/>
      <c r="M32" s="55"/>
      <c r="N32" s="55"/>
      <c r="O32" s="245" t="str">
        <f t="shared" si="1"/>
        <v>-</v>
      </c>
      <c r="P32" s="127" t="str">
        <f t="shared" si="2"/>
        <v>-</v>
      </c>
      <c r="Q32" s="104"/>
      <c r="R32" s="104"/>
    </row>
    <row r="33" spans="3:18" x14ac:dyDescent="0.25">
      <c r="C33" s="55"/>
      <c r="D33" s="148"/>
      <c r="E33" s="61"/>
      <c r="F33" s="242" t="str">
        <f t="shared" si="0"/>
        <v>-</v>
      </c>
      <c r="G33" s="1"/>
      <c r="H33" s="152"/>
      <c r="I33" s="55"/>
      <c r="J33" s="130" t="str">
        <f ca="1">IFERROR(MIN('DC Calculations'!$F$28/I33,1),"-")</f>
        <v>-</v>
      </c>
      <c r="K33" s="120"/>
      <c r="L33" s="55"/>
      <c r="M33" s="55"/>
      <c r="N33" s="55"/>
      <c r="O33" s="245" t="str">
        <f t="shared" si="1"/>
        <v>-</v>
      </c>
      <c r="P33" s="127" t="str">
        <f t="shared" si="2"/>
        <v>-</v>
      </c>
      <c r="Q33" s="104"/>
      <c r="R33" s="104"/>
    </row>
    <row r="34" spans="3:18" x14ac:dyDescent="0.25">
      <c r="C34" s="55"/>
      <c r="D34" s="148"/>
      <c r="E34" s="61"/>
      <c r="F34" s="242" t="str">
        <f t="shared" si="0"/>
        <v>-</v>
      </c>
      <c r="G34" s="1"/>
      <c r="H34" s="152"/>
      <c r="I34" s="55"/>
      <c r="J34" s="130" t="str">
        <f ca="1">IFERROR(MIN('DC Calculations'!$F$28/I34,1),"-")</f>
        <v>-</v>
      </c>
      <c r="K34" s="120"/>
      <c r="L34" s="55"/>
      <c r="M34" s="55"/>
      <c r="N34" s="55"/>
      <c r="O34" s="245" t="str">
        <f t="shared" si="1"/>
        <v>-</v>
      </c>
      <c r="P34" s="127" t="str">
        <f t="shared" si="2"/>
        <v>-</v>
      </c>
      <c r="Q34" s="104"/>
      <c r="R34" s="104"/>
    </row>
    <row r="35" spans="3:18" x14ac:dyDescent="0.25">
      <c r="C35" s="55"/>
      <c r="D35" s="148"/>
      <c r="E35" s="61"/>
      <c r="F35" s="242" t="str">
        <f t="shared" si="0"/>
        <v>-</v>
      </c>
      <c r="G35" s="1"/>
      <c r="H35" s="152"/>
      <c r="I35" s="55"/>
      <c r="J35" s="130" t="str">
        <f ca="1">IFERROR(MIN('DC Calculations'!$F$28/I35,1),"-")</f>
        <v>-</v>
      </c>
      <c r="K35" s="120"/>
      <c r="L35" s="55"/>
      <c r="M35" s="55"/>
      <c r="N35" s="55"/>
      <c r="O35" s="245" t="str">
        <f t="shared" si="1"/>
        <v>-</v>
      </c>
      <c r="P35" s="127" t="str">
        <f t="shared" si="2"/>
        <v>-</v>
      </c>
      <c r="Q35" s="104"/>
      <c r="R35" s="104"/>
    </row>
    <row r="36" spans="3:18" x14ac:dyDescent="0.25">
      <c r="C36" s="55"/>
      <c r="D36" s="148"/>
      <c r="E36" s="61"/>
      <c r="F36" s="242" t="str">
        <f t="shared" si="0"/>
        <v>-</v>
      </c>
      <c r="G36" s="1"/>
      <c r="H36" s="152"/>
      <c r="I36" s="55"/>
      <c r="J36" s="130" t="str">
        <f ca="1">IFERROR(MIN('DC Calculations'!$F$28/I36,1),"-")</f>
        <v>-</v>
      </c>
      <c r="K36" s="120"/>
      <c r="L36" s="55"/>
      <c r="M36" s="55"/>
      <c r="N36" s="55"/>
      <c r="O36" s="245" t="str">
        <f t="shared" si="1"/>
        <v>-</v>
      </c>
      <c r="P36" s="127" t="str">
        <f t="shared" si="2"/>
        <v>-</v>
      </c>
      <c r="Q36" s="104"/>
      <c r="R36" s="104"/>
    </row>
    <row r="37" spans="3:18" x14ac:dyDescent="0.25">
      <c r="C37" s="55"/>
      <c r="D37" s="148"/>
      <c r="E37" s="61"/>
      <c r="F37" s="242" t="str">
        <f t="shared" si="0"/>
        <v>-</v>
      </c>
      <c r="G37" s="1"/>
      <c r="H37" s="152"/>
      <c r="I37" s="55"/>
      <c r="J37" s="130" t="str">
        <f ca="1">IFERROR(MIN('DC Calculations'!$F$28/I37,1),"-")</f>
        <v>-</v>
      </c>
      <c r="K37" s="120"/>
      <c r="L37" s="55"/>
      <c r="M37" s="55"/>
      <c r="N37" s="55"/>
      <c r="O37" s="245" t="str">
        <f t="shared" si="1"/>
        <v>-</v>
      </c>
      <c r="P37" s="127" t="str">
        <f t="shared" si="2"/>
        <v>-</v>
      </c>
      <c r="Q37" s="104"/>
      <c r="R37" s="104"/>
    </row>
    <row r="38" spans="3:18" x14ac:dyDescent="0.25">
      <c r="C38" s="55"/>
      <c r="D38" s="148"/>
      <c r="E38" s="61"/>
      <c r="F38" s="242" t="str">
        <f t="shared" si="0"/>
        <v>-</v>
      </c>
      <c r="G38" s="1"/>
      <c r="H38" s="152"/>
      <c r="I38" s="55"/>
      <c r="J38" s="130" t="str">
        <f ca="1">IFERROR(MIN('DC Calculations'!$F$28/I38,1),"-")</f>
        <v>-</v>
      </c>
      <c r="K38" s="120"/>
      <c r="L38" s="55"/>
      <c r="M38" s="55"/>
      <c r="N38" s="55"/>
      <c r="O38" s="245" t="str">
        <f t="shared" si="1"/>
        <v>-</v>
      </c>
      <c r="P38" s="127" t="str">
        <f t="shared" si="2"/>
        <v>-</v>
      </c>
      <c r="Q38" s="104"/>
      <c r="R38" s="104"/>
    </row>
    <row r="39" spans="3:18" x14ac:dyDescent="0.25">
      <c r="C39" s="55"/>
      <c r="D39" s="148"/>
      <c r="E39" s="61"/>
      <c r="F39" s="242" t="str">
        <f t="shared" si="0"/>
        <v>-</v>
      </c>
      <c r="G39" s="1"/>
      <c r="H39" s="152"/>
      <c r="I39" s="55"/>
      <c r="J39" s="130" t="str">
        <f ca="1">IFERROR(MIN('DC Calculations'!$F$28/I39,1),"-")</f>
        <v>-</v>
      </c>
      <c r="K39" s="120"/>
      <c r="L39" s="55"/>
      <c r="M39" s="55"/>
      <c r="N39" s="55"/>
      <c r="O39" s="245" t="str">
        <f t="shared" si="1"/>
        <v>-</v>
      </c>
      <c r="P39" s="127" t="str">
        <f t="shared" si="2"/>
        <v>-</v>
      </c>
      <c r="Q39" s="104"/>
      <c r="R39" s="104"/>
    </row>
    <row r="40" spans="3:18" x14ac:dyDescent="0.25">
      <c r="C40" s="55"/>
      <c r="D40" s="148"/>
      <c r="E40" s="61"/>
      <c r="F40" s="242" t="str">
        <f t="shared" si="0"/>
        <v>-</v>
      </c>
      <c r="G40" s="1"/>
      <c r="H40" s="152"/>
      <c r="I40" s="55"/>
      <c r="J40" s="130" t="str">
        <f ca="1">IFERROR(MIN('DC Calculations'!$F$28/I40,1),"-")</f>
        <v>-</v>
      </c>
      <c r="K40" s="120"/>
      <c r="L40" s="55"/>
      <c r="M40" s="55"/>
      <c r="N40" s="55"/>
      <c r="O40" s="245" t="str">
        <f t="shared" si="1"/>
        <v>-</v>
      </c>
      <c r="P40" s="127" t="str">
        <f t="shared" si="2"/>
        <v>-</v>
      </c>
      <c r="Q40" s="104"/>
      <c r="R40" s="104"/>
    </row>
    <row r="41" spans="3:18" x14ac:dyDescent="0.25">
      <c r="C41" s="55"/>
      <c r="D41" s="148"/>
      <c r="E41" s="61"/>
      <c r="F41" s="242" t="str">
        <f t="shared" si="0"/>
        <v>-</v>
      </c>
      <c r="G41" s="1"/>
      <c r="H41" s="152"/>
      <c r="I41" s="55"/>
      <c r="J41" s="130" t="str">
        <f ca="1">IFERROR(MIN('DC Calculations'!$F$28/I41,1),"-")</f>
        <v>-</v>
      </c>
      <c r="K41" s="120"/>
      <c r="L41" s="55"/>
      <c r="M41" s="55"/>
      <c r="N41" s="55"/>
      <c r="O41" s="245" t="str">
        <f t="shared" si="1"/>
        <v>-</v>
      </c>
      <c r="P41" s="127" t="str">
        <f t="shared" si="2"/>
        <v>-</v>
      </c>
      <c r="Q41" s="104"/>
      <c r="R41" s="104"/>
    </row>
    <row r="42" spans="3:18" x14ac:dyDescent="0.25">
      <c r="C42" s="55"/>
      <c r="D42" s="148"/>
      <c r="E42" s="61"/>
      <c r="F42" s="242" t="str">
        <f t="shared" si="0"/>
        <v>-</v>
      </c>
      <c r="G42" s="1"/>
      <c r="H42" s="152"/>
      <c r="I42" s="55"/>
      <c r="J42" s="130" t="str">
        <f ca="1">IFERROR(MIN('DC Calculations'!$F$28/I42,1),"-")</f>
        <v>-</v>
      </c>
      <c r="K42" s="120"/>
      <c r="L42" s="55"/>
      <c r="M42" s="55"/>
      <c r="N42" s="55"/>
      <c r="O42" s="245" t="str">
        <f t="shared" si="1"/>
        <v>-</v>
      </c>
      <c r="P42" s="127" t="str">
        <f t="shared" si="2"/>
        <v>-</v>
      </c>
      <c r="Q42" s="104"/>
      <c r="R42" s="104"/>
    </row>
    <row r="43" spans="3:18" x14ac:dyDescent="0.25">
      <c r="C43" s="55"/>
      <c r="D43" s="148"/>
      <c r="E43" s="61"/>
      <c r="F43" s="242" t="str">
        <f t="shared" si="0"/>
        <v>-</v>
      </c>
      <c r="G43" s="1"/>
      <c r="H43" s="152"/>
      <c r="I43" s="55"/>
      <c r="J43" s="130" t="str">
        <f ca="1">IFERROR(MIN('DC Calculations'!$F$28/I43,1),"-")</f>
        <v>-</v>
      </c>
      <c r="K43" s="120"/>
      <c r="L43" s="55"/>
      <c r="M43" s="55"/>
      <c r="N43" s="55"/>
      <c r="O43" s="245" t="str">
        <f t="shared" si="1"/>
        <v>-</v>
      </c>
      <c r="P43" s="127" t="str">
        <f t="shared" si="2"/>
        <v>-</v>
      </c>
      <c r="Q43" s="104"/>
      <c r="R43" s="104"/>
    </row>
    <row r="44" spans="3:18" x14ac:dyDescent="0.25">
      <c r="C44" s="55"/>
      <c r="D44" s="148"/>
      <c r="E44" s="61"/>
      <c r="F44" s="242" t="str">
        <f t="shared" si="0"/>
        <v>-</v>
      </c>
      <c r="G44" s="1"/>
      <c r="H44" s="152"/>
      <c r="I44" s="55"/>
      <c r="J44" s="130" t="str">
        <f ca="1">IFERROR(MIN('DC Calculations'!$F$28/I44,1),"-")</f>
        <v>-</v>
      </c>
      <c r="K44" s="120"/>
      <c r="L44" s="55"/>
      <c r="M44" s="55"/>
      <c r="N44" s="55"/>
      <c r="O44" s="245" t="str">
        <f t="shared" si="1"/>
        <v>-</v>
      </c>
      <c r="P44" s="127" t="str">
        <f t="shared" si="2"/>
        <v>-</v>
      </c>
      <c r="Q44" s="104"/>
      <c r="R44" s="104"/>
    </row>
    <row r="45" spans="3:18" x14ac:dyDescent="0.25">
      <c r="C45" s="55"/>
      <c r="D45" s="148"/>
      <c r="E45" s="61"/>
      <c r="F45" s="242" t="str">
        <f t="shared" si="0"/>
        <v>-</v>
      </c>
      <c r="G45" s="1"/>
      <c r="H45" s="152"/>
      <c r="I45" s="55"/>
      <c r="J45" s="130" t="str">
        <f ca="1">IFERROR(MIN('DC Calculations'!$F$28/I45,1),"-")</f>
        <v>-</v>
      </c>
      <c r="K45" s="120"/>
      <c r="L45" s="55"/>
      <c r="M45" s="55"/>
      <c r="N45" s="55"/>
      <c r="O45" s="245" t="str">
        <f t="shared" si="1"/>
        <v>-</v>
      </c>
      <c r="P45" s="127" t="str">
        <f t="shared" si="2"/>
        <v>-</v>
      </c>
      <c r="Q45" s="104"/>
      <c r="R45" s="104"/>
    </row>
    <row r="46" spans="3:18" x14ac:dyDescent="0.25">
      <c r="C46" s="55"/>
      <c r="D46" s="148"/>
      <c r="E46" s="61"/>
      <c r="F46" s="242" t="str">
        <f t="shared" si="0"/>
        <v>-</v>
      </c>
      <c r="G46" s="1"/>
      <c r="H46" s="152"/>
      <c r="I46" s="55"/>
      <c r="J46" s="130" t="str">
        <f ca="1">IFERROR(MIN('DC Calculations'!$F$28/I46,1),"-")</f>
        <v>-</v>
      </c>
      <c r="K46" s="120"/>
      <c r="L46" s="55"/>
      <c r="M46" s="55"/>
      <c r="N46" s="55"/>
      <c r="O46" s="245" t="str">
        <f t="shared" si="1"/>
        <v>-</v>
      </c>
      <c r="P46" s="127" t="str">
        <f t="shared" si="2"/>
        <v>-</v>
      </c>
      <c r="Q46" s="104"/>
      <c r="R46" s="104"/>
    </row>
    <row r="47" spans="3:18" x14ac:dyDescent="0.25">
      <c r="C47" s="55"/>
      <c r="D47" s="148"/>
      <c r="E47" s="61"/>
      <c r="F47" s="242" t="str">
        <f t="shared" si="0"/>
        <v>-</v>
      </c>
      <c r="G47" s="1"/>
      <c r="H47" s="152"/>
      <c r="I47" s="55"/>
      <c r="J47" s="130" t="str">
        <f ca="1">IFERROR(MIN('DC Calculations'!$F$28/I47,1),"-")</f>
        <v>-</v>
      </c>
      <c r="K47" s="120"/>
      <c r="L47" s="55"/>
      <c r="M47" s="55"/>
      <c r="N47" s="55"/>
      <c r="O47" s="245" t="str">
        <f t="shared" si="1"/>
        <v>-</v>
      </c>
      <c r="P47" s="127" t="str">
        <f t="shared" si="2"/>
        <v>-</v>
      </c>
      <c r="Q47" s="104"/>
      <c r="R47" s="104"/>
    </row>
    <row r="48" spans="3:18" x14ac:dyDescent="0.25">
      <c r="C48" s="55"/>
      <c r="D48" s="148"/>
      <c r="E48" s="61"/>
      <c r="F48" s="242" t="str">
        <f t="shared" si="0"/>
        <v>-</v>
      </c>
      <c r="G48" s="1"/>
      <c r="H48" s="152"/>
      <c r="I48" s="55"/>
      <c r="J48" s="130" t="str">
        <f ca="1">IFERROR(MIN('DC Calculations'!$F$28/I48,1),"-")</f>
        <v>-</v>
      </c>
      <c r="K48" s="120"/>
      <c r="L48" s="55"/>
      <c r="M48" s="55"/>
      <c r="N48" s="55"/>
      <c r="O48" s="245" t="str">
        <f t="shared" si="1"/>
        <v>-</v>
      </c>
      <c r="P48" s="127" t="str">
        <f t="shared" si="2"/>
        <v>-</v>
      </c>
      <c r="Q48" s="104"/>
      <c r="R48" s="104"/>
    </row>
    <row r="49" spans="3:18" x14ac:dyDescent="0.25">
      <c r="C49" s="55"/>
      <c r="D49" s="148"/>
      <c r="E49" s="61"/>
      <c r="F49" s="242" t="str">
        <f t="shared" si="0"/>
        <v>-</v>
      </c>
      <c r="G49" s="1"/>
      <c r="H49" s="152"/>
      <c r="I49" s="55"/>
      <c r="J49" s="130" t="str">
        <f ca="1">IFERROR(MIN('DC Calculations'!$F$28/I49,1),"-")</f>
        <v>-</v>
      </c>
      <c r="K49" s="120"/>
      <c r="L49" s="55"/>
      <c r="M49" s="55"/>
      <c r="N49" s="55"/>
      <c r="O49" s="245" t="str">
        <f t="shared" si="1"/>
        <v>-</v>
      </c>
      <c r="P49" s="127" t="str">
        <f t="shared" si="2"/>
        <v>-</v>
      </c>
      <c r="Q49" s="104"/>
      <c r="R49" s="104"/>
    </row>
    <row r="50" spans="3:18" x14ac:dyDescent="0.25">
      <c r="C50" s="55"/>
      <c r="D50" s="148"/>
      <c r="E50" s="61"/>
      <c r="F50" s="242" t="str">
        <f t="shared" si="0"/>
        <v>-</v>
      </c>
      <c r="G50" s="1"/>
      <c r="H50" s="152"/>
      <c r="I50" s="55"/>
      <c r="J50" s="130" t="str">
        <f ca="1">IFERROR(MIN('DC Calculations'!$F$28/I50,1),"-")</f>
        <v>-</v>
      </c>
      <c r="K50" s="120"/>
      <c r="L50" s="55"/>
      <c r="M50" s="55"/>
      <c r="N50" s="55"/>
      <c r="O50" s="245" t="str">
        <f t="shared" si="1"/>
        <v>-</v>
      </c>
      <c r="P50" s="127" t="str">
        <f t="shared" si="2"/>
        <v>-</v>
      </c>
      <c r="Q50" s="104"/>
      <c r="R50" s="104"/>
    </row>
    <row r="51" spans="3:18" x14ac:dyDescent="0.25">
      <c r="C51" s="55"/>
      <c r="D51" s="148"/>
      <c r="E51" s="61"/>
      <c r="F51" s="242" t="str">
        <f t="shared" si="0"/>
        <v>-</v>
      </c>
      <c r="G51" s="1"/>
      <c r="H51" s="152"/>
      <c r="I51" s="55"/>
      <c r="J51" s="130" t="str">
        <f ca="1">IFERROR(MIN('DC Calculations'!$F$28/I51,1),"-")</f>
        <v>-</v>
      </c>
      <c r="K51" s="120"/>
      <c r="L51" s="55"/>
      <c r="M51" s="55"/>
      <c r="N51" s="55"/>
      <c r="O51" s="245" t="str">
        <f t="shared" si="1"/>
        <v>-</v>
      </c>
      <c r="P51" s="127" t="str">
        <f t="shared" si="2"/>
        <v>-</v>
      </c>
      <c r="Q51" s="104"/>
      <c r="R51" s="104"/>
    </row>
    <row r="52" spans="3:18" x14ac:dyDescent="0.25">
      <c r="C52" s="55"/>
      <c r="D52" s="148"/>
      <c r="E52" s="61"/>
      <c r="F52" s="242" t="str">
        <f t="shared" si="0"/>
        <v>-</v>
      </c>
      <c r="G52" s="1"/>
      <c r="H52" s="152"/>
      <c r="I52" s="55"/>
      <c r="J52" s="130" t="str">
        <f ca="1">IFERROR(MIN('DC Calculations'!$F$28/I52,1),"-")</f>
        <v>-</v>
      </c>
      <c r="K52" s="120"/>
      <c r="L52" s="55"/>
      <c r="M52" s="55"/>
      <c r="N52" s="55"/>
      <c r="O52" s="245" t="str">
        <f t="shared" si="1"/>
        <v>-</v>
      </c>
      <c r="P52" s="127" t="str">
        <f t="shared" si="2"/>
        <v>-</v>
      </c>
      <c r="Q52" s="104"/>
      <c r="R52" s="104"/>
    </row>
    <row r="53" spans="3:18" x14ac:dyDescent="0.25">
      <c r="C53" s="55"/>
      <c r="D53" s="148"/>
      <c r="E53" s="61"/>
      <c r="F53" s="242" t="str">
        <f t="shared" si="0"/>
        <v>-</v>
      </c>
      <c r="G53" s="1"/>
      <c r="H53" s="152"/>
      <c r="I53" s="55"/>
      <c r="J53" s="130" t="str">
        <f ca="1">IFERROR(MIN('DC Calculations'!$F$28/I53,1),"-")</f>
        <v>-</v>
      </c>
      <c r="K53" s="120"/>
      <c r="L53" s="55"/>
      <c r="M53" s="55"/>
      <c r="N53" s="55"/>
      <c r="O53" s="245" t="str">
        <f t="shared" si="1"/>
        <v>-</v>
      </c>
      <c r="P53" s="127" t="str">
        <f t="shared" si="2"/>
        <v>-</v>
      </c>
      <c r="Q53" s="104"/>
      <c r="R53" s="104"/>
    </row>
    <row r="54" spans="3:18" x14ac:dyDescent="0.25">
      <c r="C54" s="55"/>
      <c r="D54" s="148"/>
      <c r="E54" s="61"/>
      <c r="F54" s="242" t="str">
        <f t="shared" si="0"/>
        <v>-</v>
      </c>
      <c r="G54" s="1"/>
      <c r="H54" s="152"/>
      <c r="I54" s="55"/>
      <c r="J54" s="130" t="str">
        <f ca="1">IFERROR(MIN('DC Calculations'!$F$28/I54,1),"-")</f>
        <v>-</v>
      </c>
      <c r="K54" s="120"/>
      <c r="L54" s="55"/>
      <c r="M54" s="55"/>
      <c r="N54" s="55"/>
      <c r="O54" s="245" t="str">
        <f t="shared" si="1"/>
        <v>-</v>
      </c>
      <c r="P54" s="127" t="str">
        <f t="shared" si="2"/>
        <v>-</v>
      </c>
      <c r="Q54" s="104"/>
      <c r="R54" s="104"/>
    </row>
    <row r="55" spans="3:18" x14ac:dyDescent="0.25">
      <c r="C55" s="55"/>
      <c r="D55" s="148"/>
      <c r="E55" s="61"/>
      <c r="F55" s="242" t="str">
        <f t="shared" si="0"/>
        <v>-</v>
      </c>
      <c r="G55" s="1"/>
      <c r="H55" s="152"/>
      <c r="I55" s="55"/>
      <c r="J55" s="130" t="str">
        <f ca="1">IFERROR(MIN('DC Calculations'!$F$28/I55,1),"-")</f>
        <v>-</v>
      </c>
      <c r="K55" s="120"/>
      <c r="L55" s="55"/>
      <c r="M55" s="55"/>
      <c r="N55" s="55"/>
      <c r="O55" s="245" t="str">
        <f t="shared" si="1"/>
        <v>-</v>
      </c>
      <c r="P55" s="127" t="str">
        <f t="shared" si="2"/>
        <v>-</v>
      </c>
      <c r="Q55" s="104"/>
      <c r="R55" s="104"/>
    </row>
    <row r="56" spans="3:18" x14ac:dyDescent="0.25">
      <c r="C56" s="55"/>
      <c r="D56" s="148"/>
      <c r="E56" s="61"/>
      <c r="F56" s="242" t="str">
        <f t="shared" si="0"/>
        <v>-</v>
      </c>
      <c r="G56" s="1"/>
      <c r="H56" s="152"/>
      <c r="I56" s="55"/>
      <c r="J56" s="130" t="str">
        <f ca="1">IFERROR(MIN('DC Calculations'!$F$28/I56,1),"-")</f>
        <v>-</v>
      </c>
      <c r="K56" s="120"/>
      <c r="L56" s="55"/>
      <c r="M56" s="55"/>
      <c r="N56" s="55"/>
      <c r="O56" s="245" t="str">
        <f t="shared" si="1"/>
        <v>-</v>
      </c>
      <c r="P56" s="127" t="str">
        <f t="shared" si="2"/>
        <v>-</v>
      </c>
      <c r="Q56" s="104"/>
      <c r="R56" s="104"/>
    </row>
    <row r="57" spans="3:18" x14ac:dyDescent="0.25">
      <c r="C57" s="55"/>
      <c r="D57" s="148"/>
      <c r="E57" s="61"/>
      <c r="F57" s="242" t="str">
        <f t="shared" si="0"/>
        <v>-</v>
      </c>
      <c r="G57" s="1"/>
      <c r="H57" s="152"/>
      <c r="I57" s="55"/>
      <c r="J57" s="130" t="str">
        <f ca="1">IFERROR(MIN('DC Calculations'!$F$28/I57,1),"-")</f>
        <v>-</v>
      </c>
      <c r="K57" s="120"/>
      <c r="L57" s="55"/>
      <c r="M57" s="55"/>
      <c r="N57" s="55"/>
      <c r="O57" s="245" t="str">
        <f t="shared" si="1"/>
        <v>-</v>
      </c>
      <c r="P57" s="127" t="str">
        <f t="shared" si="2"/>
        <v>-</v>
      </c>
      <c r="Q57" s="104"/>
      <c r="R57" s="104"/>
    </row>
    <row r="58" spans="3:18" x14ac:dyDescent="0.25">
      <c r="C58" s="55"/>
      <c r="D58" s="148"/>
      <c r="E58" s="61"/>
      <c r="F58" s="242" t="str">
        <f t="shared" si="0"/>
        <v>-</v>
      </c>
      <c r="G58" s="1"/>
      <c r="H58" s="152"/>
      <c r="I58" s="55"/>
      <c r="J58" s="130" t="str">
        <f ca="1">IFERROR(MIN('DC Calculations'!$F$28/I58,1),"-")</f>
        <v>-</v>
      </c>
      <c r="K58" s="120"/>
      <c r="L58" s="55"/>
      <c r="M58" s="55"/>
      <c r="N58" s="55"/>
      <c r="O58" s="245" t="str">
        <f t="shared" si="1"/>
        <v>-</v>
      </c>
      <c r="P58" s="127" t="str">
        <f t="shared" si="2"/>
        <v>-</v>
      </c>
      <c r="Q58" s="104"/>
      <c r="R58" s="104"/>
    </row>
    <row r="59" spans="3:18" x14ac:dyDescent="0.25">
      <c r="C59" s="55"/>
      <c r="D59" s="148"/>
      <c r="E59" s="61"/>
      <c r="F59" s="242" t="str">
        <f t="shared" si="0"/>
        <v>-</v>
      </c>
      <c r="G59" s="1"/>
      <c r="H59" s="152"/>
      <c r="I59" s="55"/>
      <c r="J59" s="130" t="str">
        <f ca="1">IFERROR(MIN('DC Calculations'!$F$28/I59,1),"-")</f>
        <v>-</v>
      </c>
      <c r="K59" s="120"/>
      <c r="L59" s="55"/>
      <c r="M59" s="55"/>
      <c r="N59" s="55"/>
      <c r="O59" s="245" t="str">
        <f t="shared" si="1"/>
        <v>-</v>
      </c>
      <c r="P59" s="127" t="str">
        <f t="shared" si="2"/>
        <v>-</v>
      </c>
      <c r="Q59" s="104"/>
      <c r="R59" s="104"/>
    </row>
    <row r="60" spans="3:18" x14ac:dyDescent="0.25">
      <c r="C60" s="55"/>
      <c r="D60" s="148"/>
      <c r="E60" s="61"/>
      <c r="F60" s="242" t="str">
        <f t="shared" si="0"/>
        <v>-</v>
      </c>
      <c r="G60" s="1"/>
      <c r="H60" s="152"/>
      <c r="I60" s="55"/>
      <c r="J60" s="130" t="str">
        <f ca="1">IFERROR(MIN('DC Calculations'!$F$28/I60,1),"-")</f>
        <v>-</v>
      </c>
      <c r="K60" s="120"/>
      <c r="L60" s="55"/>
      <c r="M60" s="55"/>
      <c r="N60" s="55"/>
      <c r="O60" s="245" t="str">
        <f t="shared" si="1"/>
        <v>-</v>
      </c>
      <c r="P60" s="127" t="str">
        <f t="shared" si="2"/>
        <v>-</v>
      </c>
      <c r="Q60" s="104"/>
      <c r="R60" s="104"/>
    </row>
    <row r="61" spans="3:18" x14ac:dyDescent="0.25">
      <c r="C61" s="55"/>
      <c r="D61" s="148"/>
      <c r="E61" s="61"/>
      <c r="F61" s="242" t="str">
        <f t="shared" si="0"/>
        <v>-</v>
      </c>
      <c r="G61" s="1"/>
      <c r="H61" s="152"/>
      <c r="I61" s="55"/>
      <c r="J61" s="130" t="str">
        <f ca="1">IFERROR(MIN('DC Calculations'!$F$28/I61,1),"-")</f>
        <v>-</v>
      </c>
      <c r="K61" s="120"/>
      <c r="L61" s="55"/>
      <c r="M61" s="55"/>
      <c r="N61" s="55"/>
      <c r="O61" s="245" t="str">
        <f t="shared" si="1"/>
        <v>-</v>
      </c>
      <c r="P61" s="127" t="str">
        <f t="shared" si="2"/>
        <v>-</v>
      </c>
      <c r="Q61" s="104"/>
      <c r="R61" s="104"/>
    </row>
    <row r="62" spans="3:18" x14ac:dyDescent="0.25">
      <c r="C62" s="55"/>
      <c r="D62" s="148"/>
      <c r="E62" s="61"/>
      <c r="F62" s="242" t="str">
        <f t="shared" si="0"/>
        <v>-</v>
      </c>
      <c r="G62" s="1"/>
      <c r="H62" s="152"/>
      <c r="I62" s="55"/>
      <c r="J62" s="130" t="str">
        <f ca="1">IFERROR(MIN('DC Calculations'!$F$28/I62,1),"-")</f>
        <v>-</v>
      </c>
      <c r="K62" s="120"/>
      <c r="L62" s="55"/>
      <c r="M62" s="55"/>
      <c r="N62" s="55"/>
      <c r="O62" s="245" t="str">
        <f t="shared" si="1"/>
        <v>-</v>
      </c>
      <c r="P62" s="127" t="str">
        <f t="shared" si="2"/>
        <v>-</v>
      </c>
      <c r="Q62" s="104"/>
      <c r="R62" s="104"/>
    </row>
    <row r="63" spans="3:18" x14ac:dyDescent="0.25">
      <c r="C63" s="55"/>
      <c r="D63" s="148"/>
      <c r="E63" s="61"/>
      <c r="F63" s="242" t="str">
        <f t="shared" si="0"/>
        <v>-</v>
      </c>
      <c r="G63" s="1"/>
      <c r="H63" s="152"/>
      <c r="I63" s="55"/>
      <c r="J63" s="130" t="str">
        <f ca="1">IFERROR(MIN('DC Calculations'!$F$28/I63,1),"-")</f>
        <v>-</v>
      </c>
      <c r="K63" s="120"/>
      <c r="L63" s="55"/>
      <c r="M63" s="55"/>
      <c r="N63" s="55"/>
      <c r="O63" s="245" t="str">
        <f t="shared" si="1"/>
        <v>-</v>
      </c>
      <c r="P63" s="127" t="str">
        <f t="shared" si="2"/>
        <v>-</v>
      </c>
      <c r="Q63" s="104"/>
      <c r="R63" s="104"/>
    </row>
    <row r="64" spans="3:18" x14ac:dyDescent="0.25">
      <c r="C64" s="55"/>
      <c r="D64" s="148"/>
      <c r="E64" s="61"/>
      <c r="F64" s="242" t="str">
        <f t="shared" si="0"/>
        <v>-</v>
      </c>
      <c r="G64" s="1"/>
      <c r="H64" s="152"/>
      <c r="I64" s="55"/>
      <c r="J64" s="130" t="str">
        <f ca="1">IFERROR(MIN('DC Calculations'!$F$28/I64,1),"-")</f>
        <v>-</v>
      </c>
      <c r="K64" s="120"/>
      <c r="L64" s="55"/>
      <c r="M64" s="55"/>
      <c r="N64" s="55"/>
      <c r="O64" s="245" t="str">
        <f t="shared" si="1"/>
        <v>-</v>
      </c>
      <c r="P64" s="127" t="str">
        <f t="shared" si="2"/>
        <v>-</v>
      </c>
      <c r="Q64" s="104"/>
      <c r="R64" s="104"/>
    </row>
    <row r="65" spans="3:18" x14ac:dyDescent="0.25">
      <c r="C65" s="55"/>
      <c r="D65" s="148"/>
      <c r="E65" s="61"/>
      <c r="F65" s="242" t="str">
        <f t="shared" si="0"/>
        <v>-</v>
      </c>
      <c r="G65" s="1"/>
      <c r="H65" s="152"/>
      <c r="I65" s="55"/>
      <c r="J65" s="130" t="str">
        <f ca="1">IFERROR(MIN('DC Calculations'!$F$28/I65,1),"-")</f>
        <v>-</v>
      </c>
      <c r="K65" s="120"/>
      <c r="L65" s="55"/>
      <c r="M65" s="55"/>
      <c r="N65" s="55"/>
      <c r="O65" s="245" t="str">
        <f t="shared" si="1"/>
        <v>-</v>
      </c>
      <c r="P65" s="127" t="str">
        <f t="shared" si="2"/>
        <v>-</v>
      </c>
      <c r="Q65" s="104"/>
      <c r="R65" s="104"/>
    </row>
    <row r="66" spans="3:18" x14ac:dyDescent="0.25">
      <c r="C66" s="55"/>
      <c r="D66" s="148"/>
      <c r="E66" s="61"/>
      <c r="F66" s="242" t="str">
        <f t="shared" si="0"/>
        <v>-</v>
      </c>
      <c r="G66" s="1"/>
      <c r="H66" s="152"/>
      <c r="I66" s="55"/>
      <c r="J66" s="130" t="str">
        <f ca="1">IFERROR(MIN('DC Calculations'!$F$28/I66,1),"-")</f>
        <v>-</v>
      </c>
      <c r="K66" s="120"/>
      <c r="L66" s="55"/>
      <c r="M66" s="55"/>
      <c r="N66" s="55"/>
      <c r="O66" s="245" t="str">
        <f t="shared" si="1"/>
        <v>-</v>
      </c>
      <c r="P66" s="127" t="str">
        <f t="shared" si="2"/>
        <v>-</v>
      </c>
      <c r="Q66" s="104"/>
      <c r="R66" s="104"/>
    </row>
    <row r="67" spans="3:18" x14ac:dyDescent="0.25">
      <c r="C67" s="55"/>
      <c r="D67" s="148"/>
      <c r="E67" s="61"/>
      <c r="F67" s="242" t="str">
        <f t="shared" si="0"/>
        <v>-</v>
      </c>
      <c r="G67" s="1"/>
      <c r="H67" s="152"/>
      <c r="I67" s="55"/>
      <c r="J67" s="130" t="str">
        <f ca="1">IFERROR(MIN('DC Calculations'!$F$28/I67,1),"-")</f>
        <v>-</v>
      </c>
      <c r="K67" s="120"/>
      <c r="L67" s="55"/>
      <c r="M67" s="55"/>
      <c r="N67" s="55"/>
      <c r="O67" s="245" t="str">
        <f t="shared" si="1"/>
        <v>-</v>
      </c>
      <c r="P67" s="127" t="str">
        <f t="shared" si="2"/>
        <v>-</v>
      </c>
      <c r="Q67" s="104"/>
      <c r="R67" s="104"/>
    </row>
    <row r="68" spans="3:18" x14ac:dyDescent="0.25">
      <c r="C68" s="55"/>
      <c r="D68" s="148"/>
      <c r="E68" s="61"/>
      <c r="F68" s="242" t="str">
        <f t="shared" si="0"/>
        <v>-</v>
      </c>
      <c r="G68" s="1"/>
      <c r="H68" s="152"/>
      <c r="I68" s="55"/>
      <c r="J68" s="130" t="str">
        <f ca="1">IFERROR(MIN('DC Calculations'!$F$28/I68,1),"-")</f>
        <v>-</v>
      </c>
      <c r="K68" s="120"/>
      <c r="L68" s="55"/>
      <c r="M68" s="55"/>
      <c r="N68" s="55"/>
      <c r="O68" s="245" t="str">
        <f t="shared" si="1"/>
        <v>-</v>
      </c>
      <c r="P68" s="127" t="str">
        <f t="shared" si="2"/>
        <v>-</v>
      </c>
      <c r="Q68" s="104"/>
      <c r="R68" s="104"/>
    </row>
    <row r="69" spans="3:18" x14ac:dyDescent="0.25">
      <c r="C69" s="55"/>
      <c r="D69" s="148"/>
      <c r="E69" s="61"/>
      <c r="F69" s="242" t="str">
        <f t="shared" si="0"/>
        <v>-</v>
      </c>
      <c r="G69" s="1"/>
      <c r="H69" s="152"/>
      <c r="I69" s="55"/>
      <c r="J69" s="130" t="str">
        <f ca="1">IFERROR(MIN('DC Calculations'!$F$28/I69,1),"-")</f>
        <v>-</v>
      </c>
      <c r="K69" s="120"/>
      <c r="L69" s="55"/>
      <c r="M69" s="55"/>
      <c r="N69" s="55"/>
      <c r="O69" s="245" t="str">
        <f t="shared" si="1"/>
        <v>-</v>
      </c>
      <c r="P69" s="127" t="str">
        <f t="shared" si="2"/>
        <v>-</v>
      </c>
      <c r="Q69" s="104"/>
      <c r="R69" s="104"/>
    </row>
    <row r="70" spans="3:18" x14ac:dyDescent="0.25">
      <c r="C70" s="55"/>
      <c r="D70" s="148"/>
      <c r="E70" s="61"/>
      <c r="F70" s="242" t="str">
        <f t="shared" si="0"/>
        <v>-</v>
      </c>
      <c r="G70" s="1"/>
      <c r="H70" s="152"/>
      <c r="I70" s="55"/>
      <c r="J70" s="130" t="str">
        <f ca="1">IFERROR(MIN('DC Calculations'!$F$28/I70,1),"-")</f>
        <v>-</v>
      </c>
      <c r="K70" s="120"/>
      <c r="L70" s="55"/>
      <c r="M70" s="55"/>
      <c r="N70" s="55"/>
      <c r="O70" s="245" t="str">
        <f t="shared" si="1"/>
        <v>-</v>
      </c>
      <c r="P70" s="127" t="str">
        <f t="shared" si="2"/>
        <v>-</v>
      </c>
      <c r="Q70" s="104"/>
      <c r="R70" s="104"/>
    </row>
    <row r="71" spans="3:18" x14ac:dyDescent="0.25">
      <c r="C71" s="55"/>
      <c r="D71" s="148"/>
      <c r="E71" s="61"/>
      <c r="F71" s="242" t="str">
        <f t="shared" si="0"/>
        <v>-</v>
      </c>
      <c r="G71" s="1"/>
      <c r="H71" s="152"/>
      <c r="I71" s="55"/>
      <c r="J71" s="130" t="str">
        <f ca="1">IFERROR(MIN('DC Calculations'!$F$28/I71,1),"-")</f>
        <v>-</v>
      </c>
      <c r="K71" s="120"/>
      <c r="L71" s="55"/>
      <c r="M71" s="55"/>
      <c r="N71" s="55"/>
      <c r="O71" s="245" t="str">
        <f t="shared" si="1"/>
        <v>-</v>
      </c>
      <c r="P71" s="127" t="str">
        <f t="shared" si="2"/>
        <v>-</v>
      </c>
      <c r="Q71" s="104"/>
      <c r="R71" s="104"/>
    </row>
    <row r="72" spans="3:18" x14ac:dyDescent="0.25">
      <c r="C72" s="55"/>
      <c r="D72" s="148"/>
      <c r="E72" s="61"/>
      <c r="F72" s="242" t="str">
        <f t="shared" si="0"/>
        <v>-</v>
      </c>
      <c r="G72" s="1"/>
      <c r="H72" s="152"/>
      <c r="I72" s="55"/>
      <c r="J72" s="130" t="str">
        <f ca="1">IFERROR(MIN('DC Calculations'!$F$28/I72,1),"-")</f>
        <v>-</v>
      </c>
      <c r="K72" s="120"/>
      <c r="L72" s="55"/>
      <c r="M72" s="55"/>
      <c r="N72" s="55"/>
      <c r="O72" s="245" t="str">
        <f t="shared" si="1"/>
        <v>-</v>
      </c>
      <c r="P72" s="127" t="str">
        <f t="shared" si="2"/>
        <v>-</v>
      </c>
      <c r="Q72" s="104"/>
      <c r="R72" s="104"/>
    </row>
    <row r="73" spans="3:18" x14ac:dyDescent="0.25">
      <c r="C73" s="55"/>
      <c r="D73" s="148"/>
      <c r="E73" s="61"/>
      <c r="F73" s="242" t="str">
        <f t="shared" si="0"/>
        <v>-</v>
      </c>
      <c r="G73" s="1"/>
      <c r="H73" s="152"/>
      <c r="I73" s="55"/>
      <c r="J73" s="130" t="str">
        <f ca="1">IFERROR(MIN('DC Calculations'!$F$28/I73,1),"-")</f>
        <v>-</v>
      </c>
      <c r="K73" s="120"/>
      <c r="L73" s="55"/>
      <c r="M73" s="55"/>
      <c r="N73" s="55"/>
      <c r="O73" s="245" t="str">
        <f t="shared" si="1"/>
        <v>-</v>
      </c>
      <c r="P73" s="127" t="str">
        <f t="shared" si="2"/>
        <v>-</v>
      </c>
      <c r="Q73" s="104"/>
      <c r="R73" s="104"/>
    </row>
    <row r="74" spans="3:18" x14ac:dyDescent="0.25">
      <c r="C74" s="55"/>
      <c r="D74" s="148"/>
      <c r="E74" s="61"/>
      <c r="F74" s="242" t="str">
        <f t="shared" si="0"/>
        <v>-</v>
      </c>
      <c r="G74" s="1"/>
      <c r="H74" s="152"/>
      <c r="I74" s="55"/>
      <c r="J74" s="130" t="str">
        <f ca="1">IFERROR(MIN('DC Calculations'!$F$28/I74,1),"-")</f>
        <v>-</v>
      </c>
      <c r="K74" s="120"/>
      <c r="L74" s="55"/>
      <c r="M74" s="55"/>
      <c r="N74" s="55"/>
      <c r="O74" s="245" t="str">
        <f t="shared" si="1"/>
        <v>-</v>
      </c>
      <c r="P74" s="127" t="str">
        <f t="shared" si="2"/>
        <v>-</v>
      </c>
      <c r="Q74" s="104"/>
      <c r="R74" s="104"/>
    </row>
    <row r="75" spans="3:18" x14ac:dyDescent="0.25">
      <c r="C75" s="55"/>
      <c r="D75" s="148"/>
      <c r="E75" s="61"/>
      <c r="F75" s="242" t="str">
        <f t="shared" si="0"/>
        <v>-</v>
      </c>
      <c r="G75" s="1"/>
      <c r="H75" s="152"/>
      <c r="I75" s="55"/>
      <c r="J75" s="130" t="str">
        <f ca="1">IFERROR(MIN('DC Calculations'!$F$28/I75,1),"-")</f>
        <v>-</v>
      </c>
      <c r="K75" s="120"/>
      <c r="L75" s="55"/>
      <c r="M75" s="55"/>
      <c r="N75" s="55"/>
      <c r="O75" s="245" t="str">
        <f t="shared" si="1"/>
        <v>-</v>
      </c>
      <c r="P75" s="127" t="str">
        <f t="shared" si="2"/>
        <v>-</v>
      </c>
      <c r="Q75" s="104"/>
      <c r="R75" s="104"/>
    </row>
    <row r="76" spans="3:18" x14ac:dyDescent="0.25">
      <c r="C76" s="55"/>
      <c r="D76" s="148"/>
      <c r="E76" s="61"/>
      <c r="F76" s="242" t="str">
        <f t="shared" si="0"/>
        <v>-</v>
      </c>
      <c r="G76" s="1"/>
      <c r="H76" s="152"/>
      <c r="I76" s="55"/>
      <c r="J76" s="130" t="str">
        <f ca="1">IFERROR(MIN('DC Calculations'!$F$28/I76,1),"-")</f>
        <v>-</v>
      </c>
      <c r="K76" s="120"/>
      <c r="L76" s="55"/>
      <c r="M76" s="55"/>
      <c r="N76" s="55"/>
      <c r="O76" s="245" t="str">
        <f t="shared" si="1"/>
        <v>-</v>
      </c>
      <c r="P76" s="127" t="str">
        <f t="shared" si="2"/>
        <v>-</v>
      </c>
      <c r="Q76" s="104"/>
      <c r="R76" s="104"/>
    </row>
    <row r="77" spans="3:18" x14ac:dyDescent="0.25">
      <c r="C77" s="55"/>
      <c r="D77" s="148"/>
      <c r="E77" s="61"/>
      <c r="F77" s="242" t="str">
        <f t="shared" si="0"/>
        <v>-</v>
      </c>
      <c r="G77" s="1"/>
      <c r="H77" s="152"/>
      <c r="I77" s="55"/>
      <c r="J77" s="130" t="str">
        <f ca="1">IFERROR(MIN('DC Calculations'!$F$28/I77,1),"-")</f>
        <v>-</v>
      </c>
      <c r="K77" s="120"/>
      <c r="L77" s="55"/>
      <c r="M77" s="55"/>
      <c r="N77" s="55"/>
      <c r="O77" s="245" t="str">
        <f t="shared" si="1"/>
        <v>-</v>
      </c>
      <c r="P77" s="127" t="str">
        <f t="shared" si="2"/>
        <v>-</v>
      </c>
      <c r="Q77" s="104"/>
      <c r="R77" s="104"/>
    </row>
    <row r="78" spans="3:18" x14ac:dyDescent="0.25">
      <c r="C78" s="55"/>
      <c r="D78" s="148"/>
      <c r="E78" s="61"/>
      <c r="F78" s="242" t="str">
        <f t="shared" si="0"/>
        <v>-</v>
      </c>
      <c r="G78" s="1"/>
      <c r="H78" s="152"/>
      <c r="I78" s="55"/>
      <c r="J78" s="130" t="str">
        <f ca="1">IFERROR(MIN('DC Calculations'!$F$28/I78,1),"-")</f>
        <v>-</v>
      </c>
      <c r="K78" s="120"/>
      <c r="L78" s="55"/>
      <c r="M78" s="55"/>
      <c r="N78" s="55"/>
      <c r="O78" s="245" t="str">
        <f t="shared" si="1"/>
        <v>-</v>
      </c>
      <c r="P78" s="127" t="str">
        <f t="shared" si="2"/>
        <v>-</v>
      </c>
      <c r="Q78" s="104"/>
      <c r="R78" s="104"/>
    </row>
    <row r="79" spans="3:18" x14ac:dyDescent="0.25">
      <c r="C79" s="55"/>
      <c r="D79" s="148"/>
      <c r="E79" s="61"/>
      <c r="F79" s="242" t="str">
        <f t="shared" si="0"/>
        <v>-</v>
      </c>
      <c r="G79" s="1"/>
      <c r="H79" s="152"/>
      <c r="I79" s="55"/>
      <c r="J79" s="130" t="str">
        <f ca="1">IFERROR(MIN('DC Calculations'!$F$28/I79,1),"-")</f>
        <v>-</v>
      </c>
      <c r="K79" s="120"/>
      <c r="L79" s="55"/>
      <c r="M79" s="55"/>
      <c r="N79" s="55"/>
      <c r="O79" s="245" t="str">
        <f t="shared" si="1"/>
        <v>-</v>
      </c>
      <c r="P79" s="127" t="str">
        <f t="shared" si="2"/>
        <v>-</v>
      </c>
      <c r="Q79" s="104"/>
      <c r="R79" s="104"/>
    </row>
    <row r="80" spans="3:18" x14ac:dyDescent="0.25">
      <c r="C80" s="55"/>
      <c r="D80" s="148"/>
      <c r="E80" s="61"/>
      <c r="F80" s="242" t="str">
        <f t="shared" si="0"/>
        <v>-</v>
      </c>
      <c r="G80" s="1"/>
      <c r="H80" s="152"/>
      <c r="I80" s="55"/>
      <c r="J80" s="130" t="str">
        <f ca="1">IFERROR(MIN('DC Calculations'!$F$28/I80,1),"-")</f>
        <v>-</v>
      </c>
      <c r="K80" s="120"/>
      <c r="L80" s="55"/>
      <c r="M80" s="55"/>
      <c r="N80" s="55"/>
      <c r="O80" s="245" t="str">
        <f t="shared" si="1"/>
        <v>-</v>
      </c>
      <c r="P80" s="127" t="str">
        <f t="shared" si="2"/>
        <v>-</v>
      </c>
      <c r="Q80" s="104"/>
      <c r="R80" s="104"/>
    </row>
    <row r="81" spans="3:18" x14ac:dyDescent="0.25">
      <c r="C81" s="55"/>
      <c r="D81" s="148"/>
      <c r="E81" s="61"/>
      <c r="F81" s="242" t="str">
        <f t="shared" si="0"/>
        <v>-</v>
      </c>
      <c r="G81" s="1"/>
      <c r="H81" s="152"/>
      <c r="I81" s="55"/>
      <c r="J81" s="130" t="str">
        <f ca="1">IFERROR(MIN('DC Calculations'!$F$28/I81,1),"-")</f>
        <v>-</v>
      </c>
      <c r="K81" s="120"/>
      <c r="L81" s="55"/>
      <c r="M81" s="55"/>
      <c r="N81" s="55"/>
      <c r="O81" s="245" t="str">
        <f t="shared" si="1"/>
        <v>-</v>
      </c>
      <c r="P81" s="127" t="str">
        <f t="shared" si="2"/>
        <v>-</v>
      </c>
      <c r="Q81" s="104"/>
      <c r="R81" s="104"/>
    </row>
    <row r="82" spans="3:18" x14ac:dyDescent="0.25">
      <c r="C82" s="55"/>
      <c r="D82" s="148"/>
      <c r="E82" s="61"/>
      <c r="F82" s="242" t="str">
        <f t="shared" ref="F82:F145" si="3">IF(E82="","-",IF(E82&gt;$E$11,"ERROR - date outside of range",IF(MONTH(E82)&gt;=7,YEAR(E82)&amp;"-"&amp;IF(YEAR(E82)=1999,"00",IF(AND(YEAR(E82)&gt;=2000,YEAR(E82)&lt;2009),"0","")&amp;RIGHT(YEAR(E82),2)+1),RIGHT(YEAR(E82),4)-1&amp;"-"&amp;RIGHT(YEAR(E82),2))))</f>
        <v>-</v>
      </c>
      <c r="G82" s="1"/>
      <c r="H82" s="152"/>
      <c r="I82" s="55"/>
      <c r="J82" s="130" t="str">
        <f ca="1">IFERROR(MIN('DC Calculations'!$F$28/I82,1),"-")</f>
        <v>-</v>
      </c>
      <c r="K82" s="120"/>
      <c r="L82" s="55"/>
      <c r="M82" s="55"/>
      <c r="N82" s="55"/>
      <c r="O82" s="245" t="str">
        <f t="shared" ref="O82:O145" si="4">IF(N82="","-",L82*N82)</f>
        <v>-</v>
      </c>
      <c r="P82" s="127" t="str">
        <f t="shared" ref="P82:P145" si="5">IF(O82="-","-",IF(E82&gt;$E$11,0,O82*J82))</f>
        <v>-</v>
      </c>
      <c r="Q82" s="104"/>
      <c r="R82" s="104"/>
    </row>
    <row r="83" spans="3:18" x14ac:dyDescent="0.25">
      <c r="C83" s="55"/>
      <c r="D83" s="148"/>
      <c r="E83" s="61"/>
      <c r="F83" s="242" t="str">
        <f t="shared" si="3"/>
        <v>-</v>
      </c>
      <c r="G83" s="1"/>
      <c r="H83" s="152"/>
      <c r="I83" s="55"/>
      <c r="J83" s="130" t="str">
        <f ca="1">IFERROR(MIN('DC Calculations'!$F$28/I83,1),"-")</f>
        <v>-</v>
      </c>
      <c r="K83" s="120"/>
      <c r="L83" s="55"/>
      <c r="M83" s="55"/>
      <c r="N83" s="55"/>
      <c r="O83" s="245" t="str">
        <f t="shared" si="4"/>
        <v>-</v>
      </c>
      <c r="P83" s="127" t="str">
        <f t="shared" si="5"/>
        <v>-</v>
      </c>
      <c r="Q83" s="104"/>
      <c r="R83" s="104"/>
    </row>
    <row r="84" spans="3:18" x14ac:dyDescent="0.25">
      <c r="C84" s="55"/>
      <c r="D84" s="148"/>
      <c r="E84" s="61"/>
      <c r="F84" s="242" t="str">
        <f t="shared" si="3"/>
        <v>-</v>
      </c>
      <c r="G84" s="1"/>
      <c r="H84" s="152"/>
      <c r="I84" s="55"/>
      <c r="J84" s="130" t="str">
        <f ca="1">IFERROR(MIN('DC Calculations'!$F$28/I84,1),"-")</f>
        <v>-</v>
      </c>
      <c r="K84" s="120"/>
      <c r="L84" s="55"/>
      <c r="M84" s="55"/>
      <c r="N84" s="55"/>
      <c r="O84" s="245" t="str">
        <f t="shared" si="4"/>
        <v>-</v>
      </c>
      <c r="P84" s="127" t="str">
        <f t="shared" si="5"/>
        <v>-</v>
      </c>
      <c r="Q84" s="104"/>
      <c r="R84" s="104"/>
    </row>
    <row r="85" spans="3:18" x14ac:dyDescent="0.25">
      <c r="C85" s="55"/>
      <c r="D85" s="148"/>
      <c r="E85" s="61"/>
      <c r="F85" s="242" t="str">
        <f t="shared" si="3"/>
        <v>-</v>
      </c>
      <c r="G85" s="1"/>
      <c r="H85" s="152"/>
      <c r="I85" s="55"/>
      <c r="J85" s="130" t="str">
        <f ca="1">IFERROR(MIN('DC Calculations'!$F$28/I85,1),"-")</f>
        <v>-</v>
      </c>
      <c r="K85" s="120"/>
      <c r="L85" s="55"/>
      <c r="M85" s="55"/>
      <c r="N85" s="55"/>
      <c r="O85" s="245" t="str">
        <f t="shared" si="4"/>
        <v>-</v>
      </c>
      <c r="P85" s="127" t="str">
        <f t="shared" si="5"/>
        <v>-</v>
      </c>
      <c r="Q85" s="104"/>
      <c r="R85" s="104"/>
    </row>
    <row r="86" spans="3:18" x14ac:dyDescent="0.25">
      <c r="C86" s="55"/>
      <c r="D86" s="148"/>
      <c r="E86" s="61"/>
      <c r="F86" s="242" t="str">
        <f t="shared" si="3"/>
        <v>-</v>
      </c>
      <c r="G86" s="1"/>
      <c r="H86" s="152"/>
      <c r="I86" s="55"/>
      <c r="J86" s="130" t="str">
        <f ca="1">IFERROR(MIN('DC Calculations'!$F$28/I86,1),"-")</f>
        <v>-</v>
      </c>
      <c r="K86" s="120"/>
      <c r="L86" s="55"/>
      <c r="M86" s="55"/>
      <c r="N86" s="55"/>
      <c r="O86" s="245" t="str">
        <f t="shared" si="4"/>
        <v>-</v>
      </c>
      <c r="P86" s="127" t="str">
        <f t="shared" si="5"/>
        <v>-</v>
      </c>
      <c r="Q86" s="104"/>
      <c r="R86" s="104"/>
    </row>
    <row r="87" spans="3:18" x14ac:dyDescent="0.25">
      <c r="C87" s="55"/>
      <c r="D87" s="148"/>
      <c r="E87" s="61"/>
      <c r="F87" s="242" t="str">
        <f t="shared" si="3"/>
        <v>-</v>
      </c>
      <c r="G87" s="1"/>
      <c r="H87" s="152"/>
      <c r="I87" s="55"/>
      <c r="J87" s="130" t="str">
        <f ca="1">IFERROR(MIN('DC Calculations'!$F$28/I87,1),"-")</f>
        <v>-</v>
      </c>
      <c r="K87" s="120"/>
      <c r="L87" s="55"/>
      <c r="M87" s="55"/>
      <c r="N87" s="55"/>
      <c r="O87" s="245" t="str">
        <f t="shared" si="4"/>
        <v>-</v>
      </c>
      <c r="P87" s="127" t="str">
        <f t="shared" si="5"/>
        <v>-</v>
      </c>
      <c r="Q87" s="104"/>
      <c r="R87" s="104"/>
    </row>
    <row r="88" spans="3:18" x14ac:dyDescent="0.25">
      <c r="C88" s="55"/>
      <c r="D88" s="148"/>
      <c r="E88" s="61"/>
      <c r="F88" s="242" t="str">
        <f t="shared" si="3"/>
        <v>-</v>
      </c>
      <c r="G88" s="1"/>
      <c r="H88" s="152"/>
      <c r="I88" s="55"/>
      <c r="J88" s="130" t="str">
        <f ca="1">IFERROR(MIN('DC Calculations'!$F$28/I88,1),"-")</f>
        <v>-</v>
      </c>
      <c r="K88" s="120"/>
      <c r="L88" s="55"/>
      <c r="M88" s="55"/>
      <c r="N88" s="55"/>
      <c r="O88" s="245" t="str">
        <f t="shared" si="4"/>
        <v>-</v>
      </c>
      <c r="P88" s="127" t="str">
        <f t="shared" si="5"/>
        <v>-</v>
      </c>
      <c r="Q88" s="104"/>
      <c r="R88" s="104"/>
    </row>
    <row r="89" spans="3:18" x14ac:dyDescent="0.25">
      <c r="C89" s="55"/>
      <c r="D89" s="148"/>
      <c r="E89" s="61"/>
      <c r="F89" s="242" t="str">
        <f t="shared" si="3"/>
        <v>-</v>
      </c>
      <c r="G89" s="1"/>
      <c r="H89" s="152"/>
      <c r="I89" s="55"/>
      <c r="J89" s="130" t="str">
        <f ca="1">IFERROR(MIN('DC Calculations'!$F$28/I89,1),"-")</f>
        <v>-</v>
      </c>
      <c r="K89" s="120"/>
      <c r="L89" s="55"/>
      <c r="M89" s="55"/>
      <c r="N89" s="55"/>
      <c r="O89" s="245" t="str">
        <f t="shared" si="4"/>
        <v>-</v>
      </c>
      <c r="P89" s="127" t="str">
        <f t="shared" si="5"/>
        <v>-</v>
      </c>
      <c r="Q89" s="104"/>
      <c r="R89" s="104"/>
    </row>
    <row r="90" spans="3:18" x14ac:dyDescent="0.25">
      <c r="C90" s="55"/>
      <c r="D90" s="148"/>
      <c r="E90" s="61"/>
      <c r="F90" s="242" t="str">
        <f t="shared" si="3"/>
        <v>-</v>
      </c>
      <c r="G90" s="1"/>
      <c r="H90" s="152"/>
      <c r="I90" s="55"/>
      <c r="J90" s="130" t="str">
        <f ca="1">IFERROR(MIN('DC Calculations'!$F$28/I90,1),"-")</f>
        <v>-</v>
      </c>
      <c r="K90" s="120"/>
      <c r="L90" s="55"/>
      <c r="M90" s="55"/>
      <c r="N90" s="55"/>
      <c r="O90" s="245" t="str">
        <f t="shared" si="4"/>
        <v>-</v>
      </c>
      <c r="P90" s="127" t="str">
        <f t="shared" si="5"/>
        <v>-</v>
      </c>
      <c r="Q90" s="104"/>
      <c r="R90" s="104"/>
    </row>
    <row r="91" spans="3:18" x14ac:dyDescent="0.25">
      <c r="C91" s="55"/>
      <c r="D91" s="148"/>
      <c r="E91" s="61"/>
      <c r="F91" s="242" t="str">
        <f t="shared" si="3"/>
        <v>-</v>
      </c>
      <c r="G91" s="1"/>
      <c r="H91" s="152"/>
      <c r="I91" s="55"/>
      <c r="J91" s="130" t="str">
        <f ca="1">IFERROR(MIN('DC Calculations'!$F$28/I91,1),"-")</f>
        <v>-</v>
      </c>
      <c r="K91" s="120"/>
      <c r="L91" s="55"/>
      <c r="M91" s="55"/>
      <c r="N91" s="55"/>
      <c r="O91" s="245" t="str">
        <f t="shared" si="4"/>
        <v>-</v>
      </c>
      <c r="P91" s="127" t="str">
        <f t="shared" si="5"/>
        <v>-</v>
      </c>
      <c r="Q91" s="104"/>
      <c r="R91" s="104"/>
    </row>
    <row r="92" spans="3:18" x14ac:dyDescent="0.25">
      <c r="C92" s="55"/>
      <c r="D92" s="148"/>
      <c r="E92" s="61"/>
      <c r="F92" s="242" t="str">
        <f t="shared" si="3"/>
        <v>-</v>
      </c>
      <c r="G92" s="1"/>
      <c r="H92" s="152"/>
      <c r="I92" s="55"/>
      <c r="J92" s="130" t="str">
        <f ca="1">IFERROR(MIN('DC Calculations'!$F$28/I92,1),"-")</f>
        <v>-</v>
      </c>
      <c r="K92" s="120"/>
      <c r="L92" s="55"/>
      <c r="M92" s="55"/>
      <c r="N92" s="55"/>
      <c r="O92" s="245" t="str">
        <f t="shared" si="4"/>
        <v>-</v>
      </c>
      <c r="P92" s="127" t="str">
        <f t="shared" si="5"/>
        <v>-</v>
      </c>
      <c r="Q92" s="104"/>
      <c r="R92" s="104"/>
    </row>
    <row r="93" spans="3:18" x14ac:dyDescent="0.25">
      <c r="C93" s="55"/>
      <c r="D93" s="148"/>
      <c r="E93" s="61"/>
      <c r="F93" s="242" t="str">
        <f t="shared" si="3"/>
        <v>-</v>
      </c>
      <c r="G93" s="1"/>
      <c r="H93" s="152"/>
      <c r="I93" s="55"/>
      <c r="J93" s="130" t="str">
        <f ca="1">IFERROR(MIN('DC Calculations'!$F$28/I93,1),"-")</f>
        <v>-</v>
      </c>
      <c r="K93" s="120"/>
      <c r="L93" s="55"/>
      <c r="M93" s="55"/>
      <c r="N93" s="55"/>
      <c r="O93" s="245" t="str">
        <f t="shared" si="4"/>
        <v>-</v>
      </c>
      <c r="P93" s="127" t="str">
        <f t="shared" si="5"/>
        <v>-</v>
      </c>
      <c r="Q93" s="104"/>
      <c r="R93" s="104"/>
    </row>
    <row r="94" spans="3:18" x14ac:dyDescent="0.25">
      <c r="C94" s="55"/>
      <c r="D94" s="148"/>
      <c r="E94" s="61"/>
      <c r="F94" s="242" t="str">
        <f t="shared" si="3"/>
        <v>-</v>
      </c>
      <c r="G94" s="1"/>
      <c r="H94" s="152"/>
      <c r="I94" s="55"/>
      <c r="J94" s="130" t="str">
        <f ca="1">IFERROR(MIN('DC Calculations'!$F$28/I94,1),"-")</f>
        <v>-</v>
      </c>
      <c r="K94" s="120"/>
      <c r="L94" s="55"/>
      <c r="M94" s="55"/>
      <c r="N94" s="55"/>
      <c r="O94" s="245" t="str">
        <f t="shared" si="4"/>
        <v>-</v>
      </c>
      <c r="P94" s="127" t="str">
        <f t="shared" si="5"/>
        <v>-</v>
      </c>
      <c r="Q94" s="104"/>
      <c r="R94" s="104"/>
    </row>
    <row r="95" spans="3:18" x14ac:dyDescent="0.25">
      <c r="C95" s="55"/>
      <c r="D95" s="148"/>
      <c r="E95" s="61"/>
      <c r="F95" s="242" t="str">
        <f t="shared" si="3"/>
        <v>-</v>
      </c>
      <c r="G95" s="1"/>
      <c r="H95" s="152"/>
      <c r="I95" s="55"/>
      <c r="J95" s="130" t="str">
        <f ca="1">IFERROR(MIN('DC Calculations'!$F$28/I95,1),"-")</f>
        <v>-</v>
      </c>
      <c r="K95" s="120"/>
      <c r="L95" s="55"/>
      <c r="M95" s="55"/>
      <c r="N95" s="55"/>
      <c r="O95" s="245" t="str">
        <f t="shared" si="4"/>
        <v>-</v>
      </c>
      <c r="P95" s="127" t="str">
        <f t="shared" si="5"/>
        <v>-</v>
      </c>
      <c r="Q95" s="104"/>
      <c r="R95" s="104"/>
    </row>
    <row r="96" spans="3:18" x14ac:dyDescent="0.25">
      <c r="C96" s="55"/>
      <c r="D96" s="148"/>
      <c r="E96" s="61"/>
      <c r="F96" s="242" t="str">
        <f t="shared" si="3"/>
        <v>-</v>
      </c>
      <c r="G96" s="1"/>
      <c r="H96" s="152"/>
      <c r="I96" s="55"/>
      <c r="J96" s="130" t="str">
        <f ca="1">IFERROR(MIN('DC Calculations'!$F$28/I96,1),"-")</f>
        <v>-</v>
      </c>
      <c r="K96" s="120"/>
      <c r="L96" s="55"/>
      <c r="M96" s="55"/>
      <c r="N96" s="55"/>
      <c r="O96" s="245" t="str">
        <f t="shared" si="4"/>
        <v>-</v>
      </c>
      <c r="P96" s="127" t="str">
        <f t="shared" si="5"/>
        <v>-</v>
      </c>
      <c r="Q96" s="104"/>
      <c r="R96" s="104"/>
    </row>
    <row r="97" spans="3:18" x14ac:dyDescent="0.25">
      <c r="C97" s="55"/>
      <c r="D97" s="148"/>
      <c r="E97" s="61"/>
      <c r="F97" s="242" t="str">
        <f t="shared" si="3"/>
        <v>-</v>
      </c>
      <c r="G97" s="1"/>
      <c r="H97" s="152"/>
      <c r="I97" s="55"/>
      <c r="J97" s="130" t="str">
        <f ca="1">IFERROR(MIN('DC Calculations'!$F$28/I97,1),"-")</f>
        <v>-</v>
      </c>
      <c r="K97" s="120"/>
      <c r="L97" s="55"/>
      <c r="M97" s="55"/>
      <c r="N97" s="55"/>
      <c r="O97" s="245" t="str">
        <f t="shared" si="4"/>
        <v>-</v>
      </c>
      <c r="P97" s="127" t="str">
        <f t="shared" si="5"/>
        <v>-</v>
      </c>
      <c r="Q97" s="104"/>
      <c r="R97" s="104"/>
    </row>
    <row r="98" spans="3:18" x14ac:dyDescent="0.25">
      <c r="C98" s="55"/>
      <c r="D98" s="148"/>
      <c r="E98" s="61"/>
      <c r="F98" s="242" t="str">
        <f t="shared" si="3"/>
        <v>-</v>
      </c>
      <c r="G98" s="1"/>
      <c r="H98" s="152"/>
      <c r="I98" s="55"/>
      <c r="J98" s="130" t="str">
        <f ca="1">IFERROR(MIN('DC Calculations'!$F$28/I98,1),"-")</f>
        <v>-</v>
      </c>
      <c r="K98" s="120"/>
      <c r="L98" s="55"/>
      <c r="M98" s="55"/>
      <c r="N98" s="55"/>
      <c r="O98" s="245" t="str">
        <f t="shared" si="4"/>
        <v>-</v>
      </c>
      <c r="P98" s="127" t="str">
        <f t="shared" si="5"/>
        <v>-</v>
      </c>
      <c r="Q98" s="104"/>
      <c r="R98" s="104"/>
    </row>
    <row r="99" spans="3:18" x14ac:dyDescent="0.25">
      <c r="C99" s="55"/>
      <c r="D99" s="148"/>
      <c r="E99" s="61"/>
      <c r="F99" s="242" t="str">
        <f t="shared" si="3"/>
        <v>-</v>
      </c>
      <c r="G99" s="1"/>
      <c r="H99" s="152"/>
      <c r="I99" s="55"/>
      <c r="J99" s="130" t="str">
        <f ca="1">IFERROR(MIN('DC Calculations'!$F$28/I99,1),"-")</f>
        <v>-</v>
      </c>
      <c r="K99" s="120"/>
      <c r="L99" s="55"/>
      <c r="M99" s="55"/>
      <c r="N99" s="55"/>
      <c r="O99" s="245" t="str">
        <f t="shared" si="4"/>
        <v>-</v>
      </c>
      <c r="P99" s="127" t="str">
        <f t="shared" si="5"/>
        <v>-</v>
      </c>
      <c r="Q99" s="104"/>
      <c r="R99" s="104"/>
    </row>
    <row r="100" spans="3:18" x14ac:dyDescent="0.25">
      <c r="C100" s="55"/>
      <c r="D100" s="148"/>
      <c r="E100" s="61"/>
      <c r="F100" s="242" t="str">
        <f t="shared" si="3"/>
        <v>-</v>
      </c>
      <c r="G100" s="1"/>
      <c r="H100" s="152"/>
      <c r="I100" s="55"/>
      <c r="J100" s="130" t="str">
        <f ca="1">IFERROR(MIN('DC Calculations'!$F$28/I100,1),"-")</f>
        <v>-</v>
      </c>
      <c r="K100" s="120"/>
      <c r="L100" s="55"/>
      <c r="M100" s="55"/>
      <c r="N100" s="55"/>
      <c r="O100" s="245" t="str">
        <f t="shared" si="4"/>
        <v>-</v>
      </c>
      <c r="P100" s="127" t="str">
        <f t="shared" si="5"/>
        <v>-</v>
      </c>
      <c r="Q100" s="104"/>
      <c r="R100" s="104"/>
    </row>
    <row r="101" spans="3:18" x14ac:dyDescent="0.25">
      <c r="C101" s="55"/>
      <c r="D101" s="148"/>
      <c r="E101" s="61"/>
      <c r="F101" s="242" t="str">
        <f t="shared" si="3"/>
        <v>-</v>
      </c>
      <c r="G101" s="1"/>
      <c r="H101" s="152"/>
      <c r="I101" s="55"/>
      <c r="J101" s="130" t="str">
        <f ca="1">IFERROR(MIN('DC Calculations'!$F$28/I101,1),"-")</f>
        <v>-</v>
      </c>
      <c r="K101" s="120"/>
      <c r="L101" s="55"/>
      <c r="M101" s="55"/>
      <c r="N101" s="55"/>
      <c r="O101" s="245" t="str">
        <f t="shared" si="4"/>
        <v>-</v>
      </c>
      <c r="P101" s="127" t="str">
        <f t="shared" si="5"/>
        <v>-</v>
      </c>
      <c r="Q101" s="104"/>
      <c r="R101" s="104"/>
    </row>
    <row r="102" spans="3:18" x14ac:dyDescent="0.25">
      <c r="C102" s="55"/>
      <c r="D102" s="148"/>
      <c r="E102" s="61"/>
      <c r="F102" s="242" t="str">
        <f t="shared" si="3"/>
        <v>-</v>
      </c>
      <c r="G102" s="1"/>
      <c r="H102" s="152"/>
      <c r="I102" s="55"/>
      <c r="J102" s="130" t="str">
        <f ca="1">IFERROR(MIN('DC Calculations'!$F$28/I102,1),"-")</f>
        <v>-</v>
      </c>
      <c r="K102" s="120"/>
      <c r="L102" s="55"/>
      <c r="M102" s="55"/>
      <c r="N102" s="55"/>
      <c r="O102" s="245" t="str">
        <f t="shared" si="4"/>
        <v>-</v>
      </c>
      <c r="P102" s="127" t="str">
        <f t="shared" si="5"/>
        <v>-</v>
      </c>
      <c r="Q102" s="104"/>
      <c r="R102" s="104"/>
    </row>
    <row r="103" spans="3:18" x14ac:dyDescent="0.25">
      <c r="C103" s="55"/>
      <c r="D103" s="148"/>
      <c r="E103" s="61"/>
      <c r="F103" s="242" t="str">
        <f t="shared" si="3"/>
        <v>-</v>
      </c>
      <c r="G103" s="1"/>
      <c r="H103" s="152"/>
      <c r="I103" s="55"/>
      <c r="J103" s="130" t="str">
        <f ca="1">IFERROR(MIN('DC Calculations'!$F$28/I103,1),"-")</f>
        <v>-</v>
      </c>
      <c r="K103" s="120"/>
      <c r="L103" s="55"/>
      <c r="M103" s="55"/>
      <c r="N103" s="55"/>
      <c r="O103" s="245" t="str">
        <f t="shared" si="4"/>
        <v>-</v>
      </c>
      <c r="P103" s="127" t="str">
        <f t="shared" si="5"/>
        <v>-</v>
      </c>
      <c r="Q103" s="104"/>
      <c r="R103" s="104"/>
    </row>
    <row r="104" spans="3:18" x14ac:dyDescent="0.25">
      <c r="C104" s="55"/>
      <c r="D104" s="148"/>
      <c r="E104" s="61"/>
      <c r="F104" s="242" t="str">
        <f t="shared" si="3"/>
        <v>-</v>
      </c>
      <c r="G104" s="1"/>
      <c r="H104" s="152"/>
      <c r="I104" s="55"/>
      <c r="J104" s="130" t="str">
        <f ca="1">IFERROR(MIN('DC Calculations'!$F$28/I104,1),"-")</f>
        <v>-</v>
      </c>
      <c r="K104" s="120"/>
      <c r="L104" s="55"/>
      <c r="M104" s="55"/>
      <c r="N104" s="55"/>
      <c r="O104" s="245" t="str">
        <f t="shared" si="4"/>
        <v>-</v>
      </c>
      <c r="P104" s="127" t="str">
        <f t="shared" si="5"/>
        <v>-</v>
      </c>
      <c r="Q104" s="104"/>
      <c r="R104" s="104"/>
    </row>
    <row r="105" spans="3:18" x14ac:dyDescent="0.25">
      <c r="C105" s="55"/>
      <c r="D105" s="148"/>
      <c r="E105" s="61"/>
      <c r="F105" s="242" t="str">
        <f t="shared" si="3"/>
        <v>-</v>
      </c>
      <c r="G105" s="1"/>
      <c r="H105" s="152"/>
      <c r="I105" s="55"/>
      <c r="J105" s="130" t="str">
        <f ca="1">IFERROR(MIN('DC Calculations'!$F$28/I105,1),"-")</f>
        <v>-</v>
      </c>
      <c r="K105" s="120"/>
      <c r="L105" s="55"/>
      <c r="M105" s="55"/>
      <c r="N105" s="55"/>
      <c r="O105" s="245" t="str">
        <f t="shared" si="4"/>
        <v>-</v>
      </c>
      <c r="P105" s="127" t="str">
        <f t="shared" si="5"/>
        <v>-</v>
      </c>
      <c r="Q105" s="104"/>
      <c r="R105" s="104"/>
    </row>
    <row r="106" spans="3:18" x14ac:dyDescent="0.25">
      <c r="C106" s="55"/>
      <c r="D106" s="148"/>
      <c r="E106" s="61"/>
      <c r="F106" s="242" t="str">
        <f t="shared" si="3"/>
        <v>-</v>
      </c>
      <c r="G106" s="1"/>
      <c r="H106" s="152"/>
      <c r="I106" s="55"/>
      <c r="J106" s="130" t="str">
        <f ca="1">IFERROR(MIN('DC Calculations'!$F$28/I106,1),"-")</f>
        <v>-</v>
      </c>
      <c r="K106" s="120"/>
      <c r="L106" s="55"/>
      <c r="M106" s="55"/>
      <c r="N106" s="55"/>
      <c r="O106" s="245" t="str">
        <f t="shared" si="4"/>
        <v>-</v>
      </c>
      <c r="P106" s="127" t="str">
        <f t="shared" si="5"/>
        <v>-</v>
      </c>
      <c r="Q106" s="104"/>
      <c r="R106" s="104"/>
    </row>
    <row r="107" spans="3:18" x14ac:dyDescent="0.25">
      <c r="C107" s="55"/>
      <c r="D107" s="148"/>
      <c r="E107" s="61"/>
      <c r="F107" s="242" t="str">
        <f t="shared" si="3"/>
        <v>-</v>
      </c>
      <c r="G107" s="1"/>
      <c r="H107" s="152"/>
      <c r="I107" s="55"/>
      <c r="J107" s="130" t="str">
        <f ca="1">IFERROR(MIN('DC Calculations'!$F$28/I107,1),"-")</f>
        <v>-</v>
      </c>
      <c r="K107" s="120"/>
      <c r="L107" s="55"/>
      <c r="M107" s="55"/>
      <c r="N107" s="55"/>
      <c r="O107" s="245" t="str">
        <f t="shared" si="4"/>
        <v>-</v>
      </c>
      <c r="P107" s="127" t="str">
        <f t="shared" si="5"/>
        <v>-</v>
      </c>
      <c r="Q107" s="104"/>
      <c r="R107" s="104"/>
    </row>
    <row r="108" spans="3:18" x14ac:dyDescent="0.25">
      <c r="C108" s="55"/>
      <c r="D108" s="148"/>
      <c r="E108" s="61"/>
      <c r="F108" s="242" t="str">
        <f t="shared" si="3"/>
        <v>-</v>
      </c>
      <c r="G108" s="1"/>
      <c r="H108" s="152"/>
      <c r="I108" s="55"/>
      <c r="J108" s="130" t="str">
        <f ca="1">IFERROR(MIN('DC Calculations'!$F$28/I108,1),"-")</f>
        <v>-</v>
      </c>
      <c r="K108" s="120"/>
      <c r="L108" s="55"/>
      <c r="M108" s="55"/>
      <c r="N108" s="55"/>
      <c r="O108" s="245" t="str">
        <f t="shared" si="4"/>
        <v>-</v>
      </c>
      <c r="P108" s="127" t="str">
        <f t="shared" si="5"/>
        <v>-</v>
      </c>
      <c r="Q108" s="104"/>
      <c r="R108" s="104"/>
    </row>
    <row r="109" spans="3:18" x14ac:dyDescent="0.25">
      <c r="C109" s="55"/>
      <c r="D109" s="148"/>
      <c r="E109" s="61"/>
      <c r="F109" s="242" t="str">
        <f t="shared" si="3"/>
        <v>-</v>
      </c>
      <c r="G109" s="1"/>
      <c r="H109" s="152"/>
      <c r="I109" s="55"/>
      <c r="J109" s="130" t="str">
        <f ca="1">IFERROR(MIN('DC Calculations'!$F$28/I109,1),"-")</f>
        <v>-</v>
      </c>
      <c r="K109" s="120"/>
      <c r="L109" s="55"/>
      <c r="M109" s="55"/>
      <c r="N109" s="55"/>
      <c r="O109" s="245" t="str">
        <f t="shared" si="4"/>
        <v>-</v>
      </c>
      <c r="P109" s="127" t="str">
        <f t="shared" si="5"/>
        <v>-</v>
      </c>
      <c r="Q109" s="104"/>
      <c r="R109" s="104"/>
    </row>
    <row r="110" spans="3:18" x14ac:dyDescent="0.25">
      <c r="C110" s="55"/>
      <c r="D110" s="148"/>
      <c r="E110" s="61"/>
      <c r="F110" s="242" t="str">
        <f t="shared" si="3"/>
        <v>-</v>
      </c>
      <c r="G110" s="1"/>
      <c r="H110" s="152"/>
      <c r="I110" s="55"/>
      <c r="J110" s="130" t="str">
        <f ca="1">IFERROR(MIN('DC Calculations'!$F$28/I110,1),"-")</f>
        <v>-</v>
      </c>
      <c r="K110" s="120"/>
      <c r="L110" s="55"/>
      <c r="M110" s="55"/>
      <c r="N110" s="55"/>
      <c r="O110" s="245" t="str">
        <f t="shared" si="4"/>
        <v>-</v>
      </c>
      <c r="P110" s="127" t="str">
        <f t="shared" si="5"/>
        <v>-</v>
      </c>
      <c r="Q110" s="104"/>
      <c r="R110" s="104"/>
    </row>
    <row r="111" spans="3:18" x14ac:dyDescent="0.25">
      <c r="C111" s="55"/>
      <c r="D111" s="148"/>
      <c r="E111" s="61"/>
      <c r="F111" s="242" t="str">
        <f t="shared" si="3"/>
        <v>-</v>
      </c>
      <c r="G111" s="1"/>
      <c r="H111" s="152"/>
      <c r="I111" s="55"/>
      <c r="J111" s="130" t="str">
        <f ca="1">IFERROR(MIN('DC Calculations'!$F$28/I111,1),"-")</f>
        <v>-</v>
      </c>
      <c r="K111" s="120"/>
      <c r="L111" s="55"/>
      <c r="M111" s="55"/>
      <c r="N111" s="55"/>
      <c r="O111" s="245" t="str">
        <f t="shared" si="4"/>
        <v>-</v>
      </c>
      <c r="P111" s="127" t="str">
        <f t="shared" si="5"/>
        <v>-</v>
      </c>
      <c r="Q111" s="104"/>
      <c r="R111" s="104"/>
    </row>
    <row r="112" spans="3:18" x14ac:dyDescent="0.25">
      <c r="C112" s="55"/>
      <c r="D112" s="148"/>
      <c r="E112" s="61"/>
      <c r="F112" s="242" t="str">
        <f t="shared" si="3"/>
        <v>-</v>
      </c>
      <c r="G112" s="1"/>
      <c r="H112" s="152"/>
      <c r="I112" s="55"/>
      <c r="J112" s="130" t="str">
        <f ca="1">IFERROR(MIN('DC Calculations'!$F$28/I112,1),"-")</f>
        <v>-</v>
      </c>
      <c r="K112" s="120"/>
      <c r="L112" s="55"/>
      <c r="M112" s="55"/>
      <c r="N112" s="55"/>
      <c r="O112" s="245" t="str">
        <f t="shared" si="4"/>
        <v>-</v>
      </c>
      <c r="P112" s="127" t="str">
        <f t="shared" si="5"/>
        <v>-</v>
      </c>
      <c r="Q112" s="104"/>
      <c r="R112" s="104"/>
    </row>
    <row r="113" spans="3:18" x14ac:dyDescent="0.25">
      <c r="C113" s="55"/>
      <c r="D113" s="148"/>
      <c r="E113" s="61"/>
      <c r="F113" s="242" t="str">
        <f t="shared" si="3"/>
        <v>-</v>
      </c>
      <c r="G113" s="1"/>
      <c r="H113" s="152"/>
      <c r="I113" s="55"/>
      <c r="J113" s="130" t="str">
        <f ca="1">IFERROR(MIN('DC Calculations'!$F$28/I113,1),"-")</f>
        <v>-</v>
      </c>
      <c r="K113" s="120"/>
      <c r="L113" s="55"/>
      <c r="M113" s="55"/>
      <c r="N113" s="55"/>
      <c r="O113" s="245" t="str">
        <f t="shared" si="4"/>
        <v>-</v>
      </c>
      <c r="P113" s="127" t="str">
        <f t="shared" si="5"/>
        <v>-</v>
      </c>
      <c r="Q113" s="104"/>
      <c r="R113" s="104"/>
    </row>
    <row r="114" spans="3:18" x14ac:dyDescent="0.25">
      <c r="C114" s="55"/>
      <c r="D114" s="148"/>
      <c r="E114" s="61"/>
      <c r="F114" s="242" t="str">
        <f t="shared" si="3"/>
        <v>-</v>
      </c>
      <c r="G114" s="1"/>
      <c r="H114" s="152"/>
      <c r="I114" s="55"/>
      <c r="J114" s="130" t="str">
        <f ca="1">IFERROR(MIN('DC Calculations'!$F$28/I114,1),"-")</f>
        <v>-</v>
      </c>
      <c r="K114" s="120"/>
      <c r="L114" s="55"/>
      <c r="M114" s="55"/>
      <c r="N114" s="55"/>
      <c r="O114" s="245" t="str">
        <f t="shared" si="4"/>
        <v>-</v>
      </c>
      <c r="P114" s="127" t="str">
        <f t="shared" si="5"/>
        <v>-</v>
      </c>
      <c r="Q114" s="104"/>
      <c r="R114" s="104"/>
    </row>
    <row r="115" spans="3:18" x14ac:dyDescent="0.25">
      <c r="C115" s="55"/>
      <c r="D115" s="148"/>
      <c r="E115" s="61"/>
      <c r="F115" s="242" t="str">
        <f t="shared" si="3"/>
        <v>-</v>
      </c>
      <c r="G115" s="1"/>
      <c r="H115" s="152"/>
      <c r="I115" s="55"/>
      <c r="J115" s="130" t="str">
        <f ca="1">IFERROR(MIN('DC Calculations'!$F$28/I115,1),"-")</f>
        <v>-</v>
      </c>
      <c r="K115" s="120"/>
      <c r="L115" s="55"/>
      <c r="M115" s="55"/>
      <c r="N115" s="55"/>
      <c r="O115" s="245" t="str">
        <f t="shared" si="4"/>
        <v>-</v>
      </c>
      <c r="P115" s="127" t="str">
        <f t="shared" si="5"/>
        <v>-</v>
      </c>
      <c r="Q115" s="104"/>
      <c r="R115" s="104"/>
    </row>
    <row r="116" spans="3:18" x14ac:dyDescent="0.25">
      <c r="C116" s="55"/>
      <c r="D116" s="148"/>
      <c r="E116" s="61"/>
      <c r="F116" s="242" t="str">
        <f t="shared" si="3"/>
        <v>-</v>
      </c>
      <c r="G116" s="1"/>
      <c r="H116" s="152"/>
      <c r="I116" s="55"/>
      <c r="J116" s="130" t="str">
        <f ca="1">IFERROR(MIN('DC Calculations'!$F$28/I116,1),"-")</f>
        <v>-</v>
      </c>
      <c r="K116" s="120"/>
      <c r="L116" s="55"/>
      <c r="M116" s="55"/>
      <c r="N116" s="55"/>
      <c r="O116" s="245" t="str">
        <f t="shared" si="4"/>
        <v>-</v>
      </c>
      <c r="P116" s="127" t="str">
        <f t="shared" si="5"/>
        <v>-</v>
      </c>
      <c r="Q116" s="104"/>
      <c r="R116" s="104"/>
    </row>
    <row r="117" spans="3:18" x14ac:dyDescent="0.25">
      <c r="C117" s="55"/>
      <c r="D117" s="148"/>
      <c r="E117" s="61"/>
      <c r="F117" s="242" t="str">
        <f t="shared" si="3"/>
        <v>-</v>
      </c>
      <c r="G117" s="1"/>
      <c r="H117" s="152"/>
      <c r="I117" s="55"/>
      <c r="J117" s="130" t="str">
        <f ca="1">IFERROR(MIN('DC Calculations'!$F$28/I117,1),"-")</f>
        <v>-</v>
      </c>
      <c r="K117" s="120"/>
      <c r="L117" s="55"/>
      <c r="M117" s="55"/>
      <c r="N117" s="55"/>
      <c r="O117" s="245" t="str">
        <f t="shared" si="4"/>
        <v>-</v>
      </c>
      <c r="P117" s="127" t="str">
        <f t="shared" si="5"/>
        <v>-</v>
      </c>
      <c r="Q117" s="104"/>
      <c r="R117" s="104"/>
    </row>
    <row r="118" spans="3:18" x14ac:dyDescent="0.25">
      <c r="C118" s="55"/>
      <c r="D118" s="148"/>
      <c r="E118" s="61"/>
      <c r="F118" s="242" t="str">
        <f t="shared" si="3"/>
        <v>-</v>
      </c>
      <c r="G118" s="1"/>
      <c r="H118" s="152"/>
      <c r="I118" s="55"/>
      <c r="J118" s="130" t="str">
        <f ca="1">IFERROR(MIN('DC Calculations'!$F$28/I118,1),"-")</f>
        <v>-</v>
      </c>
      <c r="K118" s="120"/>
      <c r="L118" s="55"/>
      <c r="M118" s="55"/>
      <c r="N118" s="55"/>
      <c r="O118" s="245" t="str">
        <f t="shared" si="4"/>
        <v>-</v>
      </c>
      <c r="P118" s="127" t="str">
        <f t="shared" si="5"/>
        <v>-</v>
      </c>
      <c r="Q118" s="104"/>
      <c r="R118" s="104"/>
    </row>
    <row r="119" spans="3:18" x14ac:dyDescent="0.25">
      <c r="C119" s="55"/>
      <c r="D119" s="148"/>
      <c r="E119" s="61"/>
      <c r="F119" s="242" t="str">
        <f t="shared" si="3"/>
        <v>-</v>
      </c>
      <c r="G119" s="1"/>
      <c r="H119" s="152"/>
      <c r="I119" s="55"/>
      <c r="J119" s="130" t="str">
        <f ca="1">IFERROR(MIN('DC Calculations'!$F$28/I119,1),"-")</f>
        <v>-</v>
      </c>
      <c r="K119" s="120"/>
      <c r="L119" s="55"/>
      <c r="M119" s="55"/>
      <c r="N119" s="55"/>
      <c r="O119" s="245" t="str">
        <f t="shared" si="4"/>
        <v>-</v>
      </c>
      <c r="P119" s="127" t="str">
        <f t="shared" si="5"/>
        <v>-</v>
      </c>
      <c r="Q119" s="104"/>
      <c r="R119" s="104"/>
    </row>
    <row r="120" spans="3:18" x14ac:dyDescent="0.25">
      <c r="C120" s="55"/>
      <c r="D120" s="148"/>
      <c r="E120" s="61"/>
      <c r="F120" s="242" t="str">
        <f t="shared" si="3"/>
        <v>-</v>
      </c>
      <c r="G120" s="1"/>
      <c r="H120" s="152"/>
      <c r="I120" s="55"/>
      <c r="J120" s="130" t="str">
        <f ca="1">IFERROR(MIN('DC Calculations'!$F$28/I120,1),"-")</f>
        <v>-</v>
      </c>
      <c r="K120" s="120"/>
      <c r="L120" s="55"/>
      <c r="M120" s="55"/>
      <c r="N120" s="55"/>
      <c r="O120" s="245" t="str">
        <f t="shared" si="4"/>
        <v>-</v>
      </c>
      <c r="P120" s="127" t="str">
        <f t="shared" si="5"/>
        <v>-</v>
      </c>
      <c r="Q120" s="104"/>
      <c r="R120" s="104"/>
    </row>
    <row r="121" spans="3:18" x14ac:dyDescent="0.25">
      <c r="C121" s="55"/>
      <c r="D121" s="148"/>
      <c r="E121" s="61"/>
      <c r="F121" s="242" t="str">
        <f t="shared" si="3"/>
        <v>-</v>
      </c>
      <c r="G121" s="1"/>
      <c r="H121" s="152"/>
      <c r="I121" s="55"/>
      <c r="J121" s="130" t="str">
        <f ca="1">IFERROR(MIN('DC Calculations'!$F$28/I121,1),"-")</f>
        <v>-</v>
      </c>
      <c r="K121" s="120"/>
      <c r="L121" s="55"/>
      <c r="M121" s="55"/>
      <c r="N121" s="55"/>
      <c r="O121" s="245" t="str">
        <f t="shared" si="4"/>
        <v>-</v>
      </c>
      <c r="P121" s="127" t="str">
        <f t="shared" si="5"/>
        <v>-</v>
      </c>
      <c r="Q121" s="104"/>
      <c r="R121" s="104"/>
    </row>
    <row r="122" spans="3:18" x14ac:dyDescent="0.25">
      <c r="C122" s="55"/>
      <c r="D122" s="148"/>
      <c r="E122" s="61"/>
      <c r="F122" s="242" t="str">
        <f t="shared" si="3"/>
        <v>-</v>
      </c>
      <c r="G122" s="1"/>
      <c r="H122" s="152"/>
      <c r="I122" s="55"/>
      <c r="J122" s="130" t="str">
        <f ca="1">IFERROR(MIN('DC Calculations'!$F$28/I122,1),"-")</f>
        <v>-</v>
      </c>
      <c r="K122" s="120"/>
      <c r="L122" s="55"/>
      <c r="M122" s="55"/>
      <c r="N122" s="55"/>
      <c r="O122" s="245" t="str">
        <f t="shared" si="4"/>
        <v>-</v>
      </c>
      <c r="P122" s="127" t="str">
        <f t="shared" si="5"/>
        <v>-</v>
      </c>
      <c r="Q122" s="104"/>
      <c r="R122" s="104"/>
    </row>
    <row r="123" spans="3:18" x14ac:dyDescent="0.25">
      <c r="C123" s="55"/>
      <c r="D123" s="148"/>
      <c r="E123" s="61"/>
      <c r="F123" s="242" t="str">
        <f t="shared" si="3"/>
        <v>-</v>
      </c>
      <c r="G123" s="1"/>
      <c r="H123" s="152"/>
      <c r="I123" s="55"/>
      <c r="J123" s="130" t="str">
        <f ca="1">IFERROR(MIN('DC Calculations'!$F$28/I123,1),"-")</f>
        <v>-</v>
      </c>
      <c r="K123" s="120"/>
      <c r="L123" s="55"/>
      <c r="M123" s="55"/>
      <c r="N123" s="55"/>
      <c r="O123" s="245" t="str">
        <f t="shared" si="4"/>
        <v>-</v>
      </c>
      <c r="P123" s="127" t="str">
        <f t="shared" si="5"/>
        <v>-</v>
      </c>
      <c r="Q123" s="104"/>
      <c r="R123" s="104"/>
    </row>
    <row r="124" spans="3:18" x14ac:dyDescent="0.25">
      <c r="C124" s="55"/>
      <c r="D124" s="148"/>
      <c r="E124" s="61"/>
      <c r="F124" s="242" t="str">
        <f t="shared" si="3"/>
        <v>-</v>
      </c>
      <c r="G124" s="1"/>
      <c r="H124" s="152"/>
      <c r="I124" s="55"/>
      <c r="J124" s="130" t="str">
        <f ca="1">IFERROR(MIN('DC Calculations'!$F$28/I124,1),"-")</f>
        <v>-</v>
      </c>
      <c r="K124" s="120"/>
      <c r="L124" s="55"/>
      <c r="M124" s="55"/>
      <c r="N124" s="55"/>
      <c r="O124" s="245" t="str">
        <f t="shared" si="4"/>
        <v>-</v>
      </c>
      <c r="P124" s="127" t="str">
        <f t="shared" si="5"/>
        <v>-</v>
      </c>
      <c r="Q124" s="104"/>
      <c r="R124" s="104"/>
    </row>
    <row r="125" spans="3:18" x14ac:dyDescent="0.25">
      <c r="C125" s="55"/>
      <c r="D125" s="148"/>
      <c r="E125" s="61"/>
      <c r="F125" s="242" t="str">
        <f t="shared" si="3"/>
        <v>-</v>
      </c>
      <c r="G125" s="1"/>
      <c r="H125" s="152"/>
      <c r="I125" s="55"/>
      <c r="J125" s="130" t="str">
        <f ca="1">IFERROR(MIN('DC Calculations'!$F$28/I125,1),"-")</f>
        <v>-</v>
      </c>
      <c r="K125" s="120"/>
      <c r="L125" s="55"/>
      <c r="M125" s="55"/>
      <c r="N125" s="55"/>
      <c r="O125" s="245" t="str">
        <f t="shared" si="4"/>
        <v>-</v>
      </c>
      <c r="P125" s="127" t="str">
        <f t="shared" si="5"/>
        <v>-</v>
      </c>
      <c r="Q125" s="104"/>
      <c r="R125" s="104"/>
    </row>
    <row r="126" spans="3:18" x14ac:dyDescent="0.25">
      <c r="C126" s="55"/>
      <c r="D126" s="148"/>
      <c r="E126" s="61"/>
      <c r="F126" s="242" t="str">
        <f t="shared" si="3"/>
        <v>-</v>
      </c>
      <c r="G126" s="1"/>
      <c r="H126" s="152"/>
      <c r="I126" s="55"/>
      <c r="J126" s="130" t="str">
        <f ca="1">IFERROR(MIN('DC Calculations'!$F$28/I126,1),"-")</f>
        <v>-</v>
      </c>
      <c r="K126" s="120"/>
      <c r="L126" s="55"/>
      <c r="M126" s="55"/>
      <c r="N126" s="55"/>
      <c r="O126" s="245" t="str">
        <f t="shared" si="4"/>
        <v>-</v>
      </c>
      <c r="P126" s="127" t="str">
        <f t="shared" si="5"/>
        <v>-</v>
      </c>
      <c r="Q126" s="104"/>
      <c r="R126" s="104"/>
    </row>
    <row r="127" spans="3:18" x14ac:dyDescent="0.25">
      <c r="C127" s="55"/>
      <c r="D127" s="148"/>
      <c r="E127" s="61"/>
      <c r="F127" s="242" t="str">
        <f t="shared" si="3"/>
        <v>-</v>
      </c>
      <c r="G127" s="1"/>
      <c r="H127" s="152"/>
      <c r="I127" s="55"/>
      <c r="J127" s="130" t="str">
        <f ca="1">IFERROR(MIN('DC Calculations'!$F$28/I127,1),"-")</f>
        <v>-</v>
      </c>
      <c r="K127" s="120"/>
      <c r="L127" s="55"/>
      <c r="M127" s="55"/>
      <c r="N127" s="55"/>
      <c r="O127" s="245" t="str">
        <f t="shared" si="4"/>
        <v>-</v>
      </c>
      <c r="P127" s="127" t="str">
        <f t="shared" si="5"/>
        <v>-</v>
      </c>
      <c r="Q127" s="104"/>
      <c r="R127" s="104"/>
    </row>
    <row r="128" spans="3:18" x14ac:dyDescent="0.25">
      <c r="C128" s="55"/>
      <c r="D128" s="148"/>
      <c r="E128" s="61"/>
      <c r="F128" s="242" t="str">
        <f t="shared" si="3"/>
        <v>-</v>
      </c>
      <c r="G128" s="1"/>
      <c r="H128" s="152"/>
      <c r="I128" s="55"/>
      <c r="J128" s="130" t="str">
        <f ca="1">IFERROR(MIN('DC Calculations'!$F$28/I128,1),"-")</f>
        <v>-</v>
      </c>
      <c r="K128" s="120"/>
      <c r="L128" s="55"/>
      <c r="M128" s="55"/>
      <c r="N128" s="55"/>
      <c r="O128" s="245" t="str">
        <f t="shared" si="4"/>
        <v>-</v>
      </c>
      <c r="P128" s="127" t="str">
        <f t="shared" si="5"/>
        <v>-</v>
      </c>
      <c r="Q128" s="104"/>
      <c r="R128" s="104"/>
    </row>
    <row r="129" spans="3:18" x14ac:dyDescent="0.25">
      <c r="C129" s="55"/>
      <c r="D129" s="148"/>
      <c r="E129" s="61"/>
      <c r="F129" s="242" t="str">
        <f t="shared" si="3"/>
        <v>-</v>
      </c>
      <c r="G129" s="1"/>
      <c r="H129" s="152"/>
      <c r="I129" s="55"/>
      <c r="J129" s="130" t="str">
        <f ca="1">IFERROR(MIN('DC Calculations'!$F$28/I129,1),"-")</f>
        <v>-</v>
      </c>
      <c r="K129" s="120"/>
      <c r="L129" s="55"/>
      <c r="M129" s="55"/>
      <c r="N129" s="55"/>
      <c r="O129" s="245" t="str">
        <f t="shared" si="4"/>
        <v>-</v>
      </c>
      <c r="P129" s="127" t="str">
        <f t="shared" si="5"/>
        <v>-</v>
      </c>
      <c r="Q129" s="104"/>
      <c r="R129" s="104"/>
    </row>
    <row r="130" spans="3:18" x14ac:dyDescent="0.25">
      <c r="C130" s="55"/>
      <c r="D130" s="148"/>
      <c r="E130" s="61"/>
      <c r="F130" s="242" t="str">
        <f t="shared" si="3"/>
        <v>-</v>
      </c>
      <c r="G130" s="1"/>
      <c r="H130" s="152"/>
      <c r="I130" s="55"/>
      <c r="J130" s="130" t="str">
        <f ca="1">IFERROR(MIN('DC Calculations'!$F$28/I130,1),"-")</f>
        <v>-</v>
      </c>
      <c r="K130" s="120"/>
      <c r="L130" s="55"/>
      <c r="M130" s="55"/>
      <c r="N130" s="55"/>
      <c r="O130" s="245" t="str">
        <f t="shared" si="4"/>
        <v>-</v>
      </c>
      <c r="P130" s="127" t="str">
        <f t="shared" si="5"/>
        <v>-</v>
      </c>
      <c r="Q130" s="104"/>
      <c r="R130" s="104"/>
    </row>
    <row r="131" spans="3:18" x14ac:dyDescent="0.25">
      <c r="C131" s="55"/>
      <c r="D131" s="148"/>
      <c r="E131" s="61"/>
      <c r="F131" s="242" t="str">
        <f t="shared" si="3"/>
        <v>-</v>
      </c>
      <c r="G131" s="1"/>
      <c r="H131" s="152"/>
      <c r="I131" s="55"/>
      <c r="J131" s="130" t="str">
        <f ca="1">IFERROR(MIN('DC Calculations'!$F$28/I131,1),"-")</f>
        <v>-</v>
      </c>
      <c r="K131" s="120"/>
      <c r="L131" s="55"/>
      <c r="M131" s="55"/>
      <c r="N131" s="55"/>
      <c r="O131" s="245" t="str">
        <f t="shared" si="4"/>
        <v>-</v>
      </c>
      <c r="P131" s="127" t="str">
        <f t="shared" si="5"/>
        <v>-</v>
      </c>
      <c r="Q131" s="104"/>
      <c r="R131" s="104"/>
    </row>
    <row r="132" spans="3:18" x14ac:dyDescent="0.25">
      <c r="C132" s="55"/>
      <c r="D132" s="148"/>
      <c r="E132" s="61"/>
      <c r="F132" s="242" t="str">
        <f t="shared" si="3"/>
        <v>-</v>
      </c>
      <c r="G132" s="1"/>
      <c r="H132" s="152"/>
      <c r="I132" s="55"/>
      <c r="J132" s="130" t="str">
        <f ca="1">IFERROR(MIN('DC Calculations'!$F$28/I132,1),"-")</f>
        <v>-</v>
      </c>
      <c r="K132" s="120"/>
      <c r="L132" s="55"/>
      <c r="M132" s="55"/>
      <c r="N132" s="55"/>
      <c r="O132" s="245" t="str">
        <f t="shared" si="4"/>
        <v>-</v>
      </c>
      <c r="P132" s="127" t="str">
        <f t="shared" si="5"/>
        <v>-</v>
      </c>
      <c r="Q132" s="104"/>
      <c r="R132" s="104"/>
    </row>
    <row r="133" spans="3:18" x14ac:dyDescent="0.25">
      <c r="C133" s="55"/>
      <c r="D133" s="148"/>
      <c r="E133" s="61"/>
      <c r="F133" s="242" t="str">
        <f t="shared" si="3"/>
        <v>-</v>
      </c>
      <c r="G133" s="1"/>
      <c r="H133" s="152"/>
      <c r="I133" s="55"/>
      <c r="J133" s="130" t="str">
        <f ca="1">IFERROR(MIN('DC Calculations'!$F$28/I133,1),"-")</f>
        <v>-</v>
      </c>
      <c r="K133" s="120"/>
      <c r="L133" s="55"/>
      <c r="M133" s="55"/>
      <c r="N133" s="55"/>
      <c r="O133" s="245" t="str">
        <f t="shared" si="4"/>
        <v>-</v>
      </c>
      <c r="P133" s="127" t="str">
        <f t="shared" si="5"/>
        <v>-</v>
      </c>
      <c r="Q133" s="104"/>
      <c r="R133" s="104"/>
    </row>
    <row r="134" spans="3:18" x14ac:dyDescent="0.25">
      <c r="C134" s="55"/>
      <c r="D134" s="148"/>
      <c r="E134" s="61"/>
      <c r="F134" s="242" t="str">
        <f t="shared" si="3"/>
        <v>-</v>
      </c>
      <c r="G134" s="1"/>
      <c r="H134" s="152"/>
      <c r="I134" s="55"/>
      <c r="J134" s="130" t="str">
        <f ca="1">IFERROR(MIN('DC Calculations'!$F$28/I134,1),"-")</f>
        <v>-</v>
      </c>
      <c r="K134" s="120"/>
      <c r="L134" s="55"/>
      <c r="M134" s="55"/>
      <c r="N134" s="55"/>
      <c r="O134" s="245" t="str">
        <f t="shared" si="4"/>
        <v>-</v>
      </c>
      <c r="P134" s="127" t="str">
        <f t="shared" si="5"/>
        <v>-</v>
      </c>
      <c r="Q134" s="104"/>
      <c r="R134" s="104"/>
    </row>
    <row r="135" spans="3:18" x14ac:dyDescent="0.25">
      <c r="C135" s="55"/>
      <c r="D135" s="148"/>
      <c r="E135" s="61"/>
      <c r="F135" s="242" t="str">
        <f t="shared" si="3"/>
        <v>-</v>
      </c>
      <c r="G135" s="1"/>
      <c r="H135" s="152"/>
      <c r="I135" s="55"/>
      <c r="J135" s="130" t="str">
        <f ca="1">IFERROR(MIN('DC Calculations'!$F$28/I135,1),"-")</f>
        <v>-</v>
      </c>
      <c r="K135" s="120"/>
      <c r="L135" s="55"/>
      <c r="M135" s="55"/>
      <c r="N135" s="55"/>
      <c r="O135" s="245" t="str">
        <f t="shared" si="4"/>
        <v>-</v>
      </c>
      <c r="P135" s="127" t="str">
        <f t="shared" si="5"/>
        <v>-</v>
      </c>
      <c r="Q135" s="104"/>
      <c r="R135" s="104"/>
    </row>
    <row r="136" spans="3:18" x14ac:dyDescent="0.25">
      <c r="C136" s="55"/>
      <c r="D136" s="148"/>
      <c r="E136" s="61"/>
      <c r="F136" s="242" t="str">
        <f t="shared" si="3"/>
        <v>-</v>
      </c>
      <c r="G136" s="1"/>
      <c r="H136" s="152"/>
      <c r="I136" s="55"/>
      <c r="J136" s="130" t="str">
        <f ca="1">IFERROR(MIN('DC Calculations'!$F$28/I136,1),"-")</f>
        <v>-</v>
      </c>
      <c r="K136" s="120"/>
      <c r="L136" s="55"/>
      <c r="M136" s="55"/>
      <c r="N136" s="55"/>
      <c r="O136" s="245" t="str">
        <f t="shared" si="4"/>
        <v>-</v>
      </c>
      <c r="P136" s="127" t="str">
        <f t="shared" si="5"/>
        <v>-</v>
      </c>
      <c r="Q136" s="104"/>
      <c r="R136" s="104"/>
    </row>
    <row r="137" spans="3:18" x14ac:dyDescent="0.25">
      <c r="C137" s="55"/>
      <c r="D137" s="148"/>
      <c r="E137" s="61"/>
      <c r="F137" s="242" t="str">
        <f t="shared" si="3"/>
        <v>-</v>
      </c>
      <c r="G137" s="1"/>
      <c r="H137" s="152"/>
      <c r="I137" s="55"/>
      <c r="J137" s="130" t="str">
        <f ca="1">IFERROR(MIN('DC Calculations'!$F$28/I137,1),"-")</f>
        <v>-</v>
      </c>
      <c r="K137" s="120"/>
      <c r="L137" s="55"/>
      <c r="M137" s="55"/>
      <c r="N137" s="55"/>
      <c r="O137" s="245" t="str">
        <f t="shared" si="4"/>
        <v>-</v>
      </c>
      <c r="P137" s="127" t="str">
        <f t="shared" si="5"/>
        <v>-</v>
      </c>
      <c r="Q137" s="104"/>
      <c r="R137" s="104"/>
    </row>
    <row r="138" spans="3:18" x14ac:dyDescent="0.25">
      <c r="C138" s="55"/>
      <c r="D138" s="148"/>
      <c r="E138" s="61"/>
      <c r="F138" s="242" t="str">
        <f t="shared" si="3"/>
        <v>-</v>
      </c>
      <c r="G138" s="1"/>
      <c r="H138" s="152"/>
      <c r="I138" s="55"/>
      <c r="J138" s="130" t="str">
        <f ca="1">IFERROR(MIN('DC Calculations'!$F$28/I138,1),"-")</f>
        <v>-</v>
      </c>
      <c r="K138" s="120"/>
      <c r="L138" s="55"/>
      <c r="M138" s="55"/>
      <c r="N138" s="55"/>
      <c r="O138" s="245" t="str">
        <f t="shared" si="4"/>
        <v>-</v>
      </c>
      <c r="P138" s="127" t="str">
        <f t="shared" si="5"/>
        <v>-</v>
      </c>
      <c r="Q138" s="104"/>
      <c r="R138" s="104"/>
    </row>
    <row r="139" spans="3:18" x14ac:dyDescent="0.25">
      <c r="C139" s="55"/>
      <c r="D139" s="148"/>
      <c r="E139" s="61"/>
      <c r="F139" s="242" t="str">
        <f t="shared" si="3"/>
        <v>-</v>
      </c>
      <c r="G139" s="1"/>
      <c r="H139" s="152"/>
      <c r="I139" s="55"/>
      <c r="J139" s="130" t="str">
        <f ca="1">IFERROR(MIN('DC Calculations'!$F$28/I139,1),"-")</f>
        <v>-</v>
      </c>
      <c r="K139" s="120"/>
      <c r="L139" s="55"/>
      <c r="M139" s="55"/>
      <c r="N139" s="55"/>
      <c r="O139" s="245" t="str">
        <f t="shared" si="4"/>
        <v>-</v>
      </c>
      <c r="P139" s="127" t="str">
        <f t="shared" si="5"/>
        <v>-</v>
      </c>
      <c r="Q139" s="104"/>
      <c r="R139" s="104"/>
    </row>
    <row r="140" spans="3:18" x14ac:dyDescent="0.25">
      <c r="C140" s="55"/>
      <c r="D140" s="148"/>
      <c r="E140" s="61"/>
      <c r="F140" s="242" t="str">
        <f t="shared" si="3"/>
        <v>-</v>
      </c>
      <c r="G140" s="1"/>
      <c r="H140" s="152"/>
      <c r="I140" s="55"/>
      <c r="J140" s="130" t="str">
        <f ca="1">IFERROR(MIN('DC Calculations'!$F$28/I140,1),"-")</f>
        <v>-</v>
      </c>
      <c r="K140" s="120"/>
      <c r="L140" s="55"/>
      <c r="M140" s="55"/>
      <c r="N140" s="55"/>
      <c r="O140" s="245" t="str">
        <f t="shared" si="4"/>
        <v>-</v>
      </c>
      <c r="P140" s="127" t="str">
        <f t="shared" si="5"/>
        <v>-</v>
      </c>
      <c r="Q140" s="104"/>
      <c r="R140" s="104"/>
    </row>
    <row r="141" spans="3:18" x14ac:dyDescent="0.25">
      <c r="C141" s="55"/>
      <c r="D141" s="148"/>
      <c r="E141" s="61"/>
      <c r="F141" s="242" t="str">
        <f t="shared" si="3"/>
        <v>-</v>
      </c>
      <c r="G141" s="1"/>
      <c r="H141" s="152"/>
      <c r="I141" s="55"/>
      <c r="J141" s="130" t="str">
        <f ca="1">IFERROR(MIN('DC Calculations'!$F$28/I141,1),"-")</f>
        <v>-</v>
      </c>
      <c r="K141" s="120"/>
      <c r="L141" s="55"/>
      <c r="M141" s="55"/>
      <c r="N141" s="55"/>
      <c r="O141" s="245" t="str">
        <f t="shared" si="4"/>
        <v>-</v>
      </c>
      <c r="P141" s="127" t="str">
        <f t="shared" si="5"/>
        <v>-</v>
      </c>
      <c r="Q141" s="104"/>
      <c r="R141" s="104"/>
    </row>
    <row r="142" spans="3:18" x14ac:dyDescent="0.25">
      <c r="C142" s="55"/>
      <c r="D142" s="148"/>
      <c r="E142" s="61"/>
      <c r="F142" s="242" t="str">
        <f t="shared" si="3"/>
        <v>-</v>
      </c>
      <c r="G142" s="1"/>
      <c r="H142" s="152"/>
      <c r="I142" s="55"/>
      <c r="J142" s="130" t="str">
        <f ca="1">IFERROR(MIN('DC Calculations'!$F$28/I142,1),"-")</f>
        <v>-</v>
      </c>
      <c r="K142" s="120"/>
      <c r="L142" s="55"/>
      <c r="M142" s="55"/>
      <c r="N142" s="55"/>
      <c r="O142" s="245" t="str">
        <f t="shared" si="4"/>
        <v>-</v>
      </c>
      <c r="P142" s="127" t="str">
        <f t="shared" si="5"/>
        <v>-</v>
      </c>
      <c r="Q142" s="104"/>
      <c r="R142" s="104"/>
    </row>
    <row r="143" spans="3:18" x14ac:dyDescent="0.25">
      <c r="C143" s="55"/>
      <c r="D143" s="148"/>
      <c r="E143" s="61"/>
      <c r="F143" s="242" t="str">
        <f t="shared" si="3"/>
        <v>-</v>
      </c>
      <c r="G143" s="1"/>
      <c r="H143" s="152"/>
      <c r="I143" s="55"/>
      <c r="J143" s="130" t="str">
        <f ca="1">IFERROR(MIN('DC Calculations'!$F$28/I143,1),"-")</f>
        <v>-</v>
      </c>
      <c r="K143" s="120"/>
      <c r="L143" s="55"/>
      <c r="M143" s="55"/>
      <c r="N143" s="55"/>
      <c r="O143" s="245" t="str">
        <f t="shared" si="4"/>
        <v>-</v>
      </c>
      <c r="P143" s="127" t="str">
        <f t="shared" si="5"/>
        <v>-</v>
      </c>
      <c r="Q143" s="104"/>
      <c r="R143" s="104"/>
    </row>
    <row r="144" spans="3:18" x14ac:dyDescent="0.25">
      <c r="C144" s="55"/>
      <c r="D144" s="148"/>
      <c r="E144" s="61"/>
      <c r="F144" s="242" t="str">
        <f t="shared" si="3"/>
        <v>-</v>
      </c>
      <c r="G144" s="1"/>
      <c r="H144" s="152"/>
      <c r="I144" s="55"/>
      <c r="J144" s="130" t="str">
        <f ca="1">IFERROR(MIN('DC Calculations'!$F$28/I144,1),"-")</f>
        <v>-</v>
      </c>
      <c r="K144" s="120"/>
      <c r="L144" s="55"/>
      <c r="M144" s="55"/>
      <c r="N144" s="55"/>
      <c r="O144" s="245" t="str">
        <f t="shared" si="4"/>
        <v>-</v>
      </c>
      <c r="P144" s="127" t="str">
        <f t="shared" si="5"/>
        <v>-</v>
      </c>
      <c r="Q144" s="104"/>
      <c r="R144" s="104"/>
    </row>
    <row r="145" spans="3:18" x14ac:dyDescent="0.25">
      <c r="C145" s="55"/>
      <c r="D145" s="148"/>
      <c r="E145" s="61"/>
      <c r="F145" s="242" t="str">
        <f t="shared" si="3"/>
        <v>-</v>
      </c>
      <c r="G145" s="1"/>
      <c r="H145" s="152"/>
      <c r="I145" s="55"/>
      <c r="J145" s="130" t="str">
        <f ca="1">IFERROR(MIN('DC Calculations'!$F$28/I145,1),"-")</f>
        <v>-</v>
      </c>
      <c r="K145" s="120"/>
      <c r="L145" s="55"/>
      <c r="M145" s="55"/>
      <c r="N145" s="55"/>
      <c r="O145" s="245" t="str">
        <f t="shared" si="4"/>
        <v>-</v>
      </c>
      <c r="P145" s="127" t="str">
        <f t="shared" si="5"/>
        <v>-</v>
      </c>
      <c r="Q145" s="104"/>
      <c r="R145" s="104"/>
    </row>
    <row r="146" spans="3:18" x14ac:dyDescent="0.25">
      <c r="C146" s="55"/>
      <c r="D146" s="148"/>
      <c r="E146" s="61"/>
      <c r="F146" s="242" t="str">
        <f t="shared" ref="F146:F209" si="6">IF(E146="","-",IF(E146&gt;$E$11,"ERROR - date outside of range",IF(MONTH(E146)&gt;=7,YEAR(E146)&amp;"-"&amp;IF(YEAR(E146)=1999,"00",IF(AND(YEAR(E146)&gt;=2000,YEAR(E146)&lt;2009),"0","")&amp;RIGHT(YEAR(E146),2)+1),RIGHT(YEAR(E146),4)-1&amp;"-"&amp;RIGHT(YEAR(E146),2))))</f>
        <v>-</v>
      </c>
      <c r="G146" s="1"/>
      <c r="H146" s="152"/>
      <c r="I146" s="55"/>
      <c r="J146" s="130" t="str">
        <f ca="1">IFERROR(MIN('DC Calculations'!$F$28/I146,1),"-")</f>
        <v>-</v>
      </c>
      <c r="K146" s="120"/>
      <c r="L146" s="55"/>
      <c r="M146" s="55"/>
      <c r="N146" s="55"/>
      <c r="O146" s="245" t="str">
        <f t="shared" ref="O146:O209" si="7">IF(N146="","-",L146*N146)</f>
        <v>-</v>
      </c>
      <c r="P146" s="127" t="str">
        <f t="shared" ref="P146:P209" si="8">IF(O146="-","-",IF(E146&gt;$E$11,0,O146*J146))</f>
        <v>-</v>
      </c>
      <c r="Q146" s="104"/>
      <c r="R146" s="104"/>
    </row>
    <row r="147" spans="3:18" x14ac:dyDescent="0.25">
      <c r="C147" s="55"/>
      <c r="D147" s="148"/>
      <c r="E147" s="61"/>
      <c r="F147" s="242" t="str">
        <f t="shared" si="6"/>
        <v>-</v>
      </c>
      <c r="G147" s="1"/>
      <c r="H147" s="152"/>
      <c r="I147" s="55"/>
      <c r="J147" s="130" t="str">
        <f ca="1">IFERROR(MIN('DC Calculations'!$F$28/I147,1),"-")</f>
        <v>-</v>
      </c>
      <c r="K147" s="120"/>
      <c r="L147" s="55"/>
      <c r="M147" s="55"/>
      <c r="N147" s="55"/>
      <c r="O147" s="245" t="str">
        <f t="shared" si="7"/>
        <v>-</v>
      </c>
      <c r="P147" s="127" t="str">
        <f t="shared" si="8"/>
        <v>-</v>
      </c>
      <c r="Q147" s="104"/>
      <c r="R147" s="104"/>
    </row>
    <row r="148" spans="3:18" x14ac:dyDescent="0.25">
      <c r="C148" s="55"/>
      <c r="D148" s="148"/>
      <c r="E148" s="61"/>
      <c r="F148" s="242" t="str">
        <f t="shared" si="6"/>
        <v>-</v>
      </c>
      <c r="G148" s="1"/>
      <c r="H148" s="152"/>
      <c r="I148" s="55"/>
      <c r="J148" s="130" t="str">
        <f ca="1">IFERROR(MIN('DC Calculations'!$F$28/I148,1),"-")</f>
        <v>-</v>
      </c>
      <c r="K148" s="120"/>
      <c r="L148" s="55"/>
      <c r="M148" s="55"/>
      <c r="N148" s="55"/>
      <c r="O148" s="245" t="str">
        <f t="shared" si="7"/>
        <v>-</v>
      </c>
      <c r="P148" s="127" t="str">
        <f t="shared" si="8"/>
        <v>-</v>
      </c>
      <c r="Q148" s="104"/>
      <c r="R148" s="104"/>
    </row>
    <row r="149" spans="3:18" x14ac:dyDescent="0.25">
      <c r="C149" s="55"/>
      <c r="D149" s="148"/>
      <c r="E149" s="61"/>
      <c r="F149" s="242" t="str">
        <f t="shared" si="6"/>
        <v>-</v>
      </c>
      <c r="G149" s="1"/>
      <c r="H149" s="152"/>
      <c r="I149" s="55"/>
      <c r="J149" s="130" t="str">
        <f ca="1">IFERROR(MIN('DC Calculations'!$F$28/I149,1),"-")</f>
        <v>-</v>
      </c>
      <c r="K149" s="120"/>
      <c r="L149" s="55"/>
      <c r="M149" s="55"/>
      <c r="N149" s="55"/>
      <c r="O149" s="245" t="str">
        <f t="shared" si="7"/>
        <v>-</v>
      </c>
      <c r="P149" s="127" t="str">
        <f t="shared" si="8"/>
        <v>-</v>
      </c>
      <c r="Q149" s="104"/>
      <c r="R149" s="104"/>
    </row>
    <row r="150" spans="3:18" x14ac:dyDescent="0.25">
      <c r="C150" s="55"/>
      <c r="D150" s="148"/>
      <c r="E150" s="61"/>
      <c r="F150" s="242" t="str">
        <f t="shared" si="6"/>
        <v>-</v>
      </c>
      <c r="G150" s="1"/>
      <c r="H150" s="152"/>
      <c r="I150" s="55"/>
      <c r="J150" s="130" t="str">
        <f ca="1">IFERROR(MIN('DC Calculations'!$F$28/I150,1),"-")</f>
        <v>-</v>
      </c>
      <c r="K150" s="120"/>
      <c r="L150" s="55"/>
      <c r="M150" s="55"/>
      <c r="N150" s="55"/>
      <c r="O150" s="245" t="str">
        <f t="shared" si="7"/>
        <v>-</v>
      </c>
      <c r="P150" s="127" t="str">
        <f t="shared" si="8"/>
        <v>-</v>
      </c>
      <c r="Q150" s="104"/>
      <c r="R150" s="104"/>
    </row>
    <row r="151" spans="3:18" x14ac:dyDescent="0.25">
      <c r="C151" s="55"/>
      <c r="D151" s="148"/>
      <c r="E151" s="61"/>
      <c r="F151" s="242" t="str">
        <f t="shared" si="6"/>
        <v>-</v>
      </c>
      <c r="G151" s="1"/>
      <c r="H151" s="152"/>
      <c r="I151" s="55"/>
      <c r="J151" s="130" t="str">
        <f ca="1">IFERROR(MIN('DC Calculations'!$F$28/I151,1),"-")</f>
        <v>-</v>
      </c>
      <c r="K151" s="120"/>
      <c r="L151" s="55"/>
      <c r="M151" s="55"/>
      <c r="N151" s="55"/>
      <c r="O151" s="245" t="str">
        <f t="shared" si="7"/>
        <v>-</v>
      </c>
      <c r="P151" s="127" t="str">
        <f t="shared" si="8"/>
        <v>-</v>
      </c>
      <c r="Q151" s="104"/>
      <c r="R151" s="104"/>
    </row>
    <row r="152" spans="3:18" x14ac:dyDescent="0.25">
      <c r="C152" s="55"/>
      <c r="D152" s="148"/>
      <c r="E152" s="61"/>
      <c r="F152" s="242" t="str">
        <f t="shared" si="6"/>
        <v>-</v>
      </c>
      <c r="G152" s="1"/>
      <c r="H152" s="152"/>
      <c r="I152" s="55"/>
      <c r="J152" s="130" t="str">
        <f ca="1">IFERROR(MIN('DC Calculations'!$F$28/I152,1),"-")</f>
        <v>-</v>
      </c>
      <c r="K152" s="120"/>
      <c r="L152" s="55"/>
      <c r="M152" s="55"/>
      <c r="N152" s="55"/>
      <c r="O152" s="245" t="str">
        <f t="shared" si="7"/>
        <v>-</v>
      </c>
      <c r="P152" s="127" t="str">
        <f t="shared" si="8"/>
        <v>-</v>
      </c>
      <c r="Q152" s="104"/>
      <c r="R152" s="104"/>
    </row>
    <row r="153" spans="3:18" x14ac:dyDescent="0.25">
      <c r="C153" s="55"/>
      <c r="D153" s="148"/>
      <c r="E153" s="61"/>
      <c r="F153" s="242" t="str">
        <f t="shared" si="6"/>
        <v>-</v>
      </c>
      <c r="G153" s="1"/>
      <c r="H153" s="152"/>
      <c r="I153" s="55"/>
      <c r="J153" s="130" t="str">
        <f ca="1">IFERROR(MIN('DC Calculations'!$F$28/I153,1),"-")</f>
        <v>-</v>
      </c>
      <c r="K153" s="120"/>
      <c r="L153" s="55"/>
      <c r="M153" s="55"/>
      <c r="N153" s="55"/>
      <c r="O153" s="245" t="str">
        <f t="shared" si="7"/>
        <v>-</v>
      </c>
      <c r="P153" s="127" t="str">
        <f t="shared" si="8"/>
        <v>-</v>
      </c>
      <c r="Q153" s="104"/>
      <c r="R153" s="104"/>
    </row>
    <row r="154" spans="3:18" x14ac:dyDescent="0.25">
      <c r="C154" s="55"/>
      <c r="D154" s="148"/>
      <c r="E154" s="61"/>
      <c r="F154" s="242" t="str">
        <f t="shared" si="6"/>
        <v>-</v>
      </c>
      <c r="G154" s="1"/>
      <c r="H154" s="152"/>
      <c r="I154" s="55"/>
      <c r="J154" s="130" t="str">
        <f ca="1">IFERROR(MIN('DC Calculations'!$F$28/I154,1),"-")</f>
        <v>-</v>
      </c>
      <c r="K154" s="120"/>
      <c r="L154" s="55"/>
      <c r="M154" s="55"/>
      <c r="N154" s="55"/>
      <c r="O154" s="245" t="str">
        <f t="shared" si="7"/>
        <v>-</v>
      </c>
      <c r="P154" s="127" t="str">
        <f t="shared" si="8"/>
        <v>-</v>
      </c>
      <c r="Q154" s="104"/>
      <c r="R154" s="104"/>
    </row>
    <row r="155" spans="3:18" x14ac:dyDescent="0.25">
      <c r="C155" s="55"/>
      <c r="D155" s="148"/>
      <c r="E155" s="61"/>
      <c r="F155" s="242" t="str">
        <f t="shared" si="6"/>
        <v>-</v>
      </c>
      <c r="G155" s="1"/>
      <c r="H155" s="152"/>
      <c r="I155" s="55"/>
      <c r="J155" s="130" t="str">
        <f ca="1">IFERROR(MIN('DC Calculations'!$F$28/I155,1),"-")</f>
        <v>-</v>
      </c>
      <c r="K155" s="120"/>
      <c r="L155" s="55"/>
      <c r="M155" s="55"/>
      <c r="N155" s="55"/>
      <c r="O155" s="245" t="str">
        <f t="shared" si="7"/>
        <v>-</v>
      </c>
      <c r="P155" s="127" t="str">
        <f t="shared" si="8"/>
        <v>-</v>
      </c>
      <c r="Q155" s="104"/>
      <c r="R155" s="104"/>
    </row>
    <row r="156" spans="3:18" x14ac:dyDescent="0.25">
      <c r="C156" s="55"/>
      <c r="D156" s="148"/>
      <c r="E156" s="61"/>
      <c r="F156" s="242" t="str">
        <f t="shared" si="6"/>
        <v>-</v>
      </c>
      <c r="G156" s="1"/>
      <c r="H156" s="152"/>
      <c r="I156" s="55"/>
      <c r="J156" s="130" t="str">
        <f ca="1">IFERROR(MIN('DC Calculations'!$F$28/I156,1),"-")</f>
        <v>-</v>
      </c>
      <c r="K156" s="120"/>
      <c r="L156" s="55"/>
      <c r="M156" s="55"/>
      <c r="N156" s="55"/>
      <c r="O156" s="245" t="str">
        <f t="shared" si="7"/>
        <v>-</v>
      </c>
      <c r="P156" s="127" t="str">
        <f t="shared" si="8"/>
        <v>-</v>
      </c>
      <c r="Q156" s="104"/>
      <c r="R156" s="104"/>
    </row>
    <row r="157" spans="3:18" x14ac:dyDescent="0.25">
      <c r="C157" s="55"/>
      <c r="D157" s="148"/>
      <c r="E157" s="61"/>
      <c r="F157" s="242" t="str">
        <f t="shared" si="6"/>
        <v>-</v>
      </c>
      <c r="G157" s="1"/>
      <c r="H157" s="152"/>
      <c r="I157" s="55"/>
      <c r="J157" s="130" t="str">
        <f ca="1">IFERROR(MIN('DC Calculations'!$F$28/I157,1),"-")</f>
        <v>-</v>
      </c>
      <c r="K157" s="120"/>
      <c r="L157" s="55"/>
      <c r="M157" s="55"/>
      <c r="N157" s="55"/>
      <c r="O157" s="245" t="str">
        <f t="shared" si="7"/>
        <v>-</v>
      </c>
      <c r="P157" s="127" t="str">
        <f t="shared" si="8"/>
        <v>-</v>
      </c>
      <c r="Q157" s="104"/>
      <c r="R157" s="104"/>
    </row>
    <row r="158" spans="3:18" x14ac:dyDescent="0.25">
      <c r="C158" s="55"/>
      <c r="D158" s="148"/>
      <c r="E158" s="61"/>
      <c r="F158" s="242" t="str">
        <f t="shared" si="6"/>
        <v>-</v>
      </c>
      <c r="G158" s="1"/>
      <c r="H158" s="152"/>
      <c r="I158" s="55"/>
      <c r="J158" s="130" t="str">
        <f ca="1">IFERROR(MIN('DC Calculations'!$F$28/I158,1),"-")</f>
        <v>-</v>
      </c>
      <c r="K158" s="120"/>
      <c r="L158" s="55"/>
      <c r="M158" s="55"/>
      <c r="N158" s="55"/>
      <c r="O158" s="245" t="str">
        <f t="shared" si="7"/>
        <v>-</v>
      </c>
      <c r="P158" s="127" t="str">
        <f t="shared" si="8"/>
        <v>-</v>
      </c>
      <c r="Q158" s="104"/>
      <c r="R158" s="104"/>
    </row>
    <row r="159" spans="3:18" x14ac:dyDescent="0.25">
      <c r="C159" s="55"/>
      <c r="D159" s="148"/>
      <c r="E159" s="61"/>
      <c r="F159" s="242" t="str">
        <f t="shared" si="6"/>
        <v>-</v>
      </c>
      <c r="G159" s="1"/>
      <c r="H159" s="152"/>
      <c r="I159" s="55"/>
      <c r="J159" s="130" t="str">
        <f ca="1">IFERROR(MIN('DC Calculations'!$F$28/I159,1),"-")</f>
        <v>-</v>
      </c>
      <c r="K159" s="120"/>
      <c r="L159" s="55"/>
      <c r="M159" s="55"/>
      <c r="N159" s="55"/>
      <c r="O159" s="245" t="str">
        <f t="shared" si="7"/>
        <v>-</v>
      </c>
      <c r="P159" s="127" t="str">
        <f t="shared" si="8"/>
        <v>-</v>
      </c>
      <c r="Q159" s="104"/>
      <c r="R159" s="104"/>
    </row>
    <row r="160" spans="3:18" x14ac:dyDescent="0.25">
      <c r="C160" s="55"/>
      <c r="D160" s="148"/>
      <c r="E160" s="61"/>
      <c r="F160" s="242" t="str">
        <f t="shared" si="6"/>
        <v>-</v>
      </c>
      <c r="G160" s="1"/>
      <c r="H160" s="152"/>
      <c r="I160" s="55"/>
      <c r="J160" s="130" t="str">
        <f ca="1">IFERROR(MIN('DC Calculations'!$F$28/I160,1),"-")</f>
        <v>-</v>
      </c>
      <c r="K160" s="120"/>
      <c r="L160" s="55"/>
      <c r="M160" s="55"/>
      <c r="N160" s="55"/>
      <c r="O160" s="245" t="str">
        <f t="shared" si="7"/>
        <v>-</v>
      </c>
      <c r="P160" s="127" t="str">
        <f t="shared" si="8"/>
        <v>-</v>
      </c>
      <c r="Q160" s="104"/>
      <c r="R160" s="104"/>
    </row>
    <row r="161" spans="3:18" x14ac:dyDescent="0.25">
      <c r="C161" s="55"/>
      <c r="D161" s="148"/>
      <c r="E161" s="61"/>
      <c r="F161" s="242" t="str">
        <f t="shared" si="6"/>
        <v>-</v>
      </c>
      <c r="G161" s="1"/>
      <c r="H161" s="152"/>
      <c r="I161" s="55"/>
      <c r="J161" s="130" t="str">
        <f ca="1">IFERROR(MIN('DC Calculations'!$F$28/I161,1),"-")</f>
        <v>-</v>
      </c>
      <c r="K161" s="120"/>
      <c r="L161" s="55"/>
      <c r="M161" s="55"/>
      <c r="N161" s="55"/>
      <c r="O161" s="245" t="str">
        <f t="shared" si="7"/>
        <v>-</v>
      </c>
      <c r="P161" s="127" t="str">
        <f t="shared" si="8"/>
        <v>-</v>
      </c>
      <c r="Q161" s="104"/>
      <c r="R161" s="104"/>
    </row>
    <row r="162" spans="3:18" x14ac:dyDescent="0.25">
      <c r="C162" s="55"/>
      <c r="D162" s="148"/>
      <c r="E162" s="61"/>
      <c r="F162" s="242" t="str">
        <f t="shared" si="6"/>
        <v>-</v>
      </c>
      <c r="G162" s="1"/>
      <c r="H162" s="152"/>
      <c r="I162" s="55"/>
      <c r="J162" s="130" t="str">
        <f ca="1">IFERROR(MIN('DC Calculations'!$F$28/I162,1),"-")</f>
        <v>-</v>
      </c>
      <c r="K162" s="120"/>
      <c r="L162" s="55"/>
      <c r="M162" s="55"/>
      <c r="N162" s="55"/>
      <c r="O162" s="245" t="str">
        <f t="shared" si="7"/>
        <v>-</v>
      </c>
      <c r="P162" s="127" t="str">
        <f t="shared" si="8"/>
        <v>-</v>
      </c>
      <c r="Q162" s="104"/>
      <c r="R162" s="104"/>
    </row>
    <row r="163" spans="3:18" x14ac:dyDescent="0.25">
      <c r="C163" s="55"/>
      <c r="D163" s="148"/>
      <c r="E163" s="61"/>
      <c r="F163" s="242" t="str">
        <f t="shared" si="6"/>
        <v>-</v>
      </c>
      <c r="G163" s="1"/>
      <c r="H163" s="152"/>
      <c r="I163" s="55"/>
      <c r="J163" s="130" t="str">
        <f ca="1">IFERROR(MIN('DC Calculations'!$F$28/I163,1),"-")</f>
        <v>-</v>
      </c>
      <c r="K163" s="120"/>
      <c r="L163" s="55"/>
      <c r="M163" s="55"/>
      <c r="N163" s="55"/>
      <c r="O163" s="245" t="str">
        <f t="shared" si="7"/>
        <v>-</v>
      </c>
      <c r="P163" s="127" t="str">
        <f t="shared" si="8"/>
        <v>-</v>
      </c>
      <c r="Q163" s="104"/>
      <c r="R163" s="104"/>
    </row>
    <row r="164" spans="3:18" x14ac:dyDescent="0.25">
      <c r="C164" s="55"/>
      <c r="D164" s="148"/>
      <c r="E164" s="61"/>
      <c r="F164" s="242" t="str">
        <f t="shared" si="6"/>
        <v>-</v>
      </c>
      <c r="G164" s="1"/>
      <c r="H164" s="152"/>
      <c r="I164" s="55"/>
      <c r="J164" s="130" t="str">
        <f ca="1">IFERROR(MIN('DC Calculations'!$F$28/I164,1),"-")</f>
        <v>-</v>
      </c>
      <c r="K164" s="120"/>
      <c r="L164" s="55"/>
      <c r="M164" s="55"/>
      <c r="N164" s="55"/>
      <c r="O164" s="245" t="str">
        <f t="shared" si="7"/>
        <v>-</v>
      </c>
      <c r="P164" s="127" t="str">
        <f t="shared" si="8"/>
        <v>-</v>
      </c>
      <c r="Q164" s="104"/>
      <c r="R164" s="104"/>
    </row>
    <row r="165" spans="3:18" x14ac:dyDescent="0.25">
      <c r="C165" s="55"/>
      <c r="D165" s="148"/>
      <c r="E165" s="61"/>
      <c r="F165" s="242" t="str">
        <f t="shared" si="6"/>
        <v>-</v>
      </c>
      <c r="G165" s="1"/>
      <c r="H165" s="152"/>
      <c r="I165" s="55"/>
      <c r="J165" s="130" t="str">
        <f ca="1">IFERROR(MIN('DC Calculations'!$F$28/I165,1),"-")</f>
        <v>-</v>
      </c>
      <c r="K165" s="120"/>
      <c r="L165" s="55"/>
      <c r="M165" s="55"/>
      <c r="N165" s="55"/>
      <c r="O165" s="245" t="str">
        <f t="shared" si="7"/>
        <v>-</v>
      </c>
      <c r="P165" s="127" t="str">
        <f t="shared" si="8"/>
        <v>-</v>
      </c>
      <c r="Q165" s="104"/>
      <c r="R165" s="104"/>
    </row>
    <row r="166" spans="3:18" x14ac:dyDescent="0.25">
      <c r="C166" s="55"/>
      <c r="D166" s="148"/>
      <c r="E166" s="61"/>
      <c r="F166" s="242" t="str">
        <f t="shared" si="6"/>
        <v>-</v>
      </c>
      <c r="G166" s="1"/>
      <c r="H166" s="152"/>
      <c r="I166" s="55"/>
      <c r="J166" s="130" t="str">
        <f ca="1">IFERROR(MIN('DC Calculations'!$F$28/I166,1),"-")</f>
        <v>-</v>
      </c>
      <c r="K166" s="120"/>
      <c r="L166" s="55"/>
      <c r="M166" s="55"/>
      <c r="N166" s="55"/>
      <c r="O166" s="245" t="str">
        <f t="shared" si="7"/>
        <v>-</v>
      </c>
      <c r="P166" s="127" t="str">
        <f t="shared" si="8"/>
        <v>-</v>
      </c>
      <c r="Q166" s="104"/>
      <c r="R166" s="104"/>
    </row>
    <row r="167" spans="3:18" x14ac:dyDescent="0.25">
      <c r="C167" s="55"/>
      <c r="D167" s="148"/>
      <c r="E167" s="61"/>
      <c r="F167" s="242" t="str">
        <f t="shared" si="6"/>
        <v>-</v>
      </c>
      <c r="G167" s="1"/>
      <c r="H167" s="152"/>
      <c r="I167" s="55"/>
      <c r="J167" s="130" t="str">
        <f ca="1">IFERROR(MIN('DC Calculations'!$F$28/I167,1),"-")</f>
        <v>-</v>
      </c>
      <c r="K167" s="120"/>
      <c r="L167" s="55"/>
      <c r="M167" s="55"/>
      <c r="N167" s="55"/>
      <c r="O167" s="245" t="str">
        <f t="shared" si="7"/>
        <v>-</v>
      </c>
      <c r="P167" s="127" t="str">
        <f t="shared" si="8"/>
        <v>-</v>
      </c>
      <c r="Q167" s="104"/>
      <c r="R167" s="104"/>
    </row>
    <row r="168" spans="3:18" x14ac:dyDescent="0.25">
      <c r="C168" s="55"/>
      <c r="D168" s="148"/>
      <c r="E168" s="61"/>
      <c r="F168" s="242" t="str">
        <f t="shared" si="6"/>
        <v>-</v>
      </c>
      <c r="G168" s="1"/>
      <c r="H168" s="152"/>
      <c r="I168" s="55"/>
      <c r="J168" s="130" t="str">
        <f ca="1">IFERROR(MIN('DC Calculations'!$F$28/I168,1),"-")</f>
        <v>-</v>
      </c>
      <c r="K168" s="120"/>
      <c r="L168" s="55"/>
      <c r="M168" s="55"/>
      <c r="N168" s="55"/>
      <c r="O168" s="245" t="str">
        <f t="shared" si="7"/>
        <v>-</v>
      </c>
      <c r="P168" s="127" t="str">
        <f t="shared" si="8"/>
        <v>-</v>
      </c>
      <c r="Q168" s="104"/>
      <c r="R168" s="104"/>
    </row>
    <row r="169" spans="3:18" x14ac:dyDescent="0.25">
      <c r="C169" s="55"/>
      <c r="D169" s="148"/>
      <c r="E169" s="61"/>
      <c r="F169" s="242" t="str">
        <f t="shared" si="6"/>
        <v>-</v>
      </c>
      <c r="G169" s="1"/>
      <c r="H169" s="152"/>
      <c r="I169" s="55"/>
      <c r="J169" s="130" t="str">
        <f ca="1">IFERROR(MIN('DC Calculations'!$F$28/I169,1),"-")</f>
        <v>-</v>
      </c>
      <c r="K169" s="120"/>
      <c r="L169" s="55"/>
      <c r="M169" s="55"/>
      <c r="N169" s="55"/>
      <c r="O169" s="245" t="str">
        <f t="shared" si="7"/>
        <v>-</v>
      </c>
      <c r="P169" s="127" t="str">
        <f t="shared" si="8"/>
        <v>-</v>
      </c>
      <c r="Q169" s="104"/>
      <c r="R169" s="104"/>
    </row>
    <row r="170" spans="3:18" x14ac:dyDescent="0.25">
      <c r="C170" s="55"/>
      <c r="D170" s="148"/>
      <c r="E170" s="61"/>
      <c r="F170" s="242" t="str">
        <f t="shared" si="6"/>
        <v>-</v>
      </c>
      <c r="G170" s="1"/>
      <c r="H170" s="152"/>
      <c r="I170" s="55"/>
      <c r="J170" s="130" t="str">
        <f ca="1">IFERROR(MIN('DC Calculations'!$F$28/I170,1),"-")</f>
        <v>-</v>
      </c>
      <c r="K170" s="120"/>
      <c r="L170" s="55"/>
      <c r="M170" s="55"/>
      <c r="N170" s="55"/>
      <c r="O170" s="245" t="str">
        <f t="shared" si="7"/>
        <v>-</v>
      </c>
      <c r="P170" s="127" t="str">
        <f t="shared" si="8"/>
        <v>-</v>
      </c>
      <c r="Q170" s="104"/>
      <c r="R170" s="104"/>
    </row>
    <row r="171" spans="3:18" x14ac:dyDescent="0.25">
      <c r="C171" s="55"/>
      <c r="D171" s="148"/>
      <c r="E171" s="61"/>
      <c r="F171" s="242" t="str">
        <f t="shared" si="6"/>
        <v>-</v>
      </c>
      <c r="G171" s="1"/>
      <c r="H171" s="152"/>
      <c r="I171" s="55"/>
      <c r="J171" s="130" t="str">
        <f ca="1">IFERROR(MIN('DC Calculations'!$F$28/I171,1),"-")</f>
        <v>-</v>
      </c>
      <c r="K171" s="120"/>
      <c r="L171" s="55"/>
      <c r="M171" s="55"/>
      <c r="N171" s="55"/>
      <c r="O171" s="245" t="str">
        <f t="shared" si="7"/>
        <v>-</v>
      </c>
      <c r="P171" s="127" t="str">
        <f t="shared" si="8"/>
        <v>-</v>
      </c>
      <c r="Q171" s="104"/>
      <c r="R171" s="104"/>
    </row>
    <row r="172" spans="3:18" x14ac:dyDescent="0.25">
      <c r="C172" s="55"/>
      <c r="D172" s="148"/>
      <c r="E172" s="61"/>
      <c r="F172" s="242" t="str">
        <f t="shared" si="6"/>
        <v>-</v>
      </c>
      <c r="G172" s="1"/>
      <c r="H172" s="152"/>
      <c r="I172" s="55"/>
      <c r="J172" s="130" t="str">
        <f ca="1">IFERROR(MIN('DC Calculations'!$F$28/I172,1),"-")</f>
        <v>-</v>
      </c>
      <c r="K172" s="120"/>
      <c r="L172" s="55"/>
      <c r="M172" s="55"/>
      <c r="N172" s="55"/>
      <c r="O172" s="245" t="str">
        <f t="shared" si="7"/>
        <v>-</v>
      </c>
      <c r="P172" s="127" t="str">
        <f t="shared" si="8"/>
        <v>-</v>
      </c>
      <c r="Q172" s="104"/>
      <c r="R172" s="104"/>
    </row>
    <row r="173" spans="3:18" x14ac:dyDescent="0.25">
      <c r="C173" s="55"/>
      <c r="D173" s="148"/>
      <c r="E173" s="61"/>
      <c r="F173" s="242" t="str">
        <f t="shared" si="6"/>
        <v>-</v>
      </c>
      <c r="G173" s="1"/>
      <c r="H173" s="152"/>
      <c r="I173" s="55"/>
      <c r="J173" s="130" t="str">
        <f ca="1">IFERROR(MIN('DC Calculations'!$F$28/I173,1),"-")</f>
        <v>-</v>
      </c>
      <c r="K173" s="120"/>
      <c r="L173" s="55"/>
      <c r="M173" s="55"/>
      <c r="N173" s="55"/>
      <c r="O173" s="245" t="str">
        <f t="shared" si="7"/>
        <v>-</v>
      </c>
      <c r="P173" s="127" t="str">
        <f t="shared" si="8"/>
        <v>-</v>
      </c>
      <c r="Q173" s="104"/>
      <c r="R173" s="104"/>
    </row>
    <row r="174" spans="3:18" x14ac:dyDescent="0.25">
      <c r="C174" s="55"/>
      <c r="D174" s="148"/>
      <c r="E174" s="61"/>
      <c r="F174" s="242" t="str">
        <f t="shared" si="6"/>
        <v>-</v>
      </c>
      <c r="G174" s="1"/>
      <c r="H174" s="152"/>
      <c r="I174" s="55"/>
      <c r="J174" s="130" t="str">
        <f ca="1">IFERROR(MIN('DC Calculations'!$F$28/I174,1),"-")</f>
        <v>-</v>
      </c>
      <c r="K174" s="120"/>
      <c r="L174" s="55"/>
      <c r="M174" s="55"/>
      <c r="N174" s="55"/>
      <c r="O174" s="245" t="str">
        <f t="shared" si="7"/>
        <v>-</v>
      </c>
      <c r="P174" s="127" t="str">
        <f t="shared" si="8"/>
        <v>-</v>
      </c>
      <c r="Q174" s="104"/>
      <c r="R174" s="104"/>
    </row>
    <row r="175" spans="3:18" x14ac:dyDescent="0.25">
      <c r="C175" s="55"/>
      <c r="D175" s="148"/>
      <c r="E175" s="61"/>
      <c r="F175" s="242" t="str">
        <f t="shared" si="6"/>
        <v>-</v>
      </c>
      <c r="G175" s="1"/>
      <c r="H175" s="152"/>
      <c r="I175" s="55"/>
      <c r="J175" s="130" t="str">
        <f ca="1">IFERROR(MIN('DC Calculations'!$F$28/I175,1),"-")</f>
        <v>-</v>
      </c>
      <c r="K175" s="120"/>
      <c r="L175" s="55"/>
      <c r="M175" s="55"/>
      <c r="N175" s="55"/>
      <c r="O175" s="245" t="str">
        <f t="shared" si="7"/>
        <v>-</v>
      </c>
      <c r="P175" s="127" t="str">
        <f t="shared" si="8"/>
        <v>-</v>
      </c>
      <c r="Q175" s="104"/>
      <c r="R175" s="104"/>
    </row>
    <row r="176" spans="3:18" x14ac:dyDescent="0.25">
      <c r="C176" s="55"/>
      <c r="D176" s="148"/>
      <c r="E176" s="61"/>
      <c r="F176" s="242" t="str">
        <f t="shared" si="6"/>
        <v>-</v>
      </c>
      <c r="G176" s="1"/>
      <c r="H176" s="152"/>
      <c r="I176" s="55"/>
      <c r="J176" s="130" t="str">
        <f ca="1">IFERROR(MIN('DC Calculations'!$F$28/I176,1),"-")</f>
        <v>-</v>
      </c>
      <c r="K176" s="120"/>
      <c r="L176" s="55"/>
      <c r="M176" s="55"/>
      <c r="N176" s="55"/>
      <c r="O176" s="245" t="str">
        <f t="shared" si="7"/>
        <v>-</v>
      </c>
      <c r="P176" s="127" t="str">
        <f t="shared" si="8"/>
        <v>-</v>
      </c>
      <c r="Q176" s="104"/>
      <c r="R176" s="104"/>
    </row>
    <row r="177" spans="3:18" x14ac:dyDescent="0.25">
      <c r="C177" s="55"/>
      <c r="D177" s="148"/>
      <c r="E177" s="61"/>
      <c r="F177" s="242" t="str">
        <f t="shared" si="6"/>
        <v>-</v>
      </c>
      <c r="G177" s="1"/>
      <c r="H177" s="152"/>
      <c r="I177" s="55"/>
      <c r="J177" s="130" t="str">
        <f ca="1">IFERROR(MIN('DC Calculations'!$F$28/I177,1),"-")</f>
        <v>-</v>
      </c>
      <c r="K177" s="120"/>
      <c r="L177" s="55"/>
      <c r="M177" s="55"/>
      <c r="N177" s="55"/>
      <c r="O177" s="245" t="str">
        <f t="shared" si="7"/>
        <v>-</v>
      </c>
      <c r="P177" s="127" t="str">
        <f t="shared" si="8"/>
        <v>-</v>
      </c>
      <c r="Q177" s="104"/>
      <c r="R177" s="104"/>
    </row>
    <row r="178" spans="3:18" x14ac:dyDescent="0.25">
      <c r="C178" s="55"/>
      <c r="D178" s="148"/>
      <c r="E178" s="61"/>
      <c r="F178" s="242" t="str">
        <f t="shared" si="6"/>
        <v>-</v>
      </c>
      <c r="G178" s="1"/>
      <c r="H178" s="152"/>
      <c r="I178" s="55"/>
      <c r="J178" s="130" t="str">
        <f ca="1">IFERROR(MIN('DC Calculations'!$F$28/I178,1),"-")</f>
        <v>-</v>
      </c>
      <c r="K178" s="120"/>
      <c r="L178" s="55"/>
      <c r="M178" s="55"/>
      <c r="N178" s="55"/>
      <c r="O178" s="245" t="str">
        <f t="shared" si="7"/>
        <v>-</v>
      </c>
      <c r="P178" s="127" t="str">
        <f t="shared" si="8"/>
        <v>-</v>
      </c>
      <c r="Q178" s="104"/>
      <c r="R178" s="104"/>
    </row>
    <row r="179" spans="3:18" x14ac:dyDescent="0.25">
      <c r="C179" s="55"/>
      <c r="D179" s="148"/>
      <c r="E179" s="61"/>
      <c r="F179" s="242" t="str">
        <f t="shared" si="6"/>
        <v>-</v>
      </c>
      <c r="G179" s="1"/>
      <c r="H179" s="152"/>
      <c r="I179" s="55"/>
      <c r="J179" s="130" t="str">
        <f ca="1">IFERROR(MIN('DC Calculations'!$F$28/I179,1),"-")</f>
        <v>-</v>
      </c>
      <c r="K179" s="120"/>
      <c r="L179" s="55"/>
      <c r="M179" s="55"/>
      <c r="N179" s="55"/>
      <c r="O179" s="245" t="str">
        <f t="shared" si="7"/>
        <v>-</v>
      </c>
      <c r="P179" s="127" t="str">
        <f t="shared" si="8"/>
        <v>-</v>
      </c>
      <c r="Q179" s="104"/>
      <c r="R179" s="104"/>
    </row>
    <row r="180" spans="3:18" x14ac:dyDescent="0.25">
      <c r="C180" s="55"/>
      <c r="D180" s="148"/>
      <c r="E180" s="61"/>
      <c r="F180" s="242" t="str">
        <f t="shared" si="6"/>
        <v>-</v>
      </c>
      <c r="G180" s="1"/>
      <c r="H180" s="152"/>
      <c r="I180" s="55"/>
      <c r="J180" s="130" t="str">
        <f ca="1">IFERROR(MIN('DC Calculations'!$F$28/I180,1),"-")</f>
        <v>-</v>
      </c>
      <c r="K180" s="120"/>
      <c r="L180" s="55"/>
      <c r="M180" s="55"/>
      <c r="N180" s="55"/>
      <c r="O180" s="245" t="str">
        <f t="shared" si="7"/>
        <v>-</v>
      </c>
      <c r="P180" s="127" t="str">
        <f t="shared" si="8"/>
        <v>-</v>
      </c>
      <c r="Q180" s="104"/>
      <c r="R180" s="104"/>
    </row>
    <row r="181" spans="3:18" x14ac:dyDescent="0.25">
      <c r="C181" s="55"/>
      <c r="D181" s="148"/>
      <c r="E181" s="61"/>
      <c r="F181" s="242" t="str">
        <f t="shared" si="6"/>
        <v>-</v>
      </c>
      <c r="G181" s="1"/>
      <c r="H181" s="152"/>
      <c r="I181" s="55"/>
      <c r="J181" s="130" t="str">
        <f ca="1">IFERROR(MIN('DC Calculations'!$F$28/I181,1),"-")</f>
        <v>-</v>
      </c>
      <c r="K181" s="120"/>
      <c r="L181" s="55"/>
      <c r="M181" s="55"/>
      <c r="N181" s="55"/>
      <c r="O181" s="245" t="str">
        <f t="shared" si="7"/>
        <v>-</v>
      </c>
      <c r="P181" s="127" t="str">
        <f t="shared" si="8"/>
        <v>-</v>
      </c>
      <c r="Q181" s="104"/>
      <c r="R181" s="104"/>
    </row>
    <row r="182" spans="3:18" x14ac:dyDescent="0.25">
      <c r="C182" s="55"/>
      <c r="D182" s="148"/>
      <c r="E182" s="61"/>
      <c r="F182" s="242" t="str">
        <f t="shared" si="6"/>
        <v>-</v>
      </c>
      <c r="G182" s="1"/>
      <c r="H182" s="152"/>
      <c r="I182" s="55"/>
      <c r="J182" s="130" t="str">
        <f ca="1">IFERROR(MIN('DC Calculations'!$F$28/I182,1),"-")</f>
        <v>-</v>
      </c>
      <c r="K182" s="120"/>
      <c r="L182" s="55"/>
      <c r="M182" s="55"/>
      <c r="N182" s="55"/>
      <c r="O182" s="245" t="str">
        <f t="shared" si="7"/>
        <v>-</v>
      </c>
      <c r="P182" s="127" t="str">
        <f t="shared" si="8"/>
        <v>-</v>
      </c>
      <c r="Q182" s="104"/>
      <c r="R182" s="104"/>
    </row>
    <row r="183" spans="3:18" x14ac:dyDescent="0.25">
      <c r="C183" s="55"/>
      <c r="D183" s="148"/>
      <c r="E183" s="61"/>
      <c r="F183" s="242" t="str">
        <f t="shared" si="6"/>
        <v>-</v>
      </c>
      <c r="G183" s="1"/>
      <c r="H183" s="152"/>
      <c r="I183" s="55"/>
      <c r="J183" s="130" t="str">
        <f ca="1">IFERROR(MIN('DC Calculations'!$F$28/I183,1),"-")</f>
        <v>-</v>
      </c>
      <c r="K183" s="120"/>
      <c r="L183" s="55"/>
      <c r="M183" s="55"/>
      <c r="N183" s="55"/>
      <c r="O183" s="245" t="str">
        <f t="shared" si="7"/>
        <v>-</v>
      </c>
      <c r="P183" s="127" t="str">
        <f t="shared" si="8"/>
        <v>-</v>
      </c>
      <c r="Q183" s="104"/>
      <c r="R183" s="104"/>
    </row>
    <row r="184" spans="3:18" x14ac:dyDescent="0.25">
      <c r="C184" s="55"/>
      <c r="D184" s="148"/>
      <c r="E184" s="61"/>
      <c r="F184" s="242" t="str">
        <f t="shared" si="6"/>
        <v>-</v>
      </c>
      <c r="G184" s="1"/>
      <c r="H184" s="152"/>
      <c r="I184" s="55"/>
      <c r="J184" s="130" t="str">
        <f ca="1">IFERROR(MIN('DC Calculations'!$F$28/I184,1),"-")</f>
        <v>-</v>
      </c>
      <c r="K184" s="120"/>
      <c r="L184" s="55"/>
      <c r="M184" s="55"/>
      <c r="N184" s="55"/>
      <c r="O184" s="245" t="str">
        <f t="shared" si="7"/>
        <v>-</v>
      </c>
      <c r="P184" s="127" t="str">
        <f t="shared" si="8"/>
        <v>-</v>
      </c>
      <c r="Q184" s="104"/>
      <c r="R184" s="104"/>
    </row>
    <row r="185" spans="3:18" x14ac:dyDescent="0.25">
      <c r="C185" s="55"/>
      <c r="D185" s="148"/>
      <c r="E185" s="61"/>
      <c r="F185" s="242" t="str">
        <f t="shared" si="6"/>
        <v>-</v>
      </c>
      <c r="G185" s="1"/>
      <c r="H185" s="152"/>
      <c r="I185" s="55"/>
      <c r="J185" s="130" t="str">
        <f ca="1">IFERROR(MIN('DC Calculations'!$F$28/I185,1),"-")</f>
        <v>-</v>
      </c>
      <c r="K185" s="120"/>
      <c r="L185" s="55"/>
      <c r="M185" s="55"/>
      <c r="N185" s="55"/>
      <c r="O185" s="245" t="str">
        <f t="shared" si="7"/>
        <v>-</v>
      </c>
      <c r="P185" s="127" t="str">
        <f t="shared" si="8"/>
        <v>-</v>
      </c>
      <c r="Q185" s="104"/>
      <c r="R185" s="104"/>
    </row>
    <row r="186" spans="3:18" x14ac:dyDescent="0.25">
      <c r="C186" s="55"/>
      <c r="D186" s="148"/>
      <c r="E186" s="61"/>
      <c r="F186" s="242" t="str">
        <f t="shared" si="6"/>
        <v>-</v>
      </c>
      <c r="G186" s="1"/>
      <c r="H186" s="152"/>
      <c r="I186" s="55"/>
      <c r="J186" s="130" t="str">
        <f ca="1">IFERROR(MIN('DC Calculations'!$F$28/I186,1),"-")</f>
        <v>-</v>
      </c>
      <c r="K186" s="120"/>
      <c r="L186" s="55"/>
      <c r="M186" s="55"/>
      <c r="N186" s="55"/>
      <c r="O186" s="245" t="str">
        <f t="shared" si="7"/>
        <v>-</v>
      </c>
      <c r="P186" s="127" t="str">
        <f t="shared" si="8"/>
        <v>-</v>
      </c>
      <c r="Q186" s="104"/>
      <c r="R186" s="104"/>
    </row>
    <row r="187" spans="3:18" x14ac:dyDescent="0.25">
      <c r="C187" s="55"/>
      <c r="D187" s="148"/>
      <c r="E187" s="61"/>
      <c r="F187" s="242" t="str">
        <f t="shared" si="6"/>
        <v>-</v>
      </c>
      <c r="G187" s="1"/>
      <c r="H187" s="152"/>
      <c r="I187" s="55"/>
      <c r="J187" s="130" t="str">
        <f ca="1">IFERROR(MIN('DC Calculations'!$F$28/I187,1),"-")</f>
        <v>-</v>
      </c>
      <c r="K187" s="120"/>
      <c r="L187" s="55"/>
      <c r="M187" s="55"/>
      <c r="N187" s="55"/>
      <c r="O187" s="245" t="str">
        <f t="shared" si="7"/>
        <v>-</v>
      </c>
      <c r="P187" s="127" t="str">
        <f t="shared" si="8"/>
        <v>-</v>
      </c>
      <c r="Q187" s="104"/>
      <c r="R187" s="104"/>
    </row>
    <row r="188" spans="3:18" x14ac:dyDescent="0.25">
      <c r="C188" s="55"/>
      <c r="D188" s="148"/>
      <c r="E188" s="61"/>
      <c r="F188" s="242" t="str">
        <f t="shared" si="6"/>
        <v>-</v>
      </c>
      <c r="G188" s="1"/>
      <c r="H188" s="152"/>
      <c r="I188" s="55"/>
      <c r="J188" s="130" t="str">
        <f ca="1">IFERROR(MIN('DC Calculations'!$F$28/I188,1),"-")</f>
        <v>-</v>
      </c>
      <c r="K188" s="120"/>
      <c r="L188" s="55"/>
      <c r="M188" s="55"/>
      <c r="N188" s="55"/>
      <c r="O188" s="245" t="str">
        <f t="shared" si="7"/>
        <v>-</v>
      </c>
      <c r="P188" s="127" t="str">
        <f t="shared" si="8"/>
        <v>-</v>
      </c>
      <c r="Q188" s="104"/>
      <c r="R188" s="104"/>
    </row>
    <row r="189" spans="3:18" x14ac:dyDescent="0.25">
      <c r="C189" s="55"/>
      <c r="D189" s="148"/>
      <c r="E189" s="61"/>
      <c r="F189" s="242" t="str">
        <f t="shared" si="6"/>
        <v>-</v>
      </c>
      <c r="G189" s="1"/>
      <c r="H189" s="152"/>
      <c r="I189" s="55"/>
      <c r="J189" s="130" t="str">
        <f ca="1">IFERROR(MIN('DC Calculations'!$F$28/I189,1),"-")</f>
        <v>-</v>
      </c>
      <c r="K189" s="120"/>
      <c r="L189" s="55"/>
      <c r="M189" s="55"/>
      <c r="N189" s="55"/>
      <c r="O189" s="245" t="str">
        <f t="shared" si="7"/>
        <v>-</v>
      </c>
      <c r="P189" s="127" t="str">
        <f t="shared" si="8"/>
        <v>-</v>
      </c>
      <c r="Q189" s="104"/>
      <c r="R189" s="104"/>
    </row>
    <row r="190" spans="3:18" x14ac:dyDescent="0.25">
      <c r="C190" s="55"/>
      <c r="D190" s="148"/>
      <c r="E190" s="61"/>
      <c r="F190" s="242" t="str">
        <f t="shared" si="6"/>
        <v>-</v>
      </c>
      <c r="G190" s="1"/>
      <c r="H190" s="152"/>
      <c r="I190" s="55"/>
      <c r="J190" s="130" t="str">
        <f ca="1">IFERROR(MIN('DC Calculations'!$F$28/I190,1),"-")</f>
        <v>-</v>
      </c>
      <c r="K190" s="120"/>
      <c r="L190" s="55"/>
      <c r="M190" s="55"/>
      <c r="N190" s="55"/>
      <c r="O190" s="245" t="str">
        <f t="shared" si="7"/>
        <v>-</v>
      </c>
      <c r="P190" s="127" t="str">
        <f t="shared" si="8"/>
        <v>-</v>
      </c>
      <c r="Q190" s="104"/>
      <c r="R190" s="104"/>
    </row>
    <row r="191" spans="3:18" x14ac:dyDescent="0.25">
      <c r="C191" s="55"/>
      <c r="D191" s="148"/>
      <c r="E191" s="61"/>
      <c r="F191" s="242" t="str">
        <f t="shared" si="6"/>
        <v>-</v>
      </c>
      <c r="G191" s="1"/>
      <c r="H191" s="152"/>
      <c r="I191" s="55"/>
      <c r="J191" s="130" t="str">
        <f ca="1">IFERROR(MIN('DC Calculations'!$F$28/I191,1),"-")</f>
        <v>-</v>
      </c>
      <c r="K191" s="120"/>
      <c r="L191" s="55"/>
      <c r="M191" s="55"/>
      <c r="N191" s="55"/>
      <c r="O191" s="245" t="str">
        <f t="shared" si="7"/>
        <v>-</v>
      </c>
      <c r="P191" s="127" t="str">
        <f t="shared" si="8"/>
        <v>-</v>
      </c>
      <c r="Q191" s="104"/>
      <c r="R191" s="104"/>
    </row>
    <row r="192" spans="3:18" x14ac:dyDescent="0.25">
      <c r="C192" s="55"/>
      <c r="D192" s="148"/>
      <c r="E192" s="61"/>
      <c r="F192" s="242" t="str">
        <f t="shared" si="6"/>
        <v>-</v>
      </c>
      <c r="G192" s="1"/>
      <c r="H192" s="152"/>
      <c r="I192" s="55"/>
      <c r="J192" s="130" t="str">
        <f ca="1">IFERROR(MIN('DC Calculations'!$F$28/I192,1),"-")</f>
        <v>-</v>
      </c>
      <c r="K192" s="120"/>
      <c r="L192" s="55"/>
      <c r="M192" s="55"/>
      <c r="N192" s="55"/>
      <c r="O192" s="245" t="str">
        <f t="shared" si="7"/>
        <v>-</v>
      </c>
      <c r="P192" s="127" t="str">
        <f t="shared" si="8"/>
        <v>-</v>
      </c>
      <c r="Q192" s="104"/>
      <c r="R192" s="104"/>
    </row>
    <row r="193" spans="3:18" x14ac:dyDescent="0.25">
      <c r="C193" s="55"/>
      <c r="D193" s="148"/>
      <c r="E193" s="61"/>
      <c r="F193" s="242" t="str">
        <f t="shared" si="6"/>
        <v>-</v>
      </c>
      <c r="G193" s="1"/>
      <c r="H193" s="152"/>
      <c r="I193" s="55"/>
      <c r="J193" s="130" t="str">
        <f ca="1">IFERROR(MIN('DC Calculations'!$F$28/I193,1),"-")</f>
        <v>-</v>
      </c>
      <c r="K193" s="120"/>
      <c r="L193" s="55"/>
      <c r="M193" s="55"/>
      <c r="N193" s="55"/>
      <c r="O193" s="245" t="str">
        <f t="shared" si="7"/>
        <v>-</v>
      </c>
      <c r="P193" s="127" t="str">
        <f t="shared" si="8"/>
        <v>-</v>
      </c>
      <c r="Q193" s="104"/>
      <c r="R193" s="104"/>
    </row>
    <row r="194" spans="3:18" x14ac:dyDescent="0.25">
      <c r="C194" s="55"/>
      <c r="D194" s="148"/>
      <c r="E194" s="61"/>
      <c r="F194" s="242" t="str">
        <f t="shared" si="6"/>
        <v>-</v>
      </c>
      <c r="G194" s="1"/>
      <c r="H194" s="152"/>
      <c r="I194" s="55"/>
      <c r="J194" s="130" t="str">
        <f ca="1">IFERROR(MIN('DC Calculations'!$F$28/I194,1),"-")</f>
        <v>-</v>
      </c>
      <c r="K194" s="120"/>
      <c r="L194" s="55"/>
      <c r="M194" s="55"/>
      <c r="N194" s="55"/>
      <c r="O194" s="245" t="str">
        <f t="shared" si="7"/>
        <v>-</v>
      </c>
      <c r="P194" s="127" t="str">
        <f t="shared" si="8"/>
        <v>-</v>
      </c>
      <c r="Q194" s="104"/>
      <c r="R194" s="104"/>
    </row>
    <row r="195" spans="3:18" x14ac:dyDescent="0.25">
      <c r="C195" s="55"/>
      <c r="D195" s="148"/>
      <c r="E195" s="61"/>
      <c r="F195" s="242" t="str">
        <f t="shared" si="6"/>
        <v>-</v>
      </c>
      <c r="G195" s="1"/>
      <c r="H195" s="152"/>
      <c r="I195" s="55"/>
      <c r="J195" s="130" t="str">
        <f ca="1">IFERROR(MIN('DC Calculations'!$F$28/I195,1),"-")</f>
        <v>-</v>
      </c>
      <c r="K195" s="120"/>
      <c r="L195" s="55"/>
      <c r="M195" s="55"/>
      <c r="N195" s="55"/>
      <c r="O195" s="245" t="str">
        <f t="shared" si="7"/>
        <v>-</v>
      </c>
      <c r="P195" s="127" t="str">
        <f t="shared" si="8"/>
        <v>-</v>
      </c>
      <c r="Q195" s="104"/>
      <c r="R195" s="104"/>
    </row>
    <row r="196" spans="3:18" x14ac:dyDescent="0.25">
      <c r="C196" s="55"/>
      <c r="D196" s="148"/>
      <c r="E196" s="61"/>
      <c r="F196" s="242" t="str">
        <f t="shared" si="6"/>
        <v>-</v>
      </c>
      <c r="G196" s="1"/>
      <c r="H196" s="152"/>
      <c r="I196" s="55"/>
      <c r="J196" s="130" t="str">
        <f ca="1">IFERROR(MIN('DC Calculations'!$F$28/I196,1),"-")</f>
        <v>-</v>
      </c>
      <c r="K196" s="120"/>
      <c r="L196" s="55"/>
      <c r="M196" s="55"/>
      <c r="N196" s="55"/>
      <c r="O196" s="245" t="str">
        <f t="shared" si="7"/>
        <v>-</v>
      </c>
      <c r="P196" s="127" t="str">
        <f t="shared" si="8"/>
        <v>-</v>
      </c>
      <c r="Q196" s="104"/>
      <c r="R196" s="104"/>
    </row>
    <row r="197" spans="3:18" x14ac:dyDescent="0.25">
      <c r="C197" s="55"/>
      <c r="D197" s="148"/>
      <c r="E197" s="61"/>
      <c r="F197" s="242" t="str">
        <f t="shared" si="6"/>
        <v>-</v>
      </c>
      <c r="G197" s="1"/>
      <c r="H197" s="152"/>
      <c r="I197" s="55"/>
      <c r="J197" s="130" t="str">
        <f ca="1">IFERROR(MIN('DC Calculations'!$F$28/I197,1),"-")</f>
        <v>-</v>
      </c>
      <c r="K197" s="120"/>
      <c r="L197" s="55"/>
      <c r="M197" s="55"/>
      <c r="N197" s="55"/>
      <c r="O197" s="245" t="str">
        <f t="shared" si="7"/>
        <v>-</v>
      </c>
      <c r="P197" s="127" t="str">
        <f t="shared" si="8"/>
        <v>-</v>
      </c>
      <c r="Q197" s="104"/>
      <c r="R197" s="104"/>
    </row>
    <row r="198" spans="3:18" x14ac:dyDescent="0.25">
      <c r="C198" s="55"/>
      <c r="D198" s="148"/>
      <c r="E198" s="61"/>
      <c r="F198" s="242" t="str">
        <f t="shared" si="6"/>
        <v>-</v>
      </c>
      <c r="G198" s="1"/>
      <c r="H198" s="152"/>
      <c r="I198" s="55"/>
      <c r="J198" s="130" t="str">
        <f ca="1">IFERROR(MIN('DC Calculations'!$F$28/I198,1),"-")</f>
        <v>-</v>
      </c>
      <c r="K198" s="120"/>
      <c r="L198" s="55"/>
      <c r="M198" s="55"/>
      <c r="N198" s="55"/>
      <c r="O198" s="245" t="str">
        <f t="shared" si="7"/>
        <v>-</v>
      </c>
      <c r="P198" s="127" t="str">
        <f t="shared" si="8"/>
        <v>-</v>
      </c>
      <c r="Q198" s="104"/>
      <c r="R198" s="104"/>
    </row>
    <row r="199" spans="3:18" x14ac:dyDescent="0.25">
      <c r="C199" s="55"/>
      <c r="D199" s="148"/>
      <c r="E199" s="61"/>
      <c r="F199" s="242" t="str">
        <f t="shared" si="6"/>
        <v>-</v>
      </c>
      <c r="G199" s="1"/>
      <c r="H199" s="152"/>
      <c r="I199" s="55"/>
      <c r="J199" s="130" t="str">
        <f ca="1">IFERROR(MIN('DC Calculations'!$F$28/I199,1),"-")</f>
        <v>-</v>
      </c>
      <c r="K199" s="120"/>
      <c r="L199" s="55"/>
      <c r="M199" s="55"/>
      <c r="N199" s="55"/>
      <c r="O199" s="245" t="str">
        <f t="shared" si="7"/>
        <v>-</v>
      </c>
      <c r="P199" s="127" t="str">
        <f t="shared" si="8"/>
        <v>-</v>
      </c>
      <c r="Q199" s="104"/>
      <c r="R199" s="104"/>
    </row>
    <row r="200" spans="3:18" x14ac:dyDescent="0.25">
      <c r="C200" s="55"/>
      <c r="D200" s="148"/>
      <c r="E200" s="61"/>
      <c r="F200" s="242" t="str">
        <f t="shared" si="6"/>
        <v>-</v>
      </c>
      <c r="G200" s="1"/>
      <c r="H200" s="152"/>
      <c r="I200" s="55"/>
      <c r="J200" s="130" t="str">
        <f ca="1">IFERROR(MIN('DC Calculations'!$F$28/I200,1),"-")</f>
        <v>-</v>
      </c>
      <c r="K200" s="120"/>
      <c r="L200" s="55"/>
      <c r="M200" s="55"/>
      <c r="N200" s="55"/>
      <c r="O200" s="245" t="str">
        <f t="shared" si="7"/>
        <v>-</v>
      </c>
      <c r="P200" s="127" t="str">
        <f t="shared" si="8"/>
        <v>-</v>
      </c>
      <c r="Q200" s="104"/>
      <c r="R200" s="104"/>
    </row>
    <row r="201" spans="3:18" x14ac:dyDescent="0.25">
      <c r="C201" s="55"/>
      <c r="D201" s="148"/>
      <c r="E201" s="61"/>
      <c r="F201" s="242" t="str">
        <f t="shared" si="6"/>
        <v>-</v>
      </c>
      <c r="G201" s="1"/>
      <c r="H201" s="152"/>
      <c r="I201" s="55"/>
      <c r="J201" s="130" t="str">
        <f ca="1">IFERROR(MIN('DC Calculations'!$F$28/I201,1),"-")</f>
        <v>-</v>
      </c>
      <c r="K201" s="120"/>
      <c r="L201" s="55"/>
      <c r="M201" s="55"/>
      <c r="N201" s="55"/>
      <c r="O201" s="245" t="str">
        <f t="shared" si="7"/>
        <v>-</v>
      </c>
      <c r="P201" s="127" t="str">
        <f t="shared" si="8"/>
        <v>-</v>
      </c>
      <c r="Q201" s="104"/>
      <c r="R201" s="104"/>
    </row>
    <row r="202" spans="3:18" x14ac:dyDescent="0.25">
      <c r="C202" s="55"/>
      <c r="D202" s="148"/>
      <c r="E202" s="61"/>
      <c r="F202" s="242" t="str">
        <f t="shared" si="6"/>
        <v>-</v>
      </c>
      <c r="G202" s="1"/>
      <c r="H202" s="152"/>
      <c r="I202" s="55"/>
      <c r="J202" s="130" t="str">
        <f ca="1">IFERROR(MIN('DC Calculations'!$F$28/I202,1),"-")</f>
        <v>-</v>
      </c>
      <c r="K202" s="120"/>
      <c r="L202" s="55"/>
      <c r="M202" s="55"/>
      <c r="N202" s="55"/>
      <c r="O202" s="245" t="str">
        <f t="shared" si="7"/>
        <v>-</v>
      </c>
      <c r="P202" s="127" t="str">
        <f t="shared" si="8"/>
        <v>-</v>
      </c>
      <c r="Q202" s="104"/>
      <c r="R202" s="104"/>
    </row>
    <row r="203" spans="3:18" x14ac:dyDescent="0.25">
      <c r="C203" s="55"/>
      <c r="D203" s="148"/>
      <c r="E203" s="61"/>
      <c r="F203" s="242" t="str">
        <f t="shared" si="6"/>
        <v>-</v>
      </c>
      <c r="G203" s="1"/>
      <c r="H203" s="152"/>
      <c r="I203" s="55"/>
      <c r="J203" s="130" t="str">
        <f ca="1">IFERROR(MIN('DC Calculations'!$F$28/I203,1),"-")</f>
        <v>-</v>
      </c>
      <c r="K203" s="120"/>
      <c r="L203" s="55"/>
      <c r="M203" s="55"/>
      <c r="N203" s="55"/>
      <c r="O203" s="245" t="str">
        <f t="shared" si="7"/>
        <v>-</v>
      </c>
      <c r="P203" s="127" t="str">
        <f t="shared" si="8"/>
        <v>-</v>
      </c>
      <c r="Q203" s="104"/>
      <c r="R203" s="104"/>
    </row>
    <row r="204" spans="3:18" x14ac:dyDescent="0.25">
      <c r="C204" s="55"/>
      <c r="D204" s="148"/>
      <c r="E204" s="61"/>
      <c r="F204" s="242" t="str">
        <f t="shared" si="6"/>
        <v>-</v>
      </c>
      <c r="G204" s="1"/>
      <c r="H204" s="152"/>
      <c r="I204" s="55"/>
      <c r="J204" s="130" t="str">
        <f ca="1">IFERROR(MIN('DC Calculations'!$F$28/I204,1),"-")</f>
        <v>-</v>
      </c>
      <c r="K204" s="120"/>
      <c r="L204" s="55"/>
      <c r="M204" s="55"/>
      <c r="N204" s="55"/>
      <c r="O204" s="245" t="str">
        <f t="shared" si="7"/>
        <v>-</v>
      </c>
      <c r="P204" s="127" t="str">
        <f t="shared" si="8"/>
        <v>-</v>
      </c>
      <c r="Q204" s="104"/>
      <c r="R204" s="104"/>
    </row>
    <row r="205" spans="3:18" x14ac:dyDescent="0.25">
      <c r="C205" s="55"/>
      <c r="D205" s="148"/>
      <c r="E205" s="61"/>
      <c r="F205" s="242" t="str">
        <f t="shared" si="6"/>
        <v>-</v>
      </c>
      <c r="G205" s="1"/>
      <c r="H205" s="152"/>
      <c r="I205" s="55"/>
      <c r="J205" s="130" t="str">
        <f ca="1">IFERROR(MIN('DC Calculations'!$F$28/I205,1),"-")</f>
        <v>-</v>
      </c>
      <c r="K205" s="120"/>
      <c r="L205" s="55"/>
      <c r="M205" s="55"/>
      <c r="N205" s="55"/>
      <c r="O205" s="245" t="str">
        <f t="shared" si="7"/>
        <v>-</v>
      </c>
      <c r="P205" s="127" t="str">
        <f t="shared" si="8"/>
        <v>-</v>
      </c>
      <c r="Q205" s="104"/>
      <c r="R205" s="104"/>
    </row>
    <row r="206" spans="3:18" x14ac:dyDescent="0.25">
      <c r="C206" s="55"/>
      <c r="D206" s="148"/>
      <c r="E206" s="61"/>
      <c r="F206" s="242" t="str">
        <f t="shared" si="6"/>
        <v>-</v>
      </c>
      <c r="G206" s="1"/>
      <c r="H206" s="152"/>
      <c r="I206" s="55"/>
      <c r="J206" s="130" t="str">
        <f ca="1">IFERROR(MIN('DC Calculations'!$F$28/I206,1),"-")</f>
        <v>-</v>
      </c>
      <c r="K206" s="120"/>
      <c r="L206" s="55"/>
      <c r="M206" s="55"/>
      <c r="N206" s="55"/>
      <c r="O206" s="245" t="str">
        <f t="shared" si="7"/>
        <v>-</v>
      </c>
      <c r="P206" s="127" t="str">
        <f t="shared" si="8"/>
        <v>-</v>
      </c>
      <c r="Q206" s="104"/>
      <c r="R206" s="104"/>
    </row>
    <row r="207" spans="3:18" x14ac:dyDescent="0.25">
      <c r="C207" s="55"/>
      <c r="D207" s="148"/>
      <c r="E207" s="61"/>
      <c r="F207" s="242" t="str">
        <f t="shared" si="6"/>
        <v>-</v>
      </c>
      <c r="G207" s="1"/>
      <c r="H207" s="152"/>
      <c r="I207" s="55"/>
      <c r="J207" s="130" t="str">
        <f ca="1">IFERROR(MIN('DC Calculations'!$F$28/I207,1),"-")</f>
        <v>-</v>
      </c>
      <c r="K207" s="120"/>
      <c r="L207" s="55"/>
      <c r="M207" s="55"/>
      <c r="N207" s="55"/>
      <c r="O207" s="245" t="str">
        <f t="shared" si="7"/>
        <v>-</v>
      </c>
      <c r="P207" s="127" t="str">
        <f t="shared" si="8"/>
        <v>-</v>
      </c>
      <c r="Q207" s="104"/>
      <c r="R207" s="104"/>
    </row>
    <row r="208" spans="3:18" x14ac:dyDescent="0.25">
      <c r="C208" s="55"/>
      <c r="D208" s="148"/>
      <c r="E208" s="61"/>
      <c r="F208" s="242" t="str">
        <f t="shared" si="6"/>
        <v>-</v>
      </c>
      <c r="G208" s="1"/>
      <c r="H208" s="152"/>
      <c r="I208" s="55"/>
      <c r="J208" s="130" t="str">
        <f ca="1">IFERROR(MIN('DC Calculations'!$F$28/I208,1),"-")</f>
        <v>-</v>
      </c>
      <c r="K208" s="120"/>
      <c r="L208" s="55"/>
      <c r="M208" s="55"/>
      <c r="N208" s="55"/>
      <c r="O208" s="245" t="str">
        <f t="shared" si="7"/>
        <v>-</v>
      </c>
      <c r="P208" s="127" t="str">
        <f t="shared" si="8"/>
        <v>-</v>
      </c>
      <c r="Q208" s="104"/>
      <c r="R208" s="104"/>
    </row>
    <row r="209" spans="3:18" x14ac:dyDescent="0.25">
      <c r="C209" s="55"/>
      <c r="D209" s="148"/>
      <c r="E209" s="61"/>
      <c r="F209" s="242" t="str">
        <f t="shared" si="6"/>
        <v>-</v>
      </c>
      <c r="G209" s="1"/>
      <c r="H209" s="152"/>
      <c r="I209" s="55"/>
      <c r="J209" s="130" t="str">
        <f ca="1">IFERROR(MIN('DC Calculations'!$F$28/I209,1),"-")</f>
        <v>-</v>
      </c>
      <c r="K209" s="120"/>
      <c r="L209" s="55"/>
      <c r="M209" s="55"/>
      <c r="N209" s="55"/>
      <c r="O209" s="245" t="str">
        <f t="shared" si="7"/>
        <v>-</v>
      </c>
      <c r="P209" s="127" t="str">
        <f t="shared" si="8"/>
        <v>-</v>
      </c>
      <c r="Q209" s="104"/>
      <c r="R209" s="104"/>
    </row>
    <row r="210" spans="3:18" x14ac:dyDescent="0.25">
      <c r="C210" s="55"/>
      <c r="D210" s="148"/>
      <c r="E210" s="61"/>
      <c r="F210" s="242" t="str">
        <f t="shared" ref="F210:F213" si="9">IF(E210="","-",IF(E210&gt;$E$11,"ERROR - date outside of range",IF(MONTH(E210)&gt;=7,YEAR(E210)&amp;"-"&amp;IF(YEAR(E210)=1999,"00",IF(AND(YEAR(E210)&gt;=2000,YEAR(E210)&lt;2009),"0","")&amp;RIGHT(YEAR(E210),2)+1),RIGHT(YEAR(E210),4)-1&amp;"-"&amp;RIGHT(YEAR(E210),2))))</f>
        <v>-</v>
      </c>
      <c r="G210" s="1"/>
      <c r="H210" s="152"/>
      <c r="I210" s="55"/>
      <c r="J210" s="130" t="str">
        <f ca="1">IFERROR(MIN('DC Calculations'!$F$28/I210,1),"-")</f>
        <v>-</v>
      </c>
      <c r="K210" s="120"/>
      <c r="L210" s="55"/>
      <c r="M210" s="55"/>
      <c r="N210" s="55"/>
      <c r="O210" s="245" t="str">
        <f t="shared" ref="O210:O213" si="10">IF(N210="","-",L210*N210)</f>
        <v>-</v>
      </c>
      <c r="P210" s="127" t="str">
        <f t="shared" ref="P210:P213" si="11">IF(O210="-","-",IF(E210&gt;$E$11,0,O210*J210))</f>
        <v>-</v>
      </c>
      <c r="Q210" s="104"/>
      <c r="R210" s="104"/>
    </row>
    <row r="211" spans="3:18" x14ac:dyDescent="0.25">
      <c r="C211" s="55"/>
      <c r="D211" s="148"/>
      <c r="E211" s="61"/>
      <c r="F211" s="242" t="str">
        <f t="shared" si="9"/>
        <v>-</v>
      </c>
      <c r="G211" s="1"/>
      <c r="H211" s="152"/>
      <c r="I211" s="55"/>
      <c r="J211" s="130" t="str">
        <f ca="1">IFERROR(MIN('DC Calculations'!$F$28/I211,1),"-")</f>
        <v>-</v>
      </c>
      <c r="K211" s="120"/>
      <c r="L211" s="55"/>
      <c r="M211" s="55"/>
      <c r="N211" s="55"/>
      <c r="O211" s="245" t="str">
        <f t="shared" si="10"/>
        <v>-</v>
      </c>
      <c r="P211" s="127" t="str">
        <f t="shared" si="11"/>
        <v>-</v>
      </c>
      <c r="Q211" s="104"/>
      <c r="R211" s="104"/>
    </row>
    <row r="212" spans="3:18" x14ac:dyDescent="0.25">
      <c r="C212" s="55"/>
      <c r="D212" s="148"/>
      <c r="E212" s="61"/>
      <c r="F212" s="242" t="str">
        <f t="shared" si="9"/>
        <v>-</v>
      </c>
      <c r="G212" s="1"/>
      <c r="H212" s="152"/>
      <c r="I212" s="55"/>
      <c r="J212" s="130" t="str">
        <f ca="1">IFERROR(MIN('DC Calculations'!$F$28/I212,1),"-")</f>
        <v>-</v>
      </c>
      <c r="K212" s="120"/>
      <c r="L212" s="55"/>
      <c r="M212" s="55"/>
      <c r="N212" s="55"/>
      <c r="O212" s="245" t="str">
        <f t="shared" si="10"/>
        <v>-</v>
      </c>
      <c r="P212" s="127" t="str">
        <f t="shared" si="11"/>
        <v>-</v>
      </c>
      <c r="Q212" s="104"/>
      <c r="R212" s="104"/>
    </row>
    <row r="213" spans="3:18" ht="57.5" x14ac:dyDescent="0.25">
      <c r="C213" s="58"/>
      <c r="D213" s="247" t="str">
        <f ca="1">"Add rows above this point as required and copy formula down.  It is important to add rows above this point as this will ensure the formula on the '"&amp;MID(CELL("filename",'DC Calculations'!$A$1),FIND("]",CELL("filename",'DC Calculations'!$A$1))+1,255)&amp;"' worksheet will incorporate the information included in the additional rows. "</f>
        <v xml:space="preserve">Add rows above this point as required and copy formula down.  It is important to add rows above this point as this will ensure the formula on the 'DC Calculations' worksheet will incorporate the information included in the additional rows. </v>
      </c>
      <c r="E213" s="167"/>
      <c r="F213" s="243" t="str">
        <f t="shared" si="9"/>
        <v>-</v>
      </c>
      <c r="G213" s="1"/>
      <c r="H213" s="150"/>
      <c r="I213" s="67"/>
      <c r="J213" s="154" t="str">
        <f ca="1">IFERROR(MIN('DC Calculations'!$F$28/I213,1),"-")</f>
        <v>-</v>
      </c>
      <c r="K213" s="103"/>
      <c r="L213" s="59"/>
      <c r="M213" s="59"/>
      <c r="N213" s="59"/>
      <c r="O213" s="246" t="str">
        <f t="shared" si="10"/>
        <v>-</v>
      </c>
      <c r="P213" s="128" t="str">
        <f t="shared" si="11"/>
        <v>-</v>
      </c>
      <c r="Q213" s="104"/>
      <c r="R213" s="104"/>
    </row>
    <row r="214" spans="3:18" x14ac:dyDescent="0.25">
      <c r="D214" s="153"/>
    </row>
  </sheetData>
  <conditionalFormatting sqref="F17:F213">
    <cfRule type="containsText" dxfId="5" priority="2" operator="containsText" text="ERROR">
      <formula>NOT(ISERROR(SEARCH("ERROR",F17)))</formula>
    </cfRule>
  </conditionalFormatting>
  <conditionalFormatting sqref="J17:J213">
    <cfRule type="cellIs" dxfId="4" priority="1" operator="equal">
      <formula>1</formula>
    </cfRule>
  </conditionalFormatting>
  <hyperlinks>
    <hyperlink ref="E7" location="'Asset exclusions'!A1" display="'Asset exclusions'!A1"/>
  </hyperlinks>
  <pageMargins left="0.7" right="0.7" top="0.75" bottom="0.75" header="0.3" footer="0.3"/>
  <pageSetup paperSize="9" orientation="portrait" horizontalDpi="200" verticalDpi="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7" tint="0.79998168889431442"/>
  </sheetPr>
  <dimension ref="C1:R213"/>
  <sheetViews>
    <sheetView showGridLines="0" workbookViewId="0">
      <pane ySplit="16" topLeftCell="A17" activePane="bottomLeft" state="frozen"/>
      <selection activeCell="A16" sqref="A16"/>
      <selection pane="bottomLeft" activeCell="A17" sqref="A17"/>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6" width="18.59765625" customWidth="1"/>
    <col min="18" max="18" width="9.09765625" customWidth="1"/>
  </cols>
  <sheetData>
    <row r="1" spans="3:18" x14ac:dyDescent="0.25">
      <c r="E1" s="60"/>
    </row>
    <row r="2" spans="3:18" x14ac:dyDescent="0.25">
      <c r="E2" s="60"/>
      <c r="F2" s="60"/>
    </row>
    <row r="3" spans="3:18" ht="20" x14ac:dyDescent="0.4">
      <c r="C3" s="87" t="s">
        <v>335</v>
      </c>
    </row>
    <row r="6" spans="3:18" ht="12" customHeight="1" x14ac:dyDescent="0.25">
      <c r="C6" s="240" t="str">
        <f ca="1">"Consideration must be given to the principles regarding asset exclusions presented on the '"&amp;MID(CELL("filename",'Asset exclusions'!A1),FIND("]",CELL("filename",'Asset exclusions'!A1))+1,255)&amp;"' worksheet before assets are entered into the register."</f>
        <v>Consideration must be given to the principles regarding asset exclusions presented on the 'Asset exclusions' worksheet before assets are entered into the register.</v>
      </c>
      <c r="D6" s="104"/>
      <c r="E6" s="104"/>
      <c r="F6" s="104"/>
      <c r="G6" s="104"/>
      <c r="H6" s="104"/>
      <c r="I6" s="104"/>
      <c r="J6" s="104"/>
      <c r="K6" s="104"/>
      <c r="L6" s="104"/>
      <c r="M6" s="104"/>
      <c r="N6" s="104"/>
      <c r="O6" s="104"/>
      <c r="P6" s="104"/>
      <c r="Q6" s="104"/>
      <c r="R6" s="104"/>
    </row>
    <row r="7" spans="3:18" x14ac:dyDescent="0.25">
      <c r="C7" s="165" t="str">
        <f ca="1">"Hyperlink to the '"&amp;MID(CELL("filename",'Asset exclusions'!A1),FIND("]",CELL("filename",'Asset exclusions'!A1))+1,255)&amp;"' worksheet:"</f>
        <v>Hyperlink to the 'Asset exclusions' worksheet:</v>
      </c>
      <c r="D7" s="104"/>
      <c r="E7" s="185" t="s">
        <v>160</v>
      </c>
      <c r="G7" s="104"/>
      <c r="H7" s="104"/>
      <c r="I7" s="104"/>
      <c r="J7" s="104"/>
      <c r="K7" s="104"/>
      <c r="L7" s="104"/>
      <c r="M7" s="104"/>
      <c r="N7" s="104"/>
      <c r="O7" s="104"/>
      <c r="P7" s="104"/>
      <c r="Q7" s="104"/>
      <c r="R7" s="104"/>
    </row>
    <row r="8" spans="3:18" x14ac:dyDescent="0.25">
      <c r="C8" s="165" t="s">
        <v>330</v>
      </c>
      <c r="D8" s="104"/>
      <c r="E8" s="185"/>
      <c r="G8" s="104"/>
      <c r="H8" s="104"/>
      <c r="I8" s="104"/>
      <c r="J8" s="104"/>
      <c r="K8" s="104"/>
      <c r="L8" s="104"/>
      <c r="M8" s="104"/>
      <c r="N8" s="104"/>
      <c r="O8" s="104"/>
      <c r="P8" s="104"/>
      <c r="Q8" s="104"/>
      <c r="R8" s="104"/>
    </row>
    <row r="9" spans="3:18" x14ac:dyDescent="0.25">
      <c r="C9" s="104"/>
      <c r="D9" s="104"/>
      <c r="E9" s="104"/>
      <c r="F9" s="104"/>
      <c r="G9" s="104"/>
      <c r="H9" s="104"/>
      <c r="I9" s="104"/>
      <c r="J9" s="104"/>
      <c r="K9" s="104"/>
      <c r="L9" s="104"/>
      <c r="M9" s="104"/>
      <c r="N9" s="104"/>
      <c r="O9" s="104"/>
      <c r="P9" s="104"/>
      <c r="Q9" s="104"/>
      <c r="R9" s="104"/>
    </row>
    <row r="10" spans="3:18" x14ac:dyDescent="0.25">
      <c r="C10" s="124" t="s">
        <v>64</v>
      </c>
      <c r="D10" s="104"/>
      <c r="E10" s="104"/>
      <c r="F10" s="104"/>
      <c r="G10" s="104"/>
      <c r="H10" s="104"/>
      <c r="I10" s="104"/>
      <c r="J10" s="104"/>
      <c r="K10" s="104"/>
      <c r="L10" s="104"/>
      <c r="M10" s="104"/>
      <c r="N10" s="104"/>
      <c r="O10" s="104"/>
      <c r="P10" s="104"/>
      <c r="Q10" s="104"/>
      <c r="R10" s="104"/>
    </row>
    <row r="11" spans="3:18" x14ac:dyDescent="0.25">
      <c r="C11" s="125" t="s">
        <v>66</v>
      </c>
      <c r="D11" s="104"/>
      <c r="E11" s="132">
        <f>'General inputs'!$H$19+1</f>
        <v>43647</v>
      </c>
      <c r="F11" s="104"/>
      <c r="G11" s="104"/>
      <c r="H11" s="104"/>
      <c r="I11" s="104"/>
      <c r="J11" s="104"/>
      <c r="K11" s="104"/>
      <c r="L11" s="104"/>
      <c r="M11" s="104"/>
      <c r="N11" s="104"/>
      <c r="O11" s="104"/>
      <c r="P11" s="104"/>
      <c r="Q11" s="104"/>
      <c r="R11" s="104"/>
    </row>
    <row r="12" spans="3:18" x14ac:dyDescent="0.25">
      <c r="C12" s="104"/>
      <c r="D12" s="104"/>
      <c r="E12" s="104"/>
      <c r="F12" s="104"/>
      <c r="G12" s="104"/>
      <c r="H12" s="104"/>
      <c r="I12" s="104"/>
      <c r="J12" s="104"/>
      <c r="K12" s="104"/>
      <c r="L12" s="104"/>
      <c r="M12" s="104"/>
      <c r="N12" s="104"/>
      <c r="O12" s="104"/>
      <c r="P12" s="104"/>
      <c r="Q12" s="104"/>
      <c r="R12" s="104"/>
    </row>
    <row r="13" spans="3:18" ht="15.5" x14ac:dyDescent="0.35">
      <c r="C13" s="195" t="s">
        <v>162</v>
      </c>
      <c r="D13" s="104"/>
      <c r="E13" s="104"/>
      <c r="F13" s="104"/>
      <c r="G13" s="104"/>
      <c r="H13" s="104"/>
      <c r="I13" s="104"/>
      <c r="J13" s="104"/>
      <c r="K13" s="104"/>
      <c r="L13" s="104"/>
      <c r="M13" s="104"/>
      <c r="N13" s="104"/>
      <c r="O13" s="104"/>
      <c r="P13" s="104"/>
      <c r="Q13" s="104"/>
      <c r="R13" s="104"/>
    </row>
    <row r="14" spans="3:18" x14ac:dyDescent="0.25">
      <c r="C14" s="104"/>
      <c r="D14" s="104"/>
      <c r="E14" s="104"/>
      <c r="F14" s="104"/>
      <c r="G14" s="104"/>
      <c r="H14" s="104"/>
      <c r="I14" s="104"/>
      <c r="K14" s="104"/>
      <c r="L14" s="104"/>
      <c r="M14" s="104"/>
      <c r="N14" s="104"/>
      <c r="O14" s="104"/>
      <c r="P14" s="104"/>
      <c r="Q14" s="104"/>
      <c r="R14" s="104"/>
    </row>
    <row r="15" spans="3:18" x14ac:dyDescent="0.25">
      <c r="C15" s="124" t="s">
        <v>29</v>
      </c>
      <c r="D15" s="104"/>
      <c r="E15" s="104"/>
      <c r="F15" s="104"/>
      <c r="G15" s="104"/>
      <c r="H15" s="124" t="s">
        <v>30</v>
      </c>
      <c r="I15" s="104"/>
      <c r="J15" s="104"/>
      <c r="K15" s="104"/>
      <c r="L15" s="124" t="s">
        <v>31</v>
      </c>
      <c r="M15" s="124"/>
      <c r="O15" s="104"/>
      <c r="P15" s="104"/>
      <c r="Q15" s="104"/>
      <c r="R15" s="104"/>
    </row>
    <row r="16" spans="3:18" ht="62" customHeight="1" x14ac:dyDescent="0.25">
      <c r="C16" s="53" t="s">
        <v>26</v>
      </c>
      <c r="D16" s="53" t="s">
        <v>25</v>
      </c>
      <c r="E16" s="53" t="s">
        <v>27</v>
      </c>
      <c r="F16" s="53" t="s">
        <v>37</v>
      </c>
      <c r="G16" s="104"/>
      <c r="H16" s="53" t="s">
        <v>42</v>
      </c>
      <c r="I16" s="53" t="s">
        <v>97</v>
      </c>
      <c r="J16" s="53" t="s">
        <v>95</v>
      </c>
      <c r="K16" s="104"/>
      <c r="L16" s="53" t="s">
        <v>96</v>
      </c>
      <c r="M16" s="53" t="s">
        <v>119</v>
      </c>
      <c r="N16" s="53" t="str">
        <f>"Estimated efficient costs value per unit/measure of length (B) 
("&amp;'General inputs'!$H$32&amp;" as at 1 July "&amp;LEFT('General inputs'!$I$30,4)&amp;")"</f>
        <v>Estimated efficient costs value per unit/measure of length (B) 
($'000 as at 1 July 2019)</v>
      </c>
      <c r="O16" s="53" t="str">
        <f>"Total estimated efficient costs value (A x B)
("&amp;'General inputs'!$H$32&amp;", $"&amp;'General inputs'!$I$30&amp;")"</f>
        <v>Total estimated efficient costs value (A x B)
($'000, $2019-20)</v>
      </c>
      <c r="P16" s="53" t="str">
        <f>"Estimated efficient costs value allocated to DSP pre avoided costs ("&amp;'General inputs'!$H$32&amp;", $"&amp;'General inputs'!$I$30&amp;")"</f>
        <v>Estimated efficient costs value allocated to DSP pre avoided costs ($'000, $2019-20)</v>
      </c>
      <c r="Q16" s="104"/>
      <c r="R16" s="104"/>
    </row>
    <row r="17" spans="3:18" ht="12" customHeight="1" x14ac:dyDescent="0.25">
      <c r="C17" s="54">
        <v>123456</v>
      </c>
      <c r="D17" s="147" t="s">
        <v>163</v>
      </c>
      <c r="E17" s="239">
        <v>43649</v>
      </c>
      <c r="F17" s="248" t="str">
        <f>IF(E17="","-",IF(E17&lt;$E$11,"ERROR - date outside of range",IF(MONTH(E17)&gt;=7,YEAR(E17)&amp;"-"&amp;RIGHT(YEAR(E17),2)+1,YEAR(E17)-1&amp;"-"&amp;RIGHT(YEAR(E17),2))))</f>
        <v>2019-20</v>
      </c>
      <c r="G17" s="1"/>
      <c r="H17" s="151" t="s">
        <v>109</v>
      </c>
      <c r="I17" s="54">
        <v>10000</v>
      </c>
      <c r="J17" s="129">
        <f ca="1">IFERROR(MIN('DC Calculations'!$F$28/I17,1),"-")</f>
        <v>0.25</v>
      </c>
      <c r="K17" s="120"/>
      <c r="L17" s="54">
        <v>1</v>
      </c>
      <c r="M17" s="54" t="s">
        <v>136</v>
      </c>
      <c r="N17" s="54">
        <v>10000</v>
      </c>
      <c r="O17" s="244">
        <f>IF(N17="","-",L17*N17)</f>
        <v>10000</v>
      </c>
      <c r="P17" s="126">
        <f ca="1">IF(O17="-","-",IF(E17&lt;$E$11,0,O17*J17))</f>
        <v>2500</v>
      </c>
      <c r="Q17" s="104"/>
      <c r="R17" s="104"/>
    </row>
    <row r="18" spans="3:18" ht="23" x14ac:dyDescent="0.25">
      <c r="C18" s="55">
        <v>123457</v>
      </c>
      <c r="D18" s="148" t="s">
        <v>164</v>
      </c>
      <c r="E18" s="61">
        <v>48396</v>
      </c>
      <c r="F18" s="249" t="str">
        <f t="shared" ref="F18:F81" si="0">IF(E18="","-",IF(E18&lt;$E$11,"ERROR - date outside of range",IF(MONTH(E18)&gt;=7,YEAR(E18)&amp;"-"&amp;RIGHT(YEAR(E18),2)+1,YEAR(E18)-1&amp;"-"&amp;RIGHT(YEAR(E18),2))))</f>
        <v>2032-33</v>
      </c>
      <c r="G18" s="1"/>
      <c r="H18" s="152" t="s">
        <v>108</v>
      </c>
      <c r="I18" s="55">
        <v>10000</v>
      </c>
      <c r="J18" s="130">
        <f ca="1">IFERROR(MIN('DC Calculations'!$F$28/I18,1),"-")</f>
        <v>0.25</v>
      </c>
      <c r="K18" s="120"/>
      <c r="L18" s="55">
        <v>1</v>
      </c>
      <c r="M18" s="55" t="s">
        <v>120</v>
      </c>
      <c r="N18" s="55">
        <v>50000</v>
      </c>
      <c r="O18" s="245">
        <f t="shared" ref="O18:O81" si="1">IF(N18="","-",L18*N18)</f>
        <v>50000</v>
      </c>
      <c r="P18" s="127">
        <f t="shared" ref="P18:P81" ca="1" si="2">IF(O18="-","-",IF(E18&lt;$E$11,0,O18*J18))</f>
        <v>12500</v>
      </c>
      <c r="Q18" s="104"/>
      <c r="R18" s="131"/>
    </row>
    <row r="19" spans="3:18" x14ac:dyDescent="0.25">
      <c r="C19" s="55"/>
      <c r="D19" s="148"/>
      <c r="E19" s="61"/>
      <c r="F19" s="249" t="str">
        <f t="shared" si="0"/>
        <v>-</v>
      </c>
      <c r="G19" s="1"/>
      <c r="H19" s="149"/>
      <c r="I19" s="55"/>
      <c r="J19" s="130" t="str">
        <f ca="1">IFERROR(MIN('DC Calculations'!$F$28/I19,1),"-")</f>
        <v>-</v>
      </c>
      <c r="K19" s="120"/>
      <c r="L19" s="55"/>
      <c r="M19" s="55"/>
      <c r="N19" s="55"/>
      <c r="O19" s="245" t="str">
        <f t="shared" si="1"/>
        <v>-</v>
      </c>
      <c r="P19" s="127" t="str">
        <f t="shared" si="2"/>
        <v>-</v>
      </c>
      <c r="Q19" s="104"/>
      <c r="R19" s="104"/>
    </row>
    <row r="20" spans="3:18" x14ac:dyDescent="0.25">
      <c r="C20" s="55"/>
      <c r="D20" s="148"/>
      <c r="E20" s="61"/>
      <c r="F20" s="249" t="str">
        <f t="shared" si="0"/>
        <v>-</v>
      </c>
      <c r="G20" s="1"/>
      <c r="H20" s="149"/>
      <c r="I20" s="55"/>
      <c r="J20" s="130" t="str">
        <f ca="1">IFERROR(MIN('DC Calculations'!$F$28/I20,1),"-")</f>
        <v>-</v>
      </c>
      <c r="K20" s="120"/>
      <c r="L20" s="55"/>
      <c r="M20" s="55"/>
      <c r="N20" s="55"/>
      <c r="O20" s="245" t="str">
        <f t="shared" si="1"/>
        <v>-</v>
      </c>
      <c r="P20" s="127" t="str">
        <f t="shared" si="2"/>
        <v>-</v>
      </c>
      <c r="Q20" s="104"/>
      <c r="R20" s="104"/>
    </row>
    <row r="21" spans="3:18" x14ac:dyDescent="0.25">
      <c r="C21" s="55"/>
      <c r="D21" s="148"/>
      <c r="E21" s="61"/>
      <c r="F21" s="249" t="str">
        <f t="shared" si="0"/>
        <v>-</v>
      </c>
      <c r="G21" s="1"/>
      <c r="H21" s="149"/>
      <c r="I21" s="55"/>
      <c r="J21" s="130" t="str">
        <f ca="1">IFERROR(MIN('DC Calculations'!$F$28/I21,1),"-")</f>
        <v>-</v>
      </c>
      <c r="K21" s="120"/>
      <c r="L21" s="55"/>
      <c r="M21" s="55"/>
      <c r="N21" s="55"/>
      <c r="O21" s="245" t="str">
        <f t="shared" si="1"/>
        <v>-</v>
      </c>
      <c r="P21" s="127" t="str">
        <f t="shared" si="2"/>
        <v>-</v>
      </c>
      <c r="Q21" s="104"/>
      <c r="R21" s="104"/>
    </row>
    <row r="22" spans="3:18" x14ac:dyDescent="0.25">
      <c r="C22" s="55"/>
      <c r="D22" s="148"/>
      <c r="E22" s="61"/>
      <c r="F22" s="249" t="str">
        <f t="shared" si="0"/>
        <v>-</v>
      </c>
      <c r="G22" s="1"/>
      <c r="H22" s="149"/>
      <c r="I22" s="55"/>
      <c r="J22" s="130" t="str">
        <f ca="1">IFERROR(MIN('DC Calculations'!$F$28/I22,1),"-")</f>
        <v>-</v>
      </c>
      <c r="K22" s="120"/>
      <c r="L22" s="55"/>
      <c r="M22" s="55"/>
      <c r="N22" s="55"/>
      <c r="O22" s="245" t="str">
        <f t="shared" si="1"/>
        <v>-</v>
      </c>
      <c r="P22" s="127" t="str">
        <f t="shared" si="2"/>
        <v>-</v>
      </c>
      <c r="Q22" s="104"/>
      <c r="R22" s="104"/>
    </row>
    <row r="23" spans="3:18" x14ac:dyDescent="0.25">
      <c r="C23" s="55"/>
      <c r="D23" s="148"/>
      <c r="E23" s="61"/>
      <c r="F23" s="249" t="str">
        <f t="shared" si="0"/>
        <v>-</v>
      </c>
      <c r="G23" s="1"/>
      <c r="H23" s="149"/>
      <c r="I23" s="55"/>
      <c r="J23" s="130" t="str">
        <f ca="1">IFERROR(MIN('DC Calculations'!$F$28/I23,1),"-")</f>
        <v>-</v>
      </c>
      <c r="K23" s="120"/>
      <c r="L23" s="55"/>
      <c r="M23" s="55"/>
      <c r="N23" s="55"/>
      <c r="O23" s="245" t="str">
        <f t="shared" si="1"/>
        <v>-</v>
      </c>
      <c r="P23" s="127" t="str">
        <f t="shared" si="2"/>
        <v>-</v>
      </c>
      <c r="Q23" s="104"/>
      <c r="R23" s="104"/>
    </row>
    <row r="24" spans="3:18" x14ac:dyDescent="0.25">
      <c r="C24" s="55"/>
      <c r="D24" s="148"/>
      <c r="E24" s="61"/>
      <c r="F24" s="249" t="str">
        <f t="shared" si="0"/>
        <v>-</v>
      </c>
      <c r="G24" s="1"/>
      <c r="H24" s="149"/>
      <c r="I24" s="55"/>
      <c r="J24" s="130" t="str">
        <f ca="1">IFERROR(MIN('DC Calculations'!$F$28/I24,1),"-")</f>
        <v>-</v>
      </c>
      <c r="K24" s="120"/>
      <c r="L24" s="55"/>
      <c r="M24" s="55"/>
      <c r="N24" s="55"/>
      <c r="O24" s="245" t="str">
        <f t="shared" si="1"/>
        <v>-</v>
      </c>
      <c r="P24" s="127" t="str">
        <f t="shared" si="2"/>
        <v>-</v>
      </c>
      <c r="Q24" s="104"/>
      <c r="R24" s="104"/>
    </row>
    <row r="25" spans="3:18" x14ac:dyDescent="0.25">
      <c r="C25" s="55"/>
      <c r="D25" s="148"/>
      <c r="E25" s="61"/>
      <c r="F25" s="249" t="str">
        <f t="shared" si="0"/>
        <v>-</v>
      </c>
      <c r="G25" s="1"/>
      <c r="H25" s="149"/>
      <c r="I25" s="55"/>
      <c r="J25" s="130" t="str">
        <f ca="1">IFERROR(MIN('DC Calculations'!$F$28/I25,1),"-")</f>
        <v>-</v>
      </c>
      <c r="K25" s="120"/>
      <c r="L25" s="55"/>
      <c r="M25" s="55"/>
      <c r="N25" s="55"/>
      <c r="O25" s="245" t="str">
        <f t="shared" si="1"/>
        <v>-</v>
      </c>
      <c r="P25" s="127" t="str">
        <f t="shared" si="2"/>
        <v>-</v>
      </c>
      <c r="Q25" s="104"/>
      <c r="R25" s="104"/>
    </row>
    <row r="26" spans="3:18" x14ac:dyDescent="0.25">
      <c r="C26" s="55"/>
      <c r="D26" s="148"/>
      <c r="E26" s="61"/>
      <c r="F26" s="249" t="str">
        <f t="shared" si="0"/>
        <v>-</v>
      </c>
      <c r="G26" s="1"/>
      <c r="H26" s="149"/>
      <c r="I26" s="55"/>
      <c r="J26" s="130" t="str">
        <f ca="1">IFERROR(MIN('DC Calculations'!$F$28/I26,1),"-")</f>
        <v>-</v>
      </c>
      <c r="K26" s="120"/>
      <c r="L26" s="55"/>
      <c r="M26" s="55"/>
      <c r="N26" s="55"/>
      <c r="O26" s="245" t="str">
        <f t="shared" si="1"/>
        <v>-</v>
      </c>
      <c r="P26" s="127" t="str">
        <f t="shared" si="2"/>
        <v>-</v>
      </c>
      <c r="Q26" s="104"/>
      <c r="R26" s="104"/>
    </row>
    <row r="27" spans="3:18" x14ac:dyDescent="0.25">
      <c r="C27" s="55"/>
      <c r="D27" s="148"/>
      <c r="E27" s="61"/>
      <c r="F27" s="249" t="str">
        <f t="shared" si="0"/>
        <v>-</v>
      </c>
      <c r="G27" s="1"/>
      <c r="H27" s="149"/>
      <c r="I27" s="55"/>
      <c r="J27" s="130" t="str">
        <f ca="1">IFERROR(MIN('DC Calculations'!$F$28/I27,1),"-")</f>
        <v>-</v>
      </c>
      <c r="K27" s="120"/>
      <c r="L27" s="55"/>
      <c r="M27" s="55"/>
      <c r="N27" s="55"/>
      <c r="O27" s="245" t="str">
        <f t="shared" si="1"/>
        <v>-</v>
      </c>
      <c r="P27" s="127" t="str">
        <f t="shared" si="2"/>
        <v>-</v>
      </c>
      <c r="Q27" s="104"/>
      <c r="R27" s="104"/>
    </row>
    <row r="28" spans="3:18" x14ac:dyDescent="0.25">
      <c r="C28" s="55"/>
      <c r="D28" s="148"/>
      <c r="E28" s="61"/>
      <c r="F28" s="249" t="str">
        <f t="shared" si="0"/>
        <v>-</v>
      </c>
      <c r="G28" s="1"/>
      <c r="H28" s="149"/>
      <c r="I28" s="55"/>
      <c r="J28" s="130" t="str">
        <f ca="1">IFERROR(MIN('DC Calculations'!$F$28/I28,1),"-")</f>
        <v>-</v>
      </c>
      <c r="K28" s="120"/>
      <c r="L28" s="55"/>
      <c r="M28" s="55"/>
      <c r="N28" s="55"/>
      <c r="O28" s="245" t="str">
        <f t="shared" si="1"/>
        <v>-</v>
      </c>
      <c r="P28" s="127" t="str">
        <f t="shared" si="2"/>
        <v>-</v>
      </c>
      <c r="Q28" s="104"/>
      <c r="R28" s="104"/>
    </row>
    <row r="29" spans="3:18" x14ac:dyDescent="0.25">
      <c r="C29" s="55"/>
      <c r="D29" s="148"/>
      <c r="E29" s="61"/>
      <c r="F29" s="249" t="str">
        <f t="shared" si="0"/>
        <v>-</v>
      </c>
      <c r="G29" s="1"/>
      <c r="H29" s="149"/>
      <c r="I29" s="55"/>
      <c r="J29" s="130" t="str">
        <f ca="1">IFERROR(MIN('DC Calculations'!$F$28/I29,1),"-")</f>
        <v>-</v>
      </c>
      <c r="K29" s="120"/>
      <c r="L29" s="55"/>
      <c r="M29" s="55"/>
      <c r="N29" s="55"/>
      <c r="O29" s="245" t="str">
        <f t="shared" si="1"/>
        <v>-</v>
      </c>
      <c r="P29" s="127" t="str">
        <f t="shared" si="2"/>
        <v>-</v>
      </c>
      <c r="Q29" s="104"/>
      <c r="R29" s="104"/>
    </row>
    <row r="30" spans="3:18" x14ac:dyDescent="0.25">
      <c r="C30" s="55"/>
      <c r="D30" s="148"/>
      <c r="E30" s="61"/>
      <c r="F30" s="249" t="str">
        <f t="shared" si="0"/>
        <v>-</v>
      </c>
      <c r="G30" s="1"/>
      <c r="H30" s="149"/>
      <c r="I30" s="55"/>
      <c r="J30" s="130" t="str">
        <f ca="1">IFERROR(MIN('DC Calculations'!$F$28/I30,1),"-")</f>
        <v>-</v>
      </c>
      <c r="K30" s="120"/>
      <c r="L30" s="55"/>
      <c r="M30" s="55"/>
      <c r="N30" s="55"/>
      <c r="O30" s="245" t="str">
        <f t="shared" si="1"/>
        <v>-</v>
      </c>
      <c r="P30" s="127" t="str">
        <f t="shared" si="2"/>
        <v>-</v>
      </c>
      <c r="Q30" s="104"/>
      <c r="R30" s="104"/>
    </row>
    <row r="31" spans="3:18" x14ac:dyDescent="0.25">
      <c r="C31" s="55"/>
      <c r="D31" s="148"/>
      <c r="E31" s="61"/>
      <c r="F31" s="249" t="str">
        <f t="shared" si="0"/>
        <v>-</v>
      </c>
      <c r="G31" s="1"/>
      <c r="H31" s="149"/>
      <c r="I31" s="55"/>
      <c r="J31" s="130" t="str">
        <f ca="1">IFERROR(MIN('DC Calculations'!$F$28/I31,1),"-")</f>
        <v>-</v>
      </c>
      <c r="K31" s="120"/>
      <c r="L31" s="55"/>
      <c r="M31" s="55"/>
      <c r="N31" s="55"/>
      <c r="O31" s="245" t="str">
        <f t="shared" si="1"/>
        <v>-</v>
      </c>
      <c r="P31" s="127" t="str">
        <f t="shared" si="2"/>
        <v>-</v>
      </c>
      <c r="Q31" s="104"/>
      <c r="R31" s="104"/>
    </row>
    <row r="32" spans="3:18" x14ac:dyDescent="0.25">
      <c r="C32" s="55"/>
      <c r="D32" s="148"/>
      <c r="E32" s="61"/>
      <c r="F32" s="249" t="str">
        <f t="shared" si="0"/>
        <v>-</v>
      </c>
      <c r="G32" s="1"/>
      <c r="H32" s="149"/>
      <c r="I32" s="55"/>
      <c r="J32" s="130" t="str">
        <f ca="1">IFERROR(MIN('DC Calculations'!$F$28/I32,1),"-")</f>
        <v>-</v>
      </c>
      <c r="K32" s="120"/>
      <c r="L32" s="55"/>
      <c r="M32" s="55"/>
      <c r="N32" s="55"/>
      <c r="O32" s="245" t="str">
        <f t="shared" si="1"/>
        <v>-</v>
      </c>
      <c r="P32" s="127" t="str">
        <f t="shared" si="2"/>
        <v>-</v>
      </c>
      <c r="Q32" s="104"/>
      <c r="R32" s="104"/>
    </row>
    <row r="33" spans="3:18" x14ac:dyDescent="0.25">
      <c r="C33" s="55"/>
      <c r="D33" s="148"/>
      <c r="E33" s="61"/>
      <c r="F33" s="249" t="str">
        <f t="shared" si="0"/>
        <v>-</v>
      </c>
      <c r="G33" s="1"/>
      <c r="H33" s="149"/>
      <c r="I33" s="55"/>
      <c r="J33" s="130" t="str">
        <f ca="1">IFERROR(MIN('DC Calculations'!$F$28/I33,1),"-")</f>
        <v>-</v>
      </c>
      <c r="K33" s="120"/>
      <c r="L33" s="55"/>
      <c r="M33" s="55"/>
      <c r="N33" s="55"/>
      <c r="O33" s="245" t="str">
        <f t="shared" si="1"/>
        <v>-</v>
      </c>
      <c r="P33" s="127" t="str">
        <f t="shared" si="2"/>
        <v>-</v>
      </c>
      <c r="Q33" s="104"/>
      <c r="R33" s="104"/>
    </row>
    <row r="34" spans="3:18" x14ac:dyDescent="0.25">
      <c r="C34" s="55"/>
      <c r="D34" s="148"/>
      <c r="E34" s="61"/>
      <c r="F34" s="249" t="str">
        <f t="shared" si="0"/>
        <v>-</v>
      </c>
      <c r="G34" s="1"/>
      <c r="H34" s="149"/>
      <c r="I34" s="55"/>
      <c r="J34" s="130" t="str">
        <f ca="1">IFERROR(MIN('DC Calculations'!$F$28/I34,1),"-")</f>
        <v>-</v>
      </c>
      <c r="K34" s="120"/>
      <c r="L34" s="55"/>
      <c r="M34" s="55"/>
      <c r="N34" s="55"/>
      <c r="O34" s="245" t="str">
        <f t="shared" si="1"/>
        <v>-</v>
      </c>
      <c r="P34" s="127" t="str">
        <f t="shared" si="2"/>
        <v>-</v>
      </c>
      <c r="Q34" s="104"/>
      <c r="R34" s="104"/>
    </row>
    <row r="35" spans="3:18" x14ac:dyDescent="0.25">
      <c r="C35" s="55"/>
      <c r="D35" s="148"/>
      <c r="E35" s="61"/>
      <c r="F35" s="249" t="str">
        <f t="shared" si="0"/>
        <v>-</v>
      </c>
      <c r="G35" s="1"/>
      <c r="H35" s="149"/>
      <c r="I35" s="55"/>
      <c r="J35" s="130" t="str">
        <f ca="1">IFERROR(MIN('DC Calculations'!$F$28/I35,1),"-")</f>
        <v>-</v>
      </c>
      <c r="K35" s="120"/>
      <c r="L35" s="55"/>
      <c r="M35" s="55"/>
      <c r="N35" s="55"/>
      <c r="O35" s="245" t="str">
        <f t="shared" si="1"/>
        <v>-</v>
      </c>
      <c r="P35" s="127" t="str">
        <f t="shared" si="2"/>
        <v>-</v>
      </c>
      <c r="Q35" s="104"/>
      <c r="R35" s="104"/>
    </row>
    <row r="36" spans="3:18" x14ac:dyDescent="0.25">
      <c r="C36" s="55"/>
      <c r="D36" s="148"/>
      <c r="E36" s="61"/>
      <c r="F36" s="249" t="str">
        <f t="shared" si="0"/>
        <v>-</v>
      </c>
      <c r="G36" s="1"/>
      <c r="H36" s="149"/>
      <c r="I36" s="55"/>
      <c r="J36" s="130" t="str">
        <f ca="1">IFERROR(MIN('DC Calculations'!$F$28/I36,1),"-")</f>
        <v>-</v>
      </c>
      <c r="K36" s="120"/>
      <c r="L36" s="55"/>
      <c r="M36" s="55"/>
      <c r="N36" s="55"/>
      <c r="O36" s="245" t="str">
        <f t="shared" si="1"/>
        <v>-</v>
      </c>
      <c r="P36" s="127" t="str">
        <f t="shared" si="2"/>
        <v>-</v>
      </c>
      <c r="Q36" s="104"/>
      <c r="R36" s="104"/>
    </row>
    <row r="37" spans="3:18" x14ac:dyDescent="0.25">
      <c r="C37" s="55"/>
      <c r="D37" s="148"/>
      <c r="E37" s="61"/>
      <c r="F37" s="249" t="str">
        <f t="shared" si="0"/>
        <v>-</v>
      </c>
      <c r="G37" s="1"/>
      <c r="H37" s="149"/>
      <c r="I37" s="55"/>
      <c r="J37" s="130" t="str">
        <f ca="1">IFERROR(MIN('DC Calculations'!$F$28/I37,1),"-")</f>
        <v>-</v>
      </c>
      <c r="K37" s="120"/>
      <c r="L37" s="55"/>
      <c r="M37" s="55"/>
      <c r="N37" s="55"/>
      <c r="O37" s="245" t="str">
        <f t="shared" si="1"/>
        <v>-</v>
      </c>
      <c r="P37" s="127" t="str">
        <f t="shared" si="2"/>
        <v>-</v>
      </c>
      <c r="Q37" s="104"/>
      <c r="R37" s="104"/>
    </row>
    <row r="38" spans="3:18" x14ac:dyDescent="0.25">
      <c r="C38" s="55"/>
      <c r="D38" s="148"/>
      <c r="E38" s="61"/>
      <c r="F38" s="249" t="str">
        <f t="shared" si="0"/>
        <v>-</v>
      </c>
      <c r="G38" s="1"/>
      <c r="H38" s="149"/>
      <c r="I38" s="55"/>
      <c r="J38" s="130" t="str">
        <f ca="1">IFERROR(MIN('DC Calculations'!$F$28/I38,1),"-")</f>
        <v>-</v>
      </c>
      <c r="K38" s="120"/>
      <c r="L38" s="55"/>
      <c r="M38" s="55"/>
      <c r="N38" s="55"/>
      <c r="O38" s="245" t="str">
        <f t="shared" si="1"/>
        <v>-</v>
      </c>
      <c r="P38" s="127" t="str">
        <f t="shared" si="2"/>
        <v>-</v>
      </c>
      <c r="Q38" s="104"/>
      <c r="R38" s="104"/>
    </row>
    <row r="39" spans="3:18" x14ac:dyDescent="0.25">
      <c r="C39" s="55"/>
      <c r="D39" s="148"/>
      <c r="E39" s="61"/>
      <c r="F39" s="249" t="str">
        <f t="shared" si="0"/>
        <v>-</v>
      </c>
      <c r="G39" s="1"/>
      <c r="H39" s="149"/>
      <c r="I39" s="55"/>
      <c r="J39" s="130" t="str">
        <f ca="1">IFERROR(MIN('DC Calculations'!$F$28/I39,1),"-")</f>
        <v>-</v>
      </c>
      <c r="K39" s="120"/>
      <c r="L39" s="55"/>
      <c r="M39" s="55"/>
      <c r="N39" s="55"/>
      <c r="O39" s="245" t="str">
        <f t="shared" si="1"/>
        <v>-</v>
      </c>
      <c r="P39" s="127" t="str">
        <f t="shared" si="2"/>
        <v>-</v>
      </c>
      <c r="Q39" s="104"/>
      <c r="R39" s="104"/>
    </row>
    <row r="40" spans="3:18" x14ac:dyDescent="0.25">
      <c r="C40" s="55"/>
      <c r="D40" s="148"/>
      <c r="E40" s="61"/>
      <c r="F40" s="249" t="str">
        <f t="shared" si="0"/>
        <v>-</v>
      </c>
      <c r="G40" s="1"/>
      <c r="H40" s="149"/>
      <c r="I40" s="55"/>
      <c r="J40" s="130" t="str">
        <f ca="1">IFERROR(MIN('DC Calculations'!$F$28/I40,1),"-")</f>
        <v>-</v>
      </c>
      <c r="K40" s="120"/>
      <c r="L40" s="55"/>
      <c r="M40" s="55"/>
      <c r="N40" s="55"/>
      <c r="O40" s="245" t="str">
        <f t="shared" si="1"/>
        <v>-</v>
      </c>
      <c r="P40" s="127" t="str">
        <f t="shared" si="2"/>
        <v>-</v>
      </c>
      <c r="Q40" s="104"/>
      <c r="R40" s="104"/>
    </row>
    <row r="41" spans="3:18" x14ac:dyDescent="0.25">
      <c r="C41" s="55"/>
      <c r="D41" s="148"/>
      <c r="E41" s="61"/>
      <c r="F41" s="249" t="str">
        <f t="shared" si="0"/>
        <v>-</v>
      </c>
      <c r="G41" s="1"/>
      <c r="H41" s="149"/>
      <c r="I41" s="55"/>
      <c r="J41" s="130" t="str">
        <f ca="1">IFERROR(MIN('DC Calculations'!$F$28/I41,1),"-")</f>
        <v>-</v>
      </c>
      <c r="K41" s="120"/>
      <c r="L41" s="55"/>
      <c r="M41" s="55"/>
      <c r="N41" s="55"/>
      <c r="O41" s="245" t="str">
        <f t="shared" si="1"/>
        <v>-</v>
      </c>
      <c r="P41" s="127" t="str">
        <f t="shared" si="2"/>
        <v>-</v>
      </c>
      <c r="Q41" s="104"/>
      <c r="R41" s="104"/>
    </row>
    <row r="42" spans="3:18" x14ac:dyDescent="0.25">
      <c r="C42" s="55"/>
      <c r="D42" s="148"/>
      <c r="E42" s="61"/>
      <c r="F42" s="249" t="str">
        <f t="shared" si="0"/>
        <v>-</v>
      </c>
      <c r="G42" s="1"/>
      <c r="H42" s="149"/>
      <c r="I42" s="55"/>
      <c r="J42" s="130" t="str">
        <f ca="1">IFERROR(MIN('DC Calculations'!$F$28/I42,1),"-")</f>
        <v>-</v>
      </c>
      <c r="K42" s="120"/>
      <c r="L42" s="55"/>
      <c r="M42" s="55"/>
      <c r="N42" s="55"/>
      <c r="O42" s="245" t="str">
        <f t="shared" si="1"/>
        <v>-</v>
      </c>
      <c r="P42" s="127" t="str">
        <f t="shared" si="2"/>
        <v>-</v>
      </c>
      <c r="Q42" s="104"/>
      <c r="R42" s="104"/>
    </row>
    <row r="43" spans="3:18" x14ac:dyDescent="0.25">
      <c r="C43" s="55"/>
      <c r="D43" s="148"/>
      <c r="E43" s="61"/>
      <c r="F43" s="249" t="str">
        <f t="shared" si="0"/>
        <v>-</v>
      </c>
      <c r="G43" s="1"/>
      <c r="H43" s="149"/>
      <c r="I43" s="55"/>
      <c r="J43" s="130" t="str">
        <f ca="1">IFERROR(MIN('DC Calculations'!$F$28/I43,1),"-")</f>
        <v>-</v>
      </c>
      <c r="K43" s="120"/>
      <c r="L43" s="55"/>
      <c r="M43" s="55"/>
      <c r="N43" s="55"/>
      <c r="O43" s="245" t="str">
        <f t="shared" si="1"/>
        <v>-</v>
      </c>
      <c r="P43" s="127" t="str">
        <f t="shared" si="2"/>
        <v>-</v>
      </c>
      <c r="Q43" s="104"/>
      <c r="R43" s="104"/>
    </row>
    <row r="44" spans="3:18" x14ac:dyDescent="0.25">
      <c r="C44" s="55"/>
      <c r="D44" s="148"/>
      <c r="E44" s="61"/>
      <c r="F44" s="249" t="str">
        <f t="shared" si="0"/>
        <v>-</v>
      </c>
      <c r="G44" s="1"/>
      <c r="H44" s="149"/>
      <c r="I44" s="55"/>
      <c r="J44" s="130" t="str">
        <f ca="1">IFERROR(MIN('DC Calculations'!$F$28/I44,1),"-")</f>
        <v>-</v>
      </c>
      <c r="K44" s="120"/>
      <c r="L44" s="55"/>
      <c r="M44" s="55"/>
      <c r="N44" s="55"/>
      <c r="O44" s="245" t="str">
        <f t="shared" si="1"/>
        <v>-</v>
      </c>
      <c r="P44" s="127" t="str">
        <f t="shared" si="2"/>
        <v>-</v>
      </c>
      <c r="Q44" s="104"/>
      <c r="R44" s="104"/>
    </row>
    <row r="45" spans="3:18" x14ac:dyDescent="0.25">
      <c r="C45" s="55"/>
      <c r="D45" s="148"/>
      <c r="E45" s="61"/>
      <c r="F45" s="249" t="str">
        <f t="shared" si="0"/>
        <v>-</v>
      </c>
      <c r="G45" s="1"/>
      <c r="H45" s="149"/>
      <c r="I45" s="55"/>
      <c r="J45" s="130" t="str">
        <f ca="1">IFERROR(MIN('DC Calculations'!$F$28/I45,1),"-")</f>
        <v>-</v>
      </c>
      <c r="K45" s="120"/>
      <c r="L45" s="55"/>
      <c r="M45" s="55"/>
      <c r="N45" s="55"/>
      <c r="O45" s="245" t="str">
        <f t="shared" si="1"/>
        <v>-</v>
      </c>
      <c r="P45" s="127" t="str">
        <f t="shared" si="2"/>
        <v>-</v>
      </c>
      <c r="Q45" s="104"/>
      <c r="R45" s="104"/>
    </row>
    <row r="46" spans="3:18" x14ac:dyDescent="0.25">
      <c r="C46" s="55"/>
      <c r="D46" s="148"/>
      <c r="E46" s="61"/>
      <c r="F46" s="249" t="str">
        <f t="shared" si="0"/>
        <v>-</v>
      </c>
      <c r="G46" s="1"/>
      <c r="H46" s="149"/>
      <c r="I46" s="55"/>
      <c r="J46" s="130" t="str">
        <f ca="1">IFERROR(MIN('DC Calculations'!$F$28/I46,1),"-")</f>
        <v>-</v>
      </c>
      <c r="K46" s="120"/>
      <c r="L46" s="55"/>
      <c r="M46" s="55"/>
      <c r="N46" s="55"/>
      <c r="O46" s="245" t="str">
        <f t="shared" si="1"/>
        <v>-</v>
      </c>
      <c r="P46" s="127" t="str">
        <f t="shared" si="2"/>
        <v>-</v>
      </c>
      <c r="Q46" s="104"/>
      <c r="R46" s="104"/>
    </row>
    <row r="47" spans="3:18" x14ac:dyDescent="0.25">
      <c r="C47" s="55"/>
      <c r="D47" s="148"/>
      <c r="E47" s="61"/>
      <c r="F47" s="249" t="str">
        <f t="shared" si="0"/>
        <v>-</v>
      </c>
      <c r="G47" s="1"/>
      <c r="H47" s="149"/>
      <c r="I47" s="55"/>
      <c r="J47" s="130" t="str">
        <f ca="1">IFERROR(MIN('DC Calculations'!$F$28/I47,1),"-")</f>
        <v>-</v>
      </c>
      <c r="K47" s="120"/>
      <c r="L47" s="55"/>
      <c r="M47" s="55"/>
      <c r="N47" s="55"/>
      <c r="O47" s="245" t="str">
        <f t="shared" si="1"/>
        <v>-</v>
      </c>
      <c r="P47" s="127" t="str">
        <f t="shared" si="2"/>
        <v>-</v>
      </c>
      <c r="Q47" s="104"/>
      <c r="R47" s="104"/>
    </row>
    <row r="48" spans="3:18" x14ac:dyDescent="0.25">
      <c r="C48" s="55"/>
      <c r="D48" s="148"/>
      <c r="E48" s="61"/>
      <c r="F48" s="249" t="str">
        <f t="shared" si="0"/>
        <v>-</v>
      </c>
      <c r="G48" s="1"/>
      <c r="H48" s="149"/>
      <c r="I48" s="55"/>
      <c r="J48" s="130" t="str">
        <f ca="1">IFERROR(MIN('DC Calculations'!$F$28/I48,1),"-")</f>
        <v>-</v>
      </c>
      <c r="K48" s="120"/>
      <c r="L48" s="55"/>
      <c r="M48" s="55"/>
      <c r="N48" s="55"/>
      <c r="O48" s="245" t="str">
        <f t="shared" si="1"/>
        <v>-</v>
      </c>
      <c r="P48" s="127" t="str">
        <f t="shared" si="2"/>
        <v>-</v>
      </c>
      <c r="Q48" s="104"/>
      <c r="R48" s="104"/>
    </row>
    <row r="49" spans="3:18" x14ac:dyDescent="0.25">
      <c r="C49" s="55"/>
      <c r="D49" s="148"/>
      <c r="E49" s="61"/>
      <c r="F49" s="249" t="str">
        <f t="shared" si="0"/>
        <v>-</v>
      </c>
      <c r="G49" s="1"/>
      <c r="H49" s="149"/>
      <c r="I49" s="55"/>
      <c r="J49" s="130" t="str">
        <f ca="1">IFERROR(MIN('DC Calculations'!$F$28/I49,1),"-")</f>
        <v>-</v>
      </c>
      <c r="K49" s="120"/>
      <c r="L49" s="55"/>
      <c r="M49" s="55"/>
      <c r="N49" s="55"/>
      <c r="O49" s="245" t="str">
        <f t="shared" si="1"/>
        <v>-</v>
      </c>
      <c r="P49" s="127" t="str">
        <f t="shared" si="2"/>
        <v>-</v>
      </c>
      <c r="Q49" s="104"/>
      <c r="R49" s="104"/>
    </row>
    <row r="50" spans="3:18" x14ac:dyDescent="0.25">
      <c r="C50" s="55"/>
      <c r="D50" s="148"/>
      <c r="E50" s="61"/>
      <c r="F50" s="249" t="str">
        <f t="shared" si="0"/>
        <v>-</v>
      </c>
      <c r="G50" s="1"/>
      <c r="H50" s="149"/>
      <c r="I50" s="55"/>
      <c r="J50" s="130" t="str">
        <f ca="1">IFERROR(MIN('DC Calculations'!$F$28/I50,1),"-")</f>
        <v>-</v>
      </c>
      <c r="K50" s="120"/>
      <c r="L50" s="55"/>
      <c r="M50" s="55"/>
      <c r="N50" s="55"/>
      <c r="O50" s="245" t="str">
        <f t="shared" si="1"/>
        <v>-</v>
      </c>
      <c r="P50" s="127" t="str">
        <f t="shared" si="2"/>
        <v>-</v>
      </c>
      <c r="Q50" s="104"/>
      <c r="R50" s="104"/>
    </row>
    <row r="51" spans="3:18" x14ac:dyDescent="0.25">
      <c r="C51" s="55"/>
      <c r="D51" s="148"/>
      <c r="E51" s="61"/>
      <c r="F51" s="249" t="str">
        <f t="shared" si="0"/>
        <v>-</v>
      </c>
      <c r="G51" s="1"/>
      <c r="H51" s="149"/>
      <c r="I51" s="55"/>
      <c r="J51" s="130" t="str">
        <f ca="1">IFERROR(MIN('DC Calculations'!$F$28/I51,1),"-")</f>
        <v>-</v>
      </c>
      <c r="K51" s="120"/>
      <c r="L51" s="55"/>
      <c r="M51" s="55"/>
      <c r="N51" s="55"/>
      <c r="O51" s="245" t="str">
        <f t="shared" si="1"/>
        <v>-</v>
      </c>
      <c r="P51" s="127" t="str">
        <f t="shared" si="2"/>
        <v>-</v>
      </c>
      <c r="Q51" s="104"/>
      <c r="R51" s="104"/>
    </row>
    <row r="52" spans="3:18" x14ac:dyDescent="0.25">
      <c r="C52" s="55"/>
      <c r="D52" s="148"/>
      <c r="E52" s="61"/>
      <c r="F52" s="249" t="str">
        <f t="shared" si="0"/>
        <v>-</v>
      </c>
      <c r="G52" s="1"/>
      <c r="H52" s="149"/>
      <c r="I52" s="55"/>
      <c r="J52" s="130" t="str">
        <f ca="1">IFERROR(MIN('DC Calculations'!$F$28/I52,1),"-")</f>
        <v>-</v>
      </c>
      <c r="K52" s="120"/>
      <c r="L52" s="55"/>
      <c r="M52" s="55"/>
      <c r="N52" s="55"/>
      <c r="O52" s="245" t="str">
        <f t="shared" si="1"/>
        <v>-</v>
      </c>
      <c r="P52" s="127" t="str">
        <f t="shared" si="2"/>
        <v>-</v>
      </c>
      <c r="Q52" s="104"/>
      <c r="R52" s="104"/>
    </row>
    <row r="53" spans="3:18" x14ac:dyDescent="0.25">
      <c r="C53" s="55"/>
      <c r="D53" s="148"/>
      <c r="E53" s="61"/>
      <c r="F53" s="249" t="str">
        <f t="shared" si="0"/>
        <v>-</v>
      </c>
      <c r="G53" s="1"/>
      <c r="H53" s="149"/>
      <c r="I53" s="55"/>
      <c r="J53" s="130" t="str">
        <f ca="1">IFERROR(MIN('DC Calculations'!$F$28/I53,1),"-")</f>
        <v>-</v>
      </c>
      <c r="K53" s="120"/>
      <c r="L53" s="55"/>
      <c r="M53" s="55"/>
      <c r="N53" s="55"/>
      <c r="O53" s="245" t="str">
        <f t="shared" si="1"/>
        <v>-</v>
      </c>
      <c r="P53" s="127" t="str">
        <f t="shared" si="2"/>
        <v>-</v>
      </c>
      <c r="Q53" s="104"/>
      <c r="R53" s="104"/>
    </row>
    <row r="54" spans="3:18" x14ac:dyDescent="0.25">
      <c r="C54" s="55"/>
      <c r="D54" s="148"/>
      <c r="E54" s="61"/>
      <c r="F54" s="249" t="str">
        <f t="shared" si="0"/>
        <v>-</v>
      </c>
      <c r="G54" s="1"/>
      <c r="H54" s="149"/>
      <c r="I54" s="55"/>
      <c r="J54" s="130" t="str">
        <f ca="1">IFERROR(MIN('DC Calculations'!$F$28/I54,1),"-")</f>
        <v>-</v>
      </c>
      <c r="K54" s="120"/>
      <c r="L54" s="55"/>
      <c r="M54" s="55"/>
      <c r="N54" s="55"/>
      <c r="O54" s="245" t="str">
        <f t="shared" si="1"/>
        <v>-</v>
      </c>
      <c r="P54" s="127" t="str">
        <f t="shared" si="2"/>
        <v>-</v>
      </c>
      <c r="Q54" s="104"/>
      <c r="R54" s="104"/>
    </row>
    <row r="55" spans="3:18" x14ac:dyDescent="0.25">
      <c r="C55" s="55"/>
      <c r="D55" s="148"/>
      <c r="E55" s="61"/>
      <c r="F55" s="249" t="str">
        <f t="shared" si="0"/>
        <v>-</v>
      </c>
      <c r="G55" s="1"/>
      <c r="H55" s="149"/>
      <c r="I55" s="55"/>
      <c r="J55" s="130" t="str">
        <f ca="1">IFERROR(MIN('DC Calculations'!$F$28/I55,1),"-")</f>
        <v>-</v>
      </c>
      <c r="K55" s="120"/>
      <c r="L55" s="55"/>
      <c r="M55" s="55"/>
      <c r="N55" s="55"/>
      <c r="O55" s="245" t="str">
        <f t="shared" si="1"/>
        <v>-</v>
      </c>
      <c r="P55" s="127" t="str">
        <f t="shared" si="2"/>
        <v>-</v>
      </c>
      <c r="Q55" s="104"/>
      <c r="R55" s="104"/>
    </row>
    <row r="56" spans="3:18" x14ac:dyDescent="0.25">
      <c r="C56" s="55"/>
      <c r="D56" s="148"/>
      <c r="E56" s="61"/>
      <c r="F56" s="249" t="str">
        <f t="shared" si="0"/>
        <v>-</v>
      </c>
      <c r="G56" s="1"/>
      <c r="H56" s="149"/>
      <c r="I56" s="55"/>
      <c r="J56" s="130" t="str">
        <f ca="1">IFERROR(MIN('DC Calculations'!$F$28/I56,1),"-")</f>
        <v>-</v>
      </c>
      <c r="K56" s="120"/>
      <c r="L56" s="55"/>
      <c r="M56" s="55"/>
      <c r="N56" s="55"/>
      <c r="O56" s="245" t="str">
        <f t="shared" si="1"/>
        <v>-</v>
      </c>
      <c r="P56" s="127" t="str">
        <f t="shared" si="2"/>
        <v>-</v>
      </c>
      <c r="Q56" s="104"/>
      <c r="R56" s="104"/>
    </row>
    <row r="57" spans="3:18" x14ac:dyDescent="0.25">
      <c r="C57" s="55"/>
      <c r="D57" s="148"/>
      <c r="E57" s="61"/>
      <c r="F57" s="249" t="str">
        <f t="shared" si="0"/>
        <v>-</v>
      </c>
      <c r="G57" s="1"/>
      <c r="H57" s="149"/>
      <c r="I57" s="55"/>
      <c r="J57" s="130" t="str">
        <f ca="1">IFERROR(MIN('DC Calculations'!$F$28/I57,1),"-")</f>
        <v>-</v>
      </c>
      <c r="K57" s="120"/>
      <c r="L57" s="55"/>
      <c r="M57" s="55"/>
      <c r="N57" s="55"/>
      <c r="O57" s="245" t="str">
        <f t="shared" si="1"/>
        <v>-</v>
      </c>
      <c r="P57" s="127" t="str">
        <f t="shared" si="2"/>
        <v>-</v>
      </c>
      <c r="Q57" s="104"/>
      <c r="R57" s="104"/>
    </row>
    <row r="58" spans="3:18" x14ac:dyDescent="0.25">
      <c r="C58" s="55"/>
      <c r="D58" s="148"/>
      <c r="E58" s="61"/>
      <c r="F58" s="249" t="str">
        <f t="shared" si="0"/>
        <v>-</v>
      </c>
      <c r="G58" s="1"/>
      <c r="H58" s="149"/>
      <c r="I58" s="55"/>
      <c r="J58" s="130" t="str">
        <f ca="1">IFERROR(MIN('DC Calculations'!$F$28/I58,1),"-")</f>
        <v>-</v>
      </c>
      <c r="K58" s="120"/>
      <c r="L58" s="55"/>
      <c r="M58" s="55"/>
      <c r="N58" s="55"/>
      <c r="O58" s="245" t="str">
        <f t="shared" si="1"/>
        <v>-</v>
      </c>
      <c r="P58" s="127" t="str">
        <f t="shared" si="2"/>
        <v>-</v>
      </c>
      <c r="Q58" s="104"/>
      <c r="R58" s="104"/>
    </row>
    <row r="59" spans="3:18" x14ac:dyDescent="0.25">
      <c r="C59" s="55"/>
      <c r="D59" s="148"/>
      <c r="E59" s="61"/>
      <c r="F59" s="249" t="str">
        <f t="shared" si="0"/>
        <v>-</v>
      </c>
      <c r="G59" s="1"/>
      <c r="H59" s="149"/>
      <c r="I59" s="55"/>
      <c r="J59" s="130" t="str">
        <f ca="1">IFERROR(MIN('DC Calculations'!$F$28/I59,1),"-")</f>
        <v>-</v>
      </c>
      <c r="K59" s="120"/>
      <c r="L59" s="55"/>
      <c r="M59" s="55"/>
      <c r="N59" s="55"/>
      <c r="O59" s="245" t="str">
        <f t="shared" si="1"/>
        <v>-</v>
      </c>
      <c r="P59" s="127" t="str">
        <f t="shared" si="2"/>
        <v>-</v>
      </c>
      <c r="Q59" s="104"/>
      <c r="R59" s="104"/>
    </row>
    <row r="60" spans="3:18" x14ac:dyDescent="0.25">
      <c r="C60" s="55"/>
      <c r="D60" s="148"/>
      <c r="E60" s="61"/>
      <c r="F60" s="249" t="str">
        <f t="shared" si="0"/>
        <v>-</v>
      </c>
      <c r="G60" s="1"/>
      <c r="H60" s="149"/>
      <c r="I60" s="55"/>
      <c r="J60" s="130" t="str">
        <f ca="1">IFERROR(MIN('DC Calculations'!$F$28/I60,1),"-")</f>
        <v>-</v>
      </c>
      <c r="K60" s="120"/>
      <c r="L60" s="55"/>
      <c r="M60" s="55"/>
      <c r="N60" s="55"/>
      <c r="O60" s="245" t="str">
        <f t="shared" si="1"/>
        <v>-</v>
      </c>
      <c r="P60" s="127" t="str">
        <f t="shared" si="2"/>
        <v>-</v>
      </c>
      <c r="Q60" s="104"/>
      <c r="R60" s="104"/>
    </row>
    <row r="61" spans="3:18" x14ac:dyDescent="0.25">
      <c r="C61" s="55"/>
      <c r="D61" s="148"/>
      <c r="E61" s="61"/>
      <c r="F61" s="249" t="str">
        <f t="shared" si="0"/>
        <v>-</v>
      </c>
      <c r="G61" s="1"/>
      <c r="H61" s="149"/>
      <c r="I61" s="55"/>
      <c r="J61" s="130" t="str">
        <f ca="1">IFERROR(MIN('DC Calculations'!$F$28/I61,1),"-")</f>
        <v>-</v>
      </c>
      <c r="K61" s="120"/>
      <c r="L61" s="55"/>
      <c r="M61" s="55"/>
      <c r="N61" s="55"/>
      <c r="O61" s="245" t="str">
        <f t="shared" si="1"/>
        <v>-</v>
      </c>
      <c r="P61" s="127" t="str">
        <f t="shared" si="2"/>
        <v>-</v>
      </c>
      <c r="Q61" s="104"/>
      <c r="R61" s="104"/>
    </row>
    <row r="62" spans="3:18" x14ac:dyDescent="0.25">
      <c r="C62" s="55"/>
      <c r="D62" s="148"/>
      <c r="E62" s="61"/>
      <c r="F62" s="249" t="str">
        <f t="shared" si="0"/>
        <v>-</v>
      </c>
      <c r="G62" s="1"/>
      <c r="H62" s="149"/>
      <c r="I62" s="55"/>
      <c r="J62" s="130" t="str">
        <f ca="1">IFERROR(MIN('DC Calculations'!$F$28/I62,1),"-")</f>
        <v>-</v>
      </c>
      <c r="K62" s="120"/>
      <c r="L62" s="55"/>
      <c r="M62" s="55"/>
      <c r="N62" s="55"/>
      <c r="O62" s="245" t="str">
        <f t="shared" si="1"/>
        <v>-</v>
      </c>
      <c r="P62" s="127" t="str">
        <f t="shared" si="2"/>
        <v>-</v>
      </c>
      <c r="Q62" s="104"/>
      <c r="R62" s="104"/>
    </row>
    <row r="63" spans="3:18" x14ac:dyDescent="0.25">
      <c r="C63" s="55"/>
      <c r="D63" s="148"/>
      <c r="E63" s="61"/>
      <c r="F63" s="249" t="str">
        <f t="shared" si="0"/>
        <v>-</v>
      </c>
      <c r="G63" s="1"/>
      <c r="H63" s="149"/>
      <c r="I63" s="55"/>
      <c r="J63" s="130" t="str">
        <f ca="1">IFERROR(MIN('DC Calculations'!$F$28/I63,1),"-")</f>
        <v>-</v>
      </c>
      <c r="K63" s="120"/>
      <c r="L63" s="55"/>
      <c r="M63" s="55"/>
      <c r="N63" s="55"/>
      <c r="O63" s="245" t="str">
        <f t="shared" si="1"/>
        <v>-</v>
      </c>
      <c r="P63" s="127" t="str">
        <f t="shared" si="2"/>
        <v>-</v>
      </c>
      <c r="Q63" s="104"/>
      <c r="R63" s="104"/>
    </row>
    <row r="64" spans="3:18" x14ac:dyDescent="0.25">
      <c r="C64" s="55"/>
      <c r="D64" s="148"/>
      <c r="E64" s="61"/>
      <c r="F64" s="249" t="str">
        <f t="shared" si="0"/>
        <v>-</v>
      </c>
      <c r="G64" s="1"/>
      <c r="H64" s="149"/>
      <c r="I64" s="55"/>
      <c r="J64" s="130" t="str">
        <f ca="1">IFERROR(MIN('DC Calculations'!$F$28/I64,1),"-")</f>
        <v>-</v>
      </c>
      <c r="K64" s="120"/>
      <c r="L64" s="55"/>
      <c r="M64" s="55"/>
      <c r="N64" s="55"/>
      <c r="O64" s="245" t="str">
        <f t="shared" si="1"/>
        <v>-</v>
      </c>
      <c r="P64" s="127" t="str">
        <f t="shared" si="2"/>
        <v>-</v>
      </c>
      <c r="Q64" s="104"/>
      <c r="R64" s="104"/>
    </row>
    <row r="65" spans="3:18" x14ac:dyDescent="0.25">
      <c r="C65" s="55"/>
      <c r="D65" s="148"/>
      <c r="E65" s="61"/>
      <c r="F65" s="249" t="str">
        <f t="shared" si="0"/>
        <v>-</v>
      </c>
      <c r="G65" s="1"/>
      <c r="H65" s="149"/>
      <c r="I65" s="55"/>
      <c r="J65" s="130" t="str">
        <f ca="1">IFERROR(MIN('DC Calculations'!$F$28/I65,1),"-")</f>
        <v>-</v>
      </c>
      <c r="K65" s="120"/>
      <c r="L65" s="55"/>
      <c r="M65" s="55"/>
      <c r="N65" s="55"/>
      <c r="O65" s="245" t="str">
        <f t="shared" si="1"/>
        <v>-</v>
      </c>
      <c r="P65" s="127" t="str">
        <f t="shared" si="2"/>
        <v>-</v>
      </c>
      <c r="Q65" s="104"/>
      <c r="R65" s="104"/>
    </row>
    <row r="66" spans="3:18" x14ac:dyDescent="0.25">
      <c r="C66" s="55"/>
      <c r="D66" s="148"/>
      <c r="E66" s="61"/>
      <c r="F66" s="249" t="str">
        <f t="shared" si="0"/>
        <v>-</v>
      </c>
      <c r="G66" s="1"/>
      <c r="H66" s="149"/>
      <c r="I66" s="55"/>
      <c r="J66" s="130" t="str">
        <f ca="1">IFERROR(MIN('DC Calculations'!$F$28/I66,1),"-")</f>
        <v>-</v>
      </c>
      <c r="K66" s="120"/>
      <c r="L66" s="55"/>
      <c r="M66" s="55"/>
      <c r="N66" s="55"/>
      <c r="O66" s="245" t="str">
        <f t="shared" si="1"/>
        <v>-</v>
      </c>
      <c r="P66" s="127" t="str">
        <f t="shared" si="2"/>
        <v>-</v>
      </c>
      <c r="Q66" s="104"/>
      <c r="R66" s="104"/>
    </row>
    <row r="67" spans="3:18" x14ac:dyDescent="0.25">
      <c r="C67" s="55"/>
      <c r="D67" s="148"/>
      <c r="E67" s="61"/>
      <c r="F67" s="249" t="str">
        <f t="shared" si="0"/>
        <v>-</v>
      </c>
      <c r="G67" s="1"/>
      <c r="H67" s="149"/>
      <c r="I67" s="55"/>
      <c r="J67" s="130" t="str">
        <f ca="1">IFERROR(MIN('DC Calculations'!$F$28/I67,1),"-")</f>
        <v>-</v>
      </c>
      <c r="K67" s="120"/>
      <c r="L67" s="55"/>
      <c r="M67" s="55"/>
      <c r="N67" s="55"/>
      <c r="O67" s="245" t="str">
        <f t="shared" si="1"/>
        <v>-</v>
      </c>
      <c r="P67" s="127" t="str">
        <f t="shared" si="2"/>
        <v>-</v>
      </c>
      <c r="Q67" s="104"/>
      <c r="R67" s="104"/>
    </row>
    <row r="68" spans="3:18" x14ac:dyDescent="0.25">
      <c r="C68" s="55"/>
      <c r="D68" s="148"/>
      <c r="E68" s="61"/>
      <c r="F68" s="249" t="str">
        <f t="shared" si="0"/>
        <v>-</v>
      </c>
      <c r="G68" s="1"/>
      <c r="H68" s="149"/>
      <c r="I68" s="55"/>
      <c r="J68" s="130" t="str">
        <f ca="1">IFERROR(MIN('DC Calculations'!$F$28/I68,1),"-")</f>
        <v>-</v>
      </c>
      <c r="K68" s="120"/>
      <c r="L68" s="55"/>
      <c r="M68" s="55"/>
      <c r="N68" s="55"/>
      <c r="O68" s="245" t="str">
        <f t="shared" si="1"/>
        <v>-</v>
      </c>
      <c r="P68" s="127" t="str">
        <f t="shared" si="2"/>
        <v>-</v>
      </c>
      <c r="Q68" s="104"/>
      <c r="R68" s="104"/>
    </row>
    <row r="69" spans="3:18" x14ac:dyDescent="0.25">
      <c r="C69" s="55"/>
      <c r="D69" s="148"/>
      <c r="E69" s="61"/>
      <c r="F69" s="249" t="str">
        <f t="shared" si="0"/>
        <v>-</v>
      </c>
      <c r="G69" s="1"/>
      <c r="H69" s="149"/>
      <c r="I69" s="55"/>
      <c r="J69" s="130" t="str">
        <f ca="1">IFERROR(MIN('DC Calculations'!$F$28/I69,1),"-")</f>
        <v>-</v>
      </c>
      <c r="K69" s="120"/>
      <c r="L69" s="55"/>
      <c r="M69" s="55"/>
      <c r="N69" s="55"/>
      <c r="O69" s="245" t="str">
        <f t="shared" si="1"/>
        <v>-</v>
      </c>
      <c r="P69" s="127" t="str">
        <f t="shared" si="2"/>
        <v>-</v>
      </c>
      <c r="Q69" s="104"/>
      <c r="R69" s="104"/>
    </row>
    <row r="70" spans="3:18" x14ac:dyDescent="0.25">
      <c r="C70" s="55"/>
      <c r="D70" s="148"/>
      <c r="E70" s="61"/>
      <c r="F70" s="249" t="str">
        <f t="shared" si="0"/>
        <v>-</v>
      </c>
      <c r="G70" s="1"/>
      <c r="H70" s="149"/>
      <c r="I70" s="55"/>
      <c r="J70" s="130" t="str">
        <f ca="1">IFERROR(MIN('DC Calculations'!$F$28/I70,1),"-")</f>
        <v>-</v>
      </c>
      <c r="K70" s="120"/>
      <c r="L70" s="55"/>
      <c r="M70" s="55"/>
      <c r="N70" s="55"/>
      <c r="O70" s="245" t="str">
        <f t="shared" si="1"/>
        <v>-</v>
      </c>
      <c r="P70" s="127" t="str">
        <f t="shared" si="2"/>
        <v>-</v>
      </c>
      <c r="Q70" s="104"/>
      <c r="R70" s="104"/>
    </row>
    <row r="71" spans="3:18" x14ac:dyDescent="0.25">
      <c r="C71" s="55"/>
      <c r="D71" s="148"/>
      <c r="E71" s="61"/>
      <c r="F71" s="249" t="str">
        <f t="shared" si="0"/>
        <v>-</v>
      </c>
      <c r="G71" s="1"/>
      <c r="H71" s="149"/>
      <c r="I71" s="55"/>
      <c r="J71" s="130" t="str">
        <f ca="1">IFERROR(MIN('DC Calculations'!$F$28/I71,1),"-")</f>
        <v>-</v>
      </c>
      <c r="K71" s="120"/>
      <c r="L71" s="55"/>
      <c r="M71" s="55"/>
      <c r="N71" s="55"/>
      <c r="O71" s="245" t="str">
        <f t="shared" si="1"/>
        <v>-</v>
      </c>
      <c r="P71" s="127" t="str">
        <f t="shared" si="2"/>
        <v>-</v>
      </c>
      <c r="Q71" s="104"/>
      <c r="R71" s="104"/>
    </row>
    <row r="72" spans="3:18" x14ac:dyDescent="0.25">
      <c r="C72" s="55"/>
      <c r="D72" s="148"/>
      <c r="E72" s="61"/>
      <c r="F72" s="249" t="str">
        <f t="shared" si="0"/>
        <v>-</v>
      </c>
      <c r="G72" s="1"/>
      <c r="H72" s="149"/>
      <c r="I72" s="55"/>
      <c r="J72" s="130" t="str">
        <f ca="1">IFERROR(MIN('DC Calculations'!$F$28/I72,1),"-")</f>
        <v>-</v>
      </c>
      <c r="K72" s="120"/>
      <c r="L72" s="55"/>
      <c r="M72" s="55"/>
      <c r="N72" s="55"/>
      <c r="O72" s="245" t="str">
        <f t="shared" si="1"/>
        <v>-</v>
      </c>
      <c r="P72" s="127" t="str">
        <f t="shared" si="2"/>
        <v>-</v>
      </c>
      <c r="Q72" s="104"/>
      <c r="R72" s="104"/>
    </row>
    <row r="73" spans="3:18" x14ac:dyDescent="0.25">
      <c r="C73" s="55"/>
      <c r="D73" s="148"/>
      <c r="E73" s="61"/>
      <c r="F73" s="249" t="str">
        <f t="shared" si="0"/>
        <v>-</v>
      </c>
      <c r="G73" s="1"/>
      <c r="H73" s="149"/>
      <c r="I73" s="55"/>
      <c r="J73" s="130" t="str">
        <f ca="1">IFERROR(MIN('DC Calculations'!$F$28/I73,1),"-")</f>
        <v>-</v>
      </c>
      <c r="K73" s="120"/>
      <c r="L73" s="55"/>
      <c r="M73" s="55"/>
      <c r="N73" s="55"/>
      <c r="O73" s="245" t="str">
        <f t="shared" si="1"/>
        <v>-</v>
      </c>
      <c r="P73" s="127" t="str">
        <f t="shared" si="2"/>
        <v>-</v>
      </c>
      <c r="Q73" s="104"/>
      <c r="R73" s="104"/>
    </row>
    <row r="74" spans="3:18" x14ac:dyDescent="0.25">
      <c r="C74" s="55"/>
      <c r="D74" s="148"/>
      <c r="E74" s="61"/>
      <c r="F74" s="249" t="str">
        <f t="shared" si="0"/>
        <v>-</v>
      </c>
      <c r="G74" s="1"/>
      <c r="H74" s="149"/>
      <c r="I74" s="55"/>
      <c r="J74" s="130" t="str">
        <f ca="1">IFERROR(MIN('DC Calculations'!$F$28/I74,1),"-")</f>
        <v>-</v>
      </c>
      <c r="K74" s="120"/>
      <c r="L74" s="55"/>
      <c r="M74" s="55"/>
      <c r="N74" s="55"/>
      <c r="O74" s="245" t="str">
        <f t="shared" si="1"/>
        <v>-</v>
      </c>
      <c r="P74" s="127" t="str">
        <f t="shared" si="2"/>
        <v>-</v>
      </c>
      <c r="Q74" s="104"/>
      <c r="R74" s="104"/>
    </row>
    <row r="75" spans="3:18" x14ac:dyDescent="0.25">
      <c r="C75" s="55"/>
      <c r="D75" s="148"/>
      <c r="E75" s="61"/>
      <c r="F75" s="249" t="str">
        <f t="shared" si="0"/>
        <v>-</v>
      </c>
      <c r="G75" s="1"/>
      <c r="H75" s="149"/>
      <c r="I75" s="55"/>
      <c r="J75" s="130" t="str">
        <f ca="1">IFERROR(MIN('DC Calculations'!$F$28/I75,1),"-")</f>
        <v>-</v>
      </c>
      <c r="K75" s="120"/>
      <c r="L75" s="55"/>
      <c r="M75" s="55"/>
      <c r="N75" s="55"/>
      <c r="O75" s="245" t="str">
        <f t="shared" si="1"/>
        <v>-</v>
      </c>
      <c r="P75" s="127" t="str">
        <f t="shared" si="2"/>
        <v>-</v>
      </c>
      <c r="Q75" s="104"/>
      <c r="R75" s="104"/>
    </row>
    <row r="76" spans="3:18" x14ac:dyDescent="0.25">
      <c r="C76" s="55"/>
      <c r="D76" s="148"/>
      <c r="E76" s="61"/>
      <c r="F76" s="249" t="str">
        <f t="shared" si="0"/>
        <v>-</v>
      </c>
      <c r="G76" s="1"/>
      <c r="H76" s="149"/>
      <c r="I76" s="55"/>
      <c r="J76" s="130" t="str">
        <f ca="1">IFERROR(MIN('DC Calculations'!$F$28/I76,1),"-")</f>
        <v>-</v>
      </c>
      <c r="K76" s="120"/>
      <c r="L76" s="55"/>
      <c r="M76" s="55"/>
      <c r="N76" s="55"/>
      <c r="O76" s="245" t="str">
        <f t="shared" si="1"/>
        <v>-</v>
      </c>
      <c r="P76" s="127" t="str">
        <f t="shared" si="2"/>
        <v>-</v>
      </c>
      <c r="Q76" s="104"/>
      <c r="R76" s="104"/>
    </row>
    <row r="77" spans="3:18" x14ac:dyDescent="0.25">
      <c r="C77" s="55"/>
      <c r="D77" s="148"/>
      <c r="E77" s="61"/>
      <c r="F77" s="249" t="str">
        <f t="shared" si="0"/>
        <v>-</v>
      </c>
      <c r="G77" s="1"/>
      <c r="H77" s="149"/>
      <c r="I77" s="55"/>
      <c r="J77" s="130" t="str">
        <f ca="1">IFERROR(MIN('DC Calculations'!$F$28/I77,1),"-")</f>
        <v>-</v>
      </c>
      <c r="K77" s="120"/>
      <c r="L77" s="55"/>
      <c r="M77" s="55"/>
      <c r="N77" s="55"/>
      <c r="O77" s="245" t="str">
        <f t="shared" si="1"/>
        <v>-</v>
      </c>
      <c r="P77" s="127" t="str">
        <f t="shared" si="2"/>
        <v>-</v>
      </c>
      <c r="Q77" s="104"/>
      <c r="R77" s="104"/>
    </row>
    <row r="78" spans="3:18" x14ac:dyDescent="0.25">
      <c r="C78" s="55"/>
      <c r="D78" s="148"/>
      <c r="E78" s="61"/>
      <c r="F78" s="249" t="str">
        <f t="shared" si="0"/>
        <v>-</v>
      </c>
      <c r="G78" s="1"/>
      <c r="H78" s="149"/>
      <c r="I78" s="55"/>
      <c r="J78" s="130" t="str">
        <f ca="1">IFERROR(MIN('DC Calculations'!$F$28/I78,1),"-")</f>
        <v>-</v>
      </c>
      <c r="K78" s="120"/>
      <c r="L78" s="55"/>
      <c r="M78" s="55"/>
      <c r="N78" s="55"/>
      <c r="O78" s="245" t="str">
        <f t="shared" si="1"/>
        <v>-</v>
      </c>
      <c r="P78" s="127" t="str">
        <f t="shared" si="2"/>
        <v>-</v>
      </c>
      <c r="Q78" s="104"/>
      <c r="R78" s="104"/>
    </row>
    <row r="79" spans="3:18" x14ac:dyDescent="0.25">
      <c r="C79" s="55"/>
      <c r="D79" s="148"/>
      <c r="E79" s="61"/>
      <c r="F79" s="249" t="str">
        <f t="shared" si="0"/>
        <v>-</v>
      </c>
      <c r="G79" s="1"/>
      <c r="H79" s="149"/>
      <c r="I79" s="55"/>
      <c r="J79" s="130" t="str">
        <f ca="1">IFERROR(MIN('DC Calculations'!$F$28/I79,1),"-")</f>
        <v>-</v>
      </c>
      <c r="K79" s="120"/>
      <c r="L79" s="55"/>
      <c r="M79" s="55"/>
      <c r="N79" s="55"/>
      <c r="O79" s="245" t="str">
        <f t="shared" si="1"/>
        <v>-</v>
      </c>
      <c r="P79" s="127" t="str">
        <f t="shared" si="2"/>
        <v>-</v>
      </c>
      <c r="Q79" s="104"/>
      <c r="R79" s="104"/>
    </row>
    <row r="80" spans="3:18" x14ac:dyDescent="0.25">
      <c r="C80" s="55"/>
      <c r="D80" s="148"/>
      <c r="E80" s="61"/>
      <c r="F80" s="249" t="str">
        <f t="shared" si="0"/>
        <v>-</v>
      </c>
      <c r="G80" s="1"/>
      <c r="H80" s="149"/>
      <c r="I80" s="55"/>
      <c r="J80" s="130" t="str">
        <f ca="1">IFERROR(MIN('DC Calculations'!$F$28/I80,1),"-")</f>
        <v>-</v>
      </c>
      <c r="K80" s="120"/>
      <c r="L80" s="55"/>
      <c r="M80" s="55"/>
      <c r="N80" s="55"/>
      <c r="O80" s="245" t="str">
        <f t="shared" si="1"/>
        <v>-</v>
      </c>
      <c r="P80" s="127" t="str">
        <f t="shared" si="2"/>
        <v>-</v>
      </c>
      <c r="Q80" s="104"/>
      <c r="R80" s="104"/>
    </row>
    <row r="81" spans="3:18" x14ac:dyDescent="0.25">
      <c r="C81" s="55"/>
      <c r="D81" s="148"/>
      <c r="E81" s="61"/>
      <c r="F81" s="249" t="str">
        <f t="shared" si="0"/>
        <v>-</v>
      </c>
      <c r="G81" s="1"/>
      <c r="H81" s="149"/>
      <c r="I81" s="55"/>
      <c r="J81" s="130" t="str">
        <f ca="1">IFERROR(MIN('DC Calculations'!$F$28/I81,1),"-")</f>
        <v>-</v>
      </c>
      <c r="K81" s="120"/>
      <c r="L81" s="55"/>
      <c r="M81" s="55"/>
      <c r="N81" s="55"/>
      <c r="O81" s="245" t="str">
        <f t="shared" si="1"/>
        <v>-</v>
      </c>
      <c r="P81" s="127" t="str">
        <f t="shared" si="2"/>
        <v>-</v>
      </c>
      <c r="Q81" s="104"/>
      <c r="R81" s="104"/>
    </row>
    <row r="82" spans="3:18" x14ac:dyDescent="0.25">
      <c r="C82" s="55"/>
      <c r="D82" s="148"/>
      <c r="E82" s="61"/>
      <c r="F82" s="249" t="str">
        <f t="shared" ref="F82:F213" si="3">IF(E82="","-",IF(E82&lt;$E$11,"ERROR - date outside of range",IF(MONTH(E82)&gt;=7,YEAR(E82)&amp;"-"&amp;RIGHT(YEAR(E82),2)+1,YEAR(E82)-1&amp;"-"&amp;RIGHT(YEAR(E82),2))))</f>
        <v>-</v>
      </c>
      <c r="G82" s="1"/>
      <c r="H82" s="149"/>
      <c r="I82" s="55"/>
      <c r="J82" s="130" t="str">
        <f ca="1">IFERROR(MIN('DC Calculations'!$F$28/I82,1),"-")</f>
        <v>-</v>
      </c>
      <c r="K82" s="120"/>
      <c r="L82" s="55"/>
      <c r="M82" s="55"/>
      <c r="N82" s="55"/>
      <c r="O82" s="245" t="str">
        <f t="shared" ref="O82:O145" si="4">IF(N82="","-",L82*N82)</f>
        <v>-</v>
      </c>
      <c r="P82" s="127" t="str">
        <f t="shared" ref="P82:P145" si="5">IF(O82="-","-",IF(E82&lt;$E$11,0,O82*J82))</f>
        <v>-</v>
      </c>
      <c r="Q82" s="104"/>
      <c r="R82" s="104"/>
    </row>
    <row r="83" spans="3:18" x14ac:dyDescent="0.25">
      <c r="C83" s="55"/>
      <c r="D83" s="148"/>
      <c r="E83" s="61"/>
      <c r="F83" s="249" t="str">
        <f t="shared" si="3"/>
        <v>-</v>
      </c>
      <c r="G83" s="1"/>
      <c r="H83" s="149"/>
      <c r="I83" s="55"/>
      <c r="J83" s="130" t="str">
        <f ca="1">IFERROR(MIN('DC Calculations'!$F$28/I83,1),"-")</f>
        <v>-</v>
      </c>
      <c r="K83" s="120"/>
      <c r="L83" s="55"/>
      <c r="M83" s="55"/>
      <c r="N83" s="55"/>
      <c r="O83" s="245" t="str">
        <f t="shared" si="4"/>
        <v>-</v>
      </c>
      <c r="P83" s="127" t="str">
        <f t="shared" si="5"/>
        <v>-</v>
      </c>
      <c r="Q83" s="104"/>
      <c r="R83" s="104"/>
    </row>
    <row r="84" spans="3:18" x14ac:dyDescent="0.25">
      <c r="C84" s="55"/>
      <c r="D84" s="148"/>
      <c r="E84" s="61"/>
      <c r="F84" s="249" t="str">
        <f t="shared" si="3"/>
        <v>-</v>
      </c>
      <c r="G84" s="1"/>
      <c r="H84" s="149"/>
      <c r="I84" s="55"/>
      <c r="J84" s="130" t="str">
        <f ca="1">IFERROR(MIN('DC Calculations'!$F$28/I84,1),"-")</f>
        <v>-</v>
      </c>
      <c r="K84" s="120"/>
      <c r="L84" s="55"/>
      <c r="M84" s="55"/>
      <c r="N84" s="55"/>
      <c r="O84" s="245" t="str">
        <f t="shared" si="4"/>
        <v>-</v>
      </c>
      <c r="P84" s="127" t="str">
        <f t="shared" si="5"/>
        <v>-</v>
      </c>
      <c r="Q84" s="104"/>
      <c r="R84" s="104"/>
    </row>
    <row r="85" spans="3:18" x14ac:dyDescent="0.25">
      <c r="C85" s="55"/>
      <c r="D85" s="148"/>
      <c r="E85" s="61"/>
      <c r="F85" s="249" t="str">
        <f t="shared" si="3"/>
        <v>-</v>
      </c>
      <c r="G85" s="1"/>
      <c r="H85" s="149"/>
      <c r="I85" s="55"/>
      <c r="J85" s="130" t="str">
        <f ca="1">IFERROR(MIN('DC Calculations'!$F$28/I85,1),"-")</f>
        <v>-</v>
      </c>
      <c r="K85" s="120"/>
      <c r="L85" s="55"/>
      <c r="M85" s="55"/>
      <c r="N85" s="55"/>
      <c r="O85" s="245" t="str">
        <f t="shared" si="4"/>
        <v>-</v>
      </c>
      <c r="P85" s="127" t="str">
        <f t="shared" si="5"/>
        <v>-</v>
      </c>
      <c r="Q85" s="104"/>
      <c r="R85" s="104"/>
    </row>
    <row r="86" spans="3:18" x14ac:dyDescent="0.25">
      <c r="C86" s="55"/>
      <c r="D86" s="148"/>
      <c r="E86" s="61"/>
      <c r="F86" s="249" t="str">
        <f t="shared" si="3"/>
        <v>-</v>
      </c>
      <c r="G86" s="1"/>
      <c r="H86" s="149"/>
      <c r="I86" s="55"/>
      <c r="J86" s="130" t="str">
        <f ca="1">IFERROR(MIN('DC Calculations'!$F$28/I86,1),"-")</f>
        <v>-</v>
      </c>
      <c r="K86" s="120"/>
      <c r="L86" s="55"/>
      <c r="M86" s="55"/>
      <c r="N86" s="55"/>
      <c r="O86" s="245" t="str">
        <f t="shared" si="4"/>
        <v>-</v>
      </c>
      <c r="P86" s="127" t="str">
        <f t="shared" si="5"/>
        <v>-</v>
      </c>
      <c r="Q86" s="104"/>
      <c r="R86" s="104"/>
    </row>
    <row r="87" spans="3:18" x14ac:dyDescent="0.25">
      <c r="C87" s="55"/>
      <c r="D87" s="148"/>
      <c r="E87" s="61"/>
      <c r="F87" s="249" t="str">
        <f t="shared" si="3"/>
        <v>-</v>
      </c>
      <c r="G87" s="1"/>
      <c r="H87" s="149"/>
      <c r="I87" s="55"/>
      <c r="J87" s="130" t="str">
        <f ca="1">IFERROR(MIN('DC Calculations'!$F$28/I87,1),"-")</f>
        <v>-</v>
      </c>
      <c r="K87" s="120"/>
      <c r="L87" s="55"/>
      <c r="M87" s="55"/>
      <c r="N87" s="55"/>
      <c r="O87" s="245" t="str">
        <f t="shared" si="4"/>
        <v>-</v>
      </c>
      <c r="P87" s="127" t="str">
        <f t="shared" si="5"/>
        <v>-</v>
      </c>
      <c r="Q87" s="104"/>
      <c r="R87" s="104"/>
    </row>
    <row r="88" spans="3:18" x14ac:dyDescent="0.25">
      <c r="C88" s="55"/>
      <c r="D88" s="148"/>
      <c r="E88" s="61"/>
      <c r="F88" s="249" t="str">
        <f t="shared" si="3"/>
        <v>-</v>
      </c>
      <c r="G88" s="1"/>
      <c r="H88" s="149"/>
      <c r="I88" s="55"/>
      <c r="J88" s="130" t="str">
        <f ca="1">IFERROR(MIN('DC Calculations'!$F$28/I88,1),"-")</f>
        <v>-</v>
      </c>
      <c r="K88" s="120"/>
      <c r="L88" s="55"/>
      <c r="M88" s="55"/>
      <c r="N88" s="55"/>
      <c r="O88" s="245" t="str">
        <f t="shared" si="4"/>
        <v>-</v>
      </c>
      <c r="P88" s="127" t="str">
        <f t="shared" si="5"/>
        <v>-</v>
      </c>
      <c r="Q88" s="104"/>
      <c r="R88" s="104"/>
    </row>
    <row r="89" spans="3:18" x14ac:dyDescent="0.25">
      <c r="C89" s="55"/>
      <c r="D89" s="148"/>
      <c r="E89" s="61"/>
      <c r="F89" s="249" t="str">
        <f t="shared" si="3"/>
        <v>-</v>
      </c>
      <c r="G89" s="1"/>
      <c r="H89" s="149"/>
      <c r="I89" s="55"/>
      <c r="J89" s="130" t="str">
        <f ca="1">IFERROR(MIN('DC Calculations'!$F$28/I89,1),"-")</f>
        <v>-</v>
      </c>
      <c r="K89" s="120"/>
      <c r="L89" s="55"/>
      <c r="M89" s="55"/>
      <c r="N89" s="55"/>
      <c r="O89" s="245" t="str">
        <f t="shared" si="4"/>
        <v>-</v>
      </c>
      <c r="P89" s="127" t="str">
        <f t="shared" si="5"/>
        <v>-</v>
      </c>
      <c r="Q89" s="104"/>
      <c r="R89" s="104"/>
    </row>
    <row r="90" spans="3:18" x14ac:dyDescent="0.25">
      <c r="C90" s="55"/>
      <c r="D90" s="148"/>
      <c r="E90" s="61"/>
      <c r="F90" s="249" t="str">
        <f t="shared" si="3"/>
        <v>-</v>
      </c>
      <c r="G90" s="1"/>
      <c r="H90" s="149"/>
      <c r="I90" s="55"/>
      <c r="J90" s="130" t="str">
        <f ca="1">IFERROR(MIN('DC Calculations'!$F$28/I90,1),"-")</f>
        <v>-</v>
      </c>
      <c r="K90" s="120"/>
      <c r="L90" s="55"/>
      <c r="M90" s="55"/>
      <c r="N90" s="55"/>
      <c r="O90" s="245" t="str">
        <f t="shared" si="4"/>
        <v>-</v>
      </c>
      <c r="P90" s="127" t="str">
        <f t="shared" si="5"/>
        <v>-</v>
      </c>
      <c r="Q90" s="104"/>
      <c r="R90" s="104"/>
    </row>
    <row r="91" spans="3:18" x14ac:dyDescent="0.25">
      <c r="C91" s="55"/>
      <c r="D91" s="148"/>
      <c r="E91" s="61"/>
      <c r="F91" s="249" t="str">
        <f t="shared" si="3"/>
        <v>-</v>
      </c>
      <c r="G91" s="1"/>
      <c r="H91" s="149"/>
      <c r="I91" s="55"/>
      <c r="J91" s="130" t="str">
        <f ca="1">IFERROR(MIN('DC Calculations'!$F$28/I91,1),"-")</f>
        <v>-</v>
      </c>
      <c r="K91" s="120"/>
      <c r="L91" s="55"/>
      <c r="M91" s="55"/>
      <c r="N91" s="55"/>
      <c r="O91" s="245" t="str">
        <f t="shared" si="4"/>
        <v>-</v>
      </c>
      <c r="P91" s="127" t="str">
        <f t="shared" si="5"/>
        <v>-</v>
      </c>
      <c r="Q91" s="104"/>
      <c r="R91" s="104"/>
    </row>
    <row r="92" spans="3:18" x14ac:dyDescent="0.25">
      <c r="C92" s="55"/>
      <c r="D92" s="148"/>
      <c r="E92" s="61"/>
      <c r="F92" s="249" t="str">
        <f t="shared" si="3"/>
        <v>-</v>
      </c>
      <c r="G92" s="1"/>
      <c r="H92" s="149"/>
      <c r="I92" s="55"/>
      <c r="J92" s="130" t="str">
        <f ca="1">IFERROR(MIN('DC Calculations'!$F$28/I92,1),"-")</f>
        <v>-</v>
      </c>
      <c r="K92" s="120"/>
      <c r="L92" s="55"/>
      <c r="M92" s="55"/>
      <c r="N92" s="55"/>
      <c r="O92" s="245" t="str">
        <f t="shared" si="4"/>
        <v>-</v>
      </c>
      <c r="P92" s="127" t="str">
        <f t="shared" si="5"/>
        <v>-</v>
      </c>
      <c r="Q92" s="104"/>
      <c r="R92" s="104"/>
    </row>
    <row r="93" spans="3:18" x14ac:dyDescent="0.25">
      <c r="C93" s="55"/>
      <c r="D93" s="148"/>
      <c r="E93" s="61"/>
      <c r="F93" s="249" t="str">
        <f t="shared" si="3"/>
        <v>-</v>
      </c>
      <c r="G93" s="1"/>
      <c r="H93" s="149"/>
      <c r="I93" s="55"/>
      <c r="J93" s="130" t="str">
        <f ca="1">IFERROR(MIN('DC Calculations'!$F$28/I93,1),"-")</f>
        <v>-</v>
      </c>
      <c r="K93" s="120"/>
      <c r="L93" s="55"/>
      <c r="M93" s="55"/>
      <c r="N93" s="55"/>
      <c r="O93" s="245" t="str">
        <f t="shared" si="4"/>
        <v>-</v>
      </c>
      <c r="P93" s="127" t="str">
        <f t="shared" si="5"/>
        <v>-</v>
      </c>
      <c r="Q93" s="104"/>
      <c r="R93" s="104"/>
    </row>
    <row r="94" spans="3:18" x14ac:dyDescent="0.25">
      <c r="C94" s="55"/>
      <c r="D94" s="148"/>
      <c r="E94" s="61"/>
      <c r="F94" s="249" t="str">
        <f t="shared" si="3"/>
        <v>-</v>
      </c>
      <c r="G94" s="1"/>
      <c r="H94" s="149"/>
      <c r="I94" s="55"/>
      <c r="J94" s="130" t="str">
        <f ca="1">IFERROR(MIN('DC Calculations'!$F$28/I94,1),"-")</f>
        <v>-</v>
      </c>
      <c r="K94" s="120"/>
      <c r="L94" s="55"/>
      <c r="M94" s="55"/>
      <c r="N94" s="55"/>
      <c r="O94" s="245" t="str">
        <f t="shared" si="4"/>
        <v>-</v>
      </c>
      <c r="P94" s="127" t="str">
        <f t="shared" si="5"/>
        <v>-</v>
      </c>
      <c r="Q94" s="104"/>
      <c r="R94" s="104"/>
    </row>
    <row r="95" spans="3:18" x14ac:dyDescent="0.25">
      <c r="C95" s="55"/>
      <c r="D95" s="148"/>
      <c r="E95" s="61"/>
      <c r="F95" s="249" t="str">
        <f t="shared" si="3"/>
        <v>-</v>
      </c>
      <c r="G95" s="1"/>
      <c r="H95" s="149"/>
      <c r="I95" s="55"/>
      <c r="J95" s="130" t="str">
        <f ca="1">IFERROR(MIN('DC Calculations'!$F$28/I95,1),"-")</f>
        <v>-</v>
      </c>
      <c r="K95" s="120"/>
      <c r="L95" s="55"/>
      <c r="M95" s="55"/>
      <c r="N95" s="55"/>
      <c r="O95" s="245" t="str">
        <f t="shared" si="4"/>
        <v>-</v>
      </c>
      <c r="P95" s="127" t="str">
        <f t="shared" si="5"/>
        <v>-</v>
      </c>
      <c r="Q95" s="104"/>
      <c r="R95" s="104"/>
    </row>
    <row r="96" spans="3:18" x14ac:dyDescent="0.25">
      <c r="C96" s="55"/>
      <c r="D96" s="148"/>
      <c r="E96" s="61"/>
      <c r="F96" s="249" t="str">
        <f t="shared" si="3"/>
        <v>-</v>
      </c>
      <c r="G96" s="1"/>
      <c r="H96" s="149"/>
      <c r="I96" s="55"/>
      <c r="J96" s="130" t="str">
        <f ca="1">IFERROR(MIN('DC Calculations'!$F$28/I96,1),"-")</f>
        <v>-</v>
      </c>
      <c r="K96" s="120"/>
      <c r="L96" s="55"/>
      <c r="M96" s="55"/>
      <c r="N96" s="55"/>
      <c r="O96" s="245" t="str">
        <f t="shared" si="4"/>
        <v>-</v>
      </c>
      <c r="P96" s="127" t="str">
        <f t="shared" si="5"/>
        <v>-</v>
      </c>
      <c r="Q96" s="104"/>
      <c r="R96" s="104"/>
    </row>
    <row r="97" spans="3:18" x14ac:dyDescent="0.25">
      <c r="C97" s="55"/>
      <c r="D97" s="148"/>
      <c r="E97" s="61"/>
      <c r="F97" s="249" t="str">
        <f t="shared" si="3"/>
        <v>-</v>
      </c>
      <c r="G97" s="1"/>
      <c r="H97" s="149"/>
      <c r="I97" s="55"/>
      <c r="J97" s="130" t="str">
        <f ca="1">IFERROR(MIN('DC Calculations'!$F$28/I97,1),"-")</f>
        <v>-</v>
      </c>
      <c r="K97" s="120"/>
      <c r="L97" s="55"/>
      <c r="M97" s="55"/>
      <c r="N97" s="55"/>
      <c r="O97" s="245" t="str">
        <f t="shared" si="4"/>
        <v>-</v>
      </c>
      <c r="P97" s="127" t="str">
        <f t="shared" si="5"/>
        <v>-</v>
      </c>
      <c r="Q97" s="104"/>
      <c r="R97" s="104"/>
    </row>
    <row r="98" spans="3:18" x14ac:dyDescent="0.25">
      <c r="C98" s="55"/>
      <c r="D98" s="148"/>
      <c r="E98" s="61"/>
      <c r="F98" s="249" t="str">
        <f t="shared" si="3"/>
        <v>-</v>
      </c>
      <c r="G98" s="1"/>
      <c r="H98" s="149"/>
      <c r="I98" s="55"/>
      <c r="J98" s="130" t="str">
        <f ca="1">IFERROR(MIN('DC Calculations'!$F$28/I98,1),"-")</f>
        <v>-</v>
      </c>
      <c r="K98" s="120"/>
      <c r="L98" s="55"/>
      <c r="M98" s="55"/>
      <c r="N98" s="55"/>
      <c r="O98" s="245" t="str">
        <f t="shared" si="4"/>
        <v>-</v>
      </c>
      <c r="P98" s="127" t="str">
        <f t="shared" si="5"/>
        <v>-</v>
      </c>
      <c r="Q98" s="104"/>
      <c r="R98" s="104"/>
    </row>
    <row r="99" spans="3:18" x14ac:dyDescent="0.25">
      <c r="C99" s="55"/>
      <c r="D99" s="148"/>
      <c r="E99" s="61"/>
      <c r="F99" s="249" t="str">
        <f t="shared" si="3"/>
        <v>-</v>
      </c>
      <c r="G99" s="1"/>
      <c r="H99" s="149"/>
      <c r="I99" s="55"/>
      <c r="J99" s="130" t="str">
        <f ca="1">IFERROR(MIN('DC Calculations'!$F$28/I99,1),"-")</f>
        <v>-</v>
      </c>
      <c r="K99" s="120"/>
      <c r="L99" s="55"/>
      <c r="M99" s="55"/>
      <c r="N99" s="55"/>
      <c r="O99" s="245" t="str">
        <f t="shared" si="4"/>
        <v>-</v>
      </c>
      <c r="P99" s="127" t="str">
        <f t="shared" si="5"/>
        <v>-</v>
      </c>
      <c r="Q99" s="104"/>
      <c r="R99" s="104"/>
    </row>
    <row r="100" spans="3:18" x14ac:dyDescent="0.25">
      <c r="C100" s="55"/>
      <c r="D100" s="148"/>
      <c r="E100" s="61"/>
      <c r="F100" s="249" t="str">
        <f t="shared" si="3"/>
        <v>-</v>
      </c>
      <c r="G100" s="1"/>
      <c r="H100" s="149"/>
      <c r="I100" s="55"/>
      <c r="J100" s="130" t="str">
        <f ca="1">IFERROR(MIN('DC Calculations'!$F$28/I100,1),"-")</f>
        <v>-</v>
      </c>
      <c r="K100" s="120"/>
      <c r="L100" s="55"/>
      <c r="M100" s="55"/>
      <c r="N100" s="55"/>
      <c r="O100" s="245" t="str">
        <f t="shared" si="4"/>
        <v>-</v>
      </c>
      <c r="P100" s="127" t="str">
        <f t="shared" si="5"/>
        <v>-</v>
      </c>
      <c r="Q100" s="104"/>
      <c r="R100" s="104"/>
    </row>
    <row r="101" spans="3:18" x14ac:dyDescent="0.25">
      <c r="C101" s="55"/>
      <c r="D101" s="148"/>
      <c r="E101" s="61"/>
      <c r="F101" s="249" t="str">
        <f t="shared" si="3"/>
        <v>-</v>
      </c>
      <c r="G101" s="1"/>
      <c r="H101" s="149"/>
      <c r="I101" s="55"/>
      <c r="J101" s="130" t="str">
        <f ca="1">IFERROR(MIN('DC Calculations'!$F$28/I101,1),"-")</f>
        <v>-</v>
      </c>
      <c r="K101" s="120"/>
      <c r="L101" s="55"/>
      <c r="M101" s="55"/>
      <c r="N101" s="55"/>
      <c r="O101" s="245" t="str">
        <f t="shared" si="4"/>
        <v>-</v>
      </c>
      <c r="P101" s="127" t="str">
        <f t="shared" si="5"/>
        <v>-</v>
      </c>
      <c r="Q101" s="104"/>
      <c r="R101" s="104"/>
    </row>
    <row r="102" spans="3:18" x14ac:dyDescent="0.25">
      <c r="C102" s="55"/>
      <c r="D102" s="148"/>
      <c r="E102" s="61"/>
      <c r="F102" s="249" t="str">
        <f t="shared" si="3"/>
        <v>-</v>
      </c>
      <c r="G102" s="1"/>
      <c r="H102" s="149"/>
      <c r="I102" s="55"/>
      <c r="J102" s="130" t="str">
        <f ca="1">IFERROR(MIN('DC Calculations'!$F$28/I102,1),"-")</f>
        <v>-</v>
      </c>
      <c r="K102" s="120"/>
      <c r="L102" s="55"/>
      <c r="M102" s="55"/>
      <c r="N102" s="55"/>
      <c r="O102" s="245" t="str">
        <f t="shared" si="4"/>
        <v>-</v>
      </c>
      <c r="P102" s="127" t="str">
        <f t="shared" si="5"/>
        <v>-</v>
      </c>
      <c r="Q102" s="104"/>
      <c r="R102" s="104"/>
    </row>
    <row r="103" spans="3:18" x14ac:dyDescent="0.25">
      <c r="C103" s="55"/>
      <c r="D103" s="148"/>
      <c r="E103" s="61"/>
      <c r="F103" s="249" t="str">
        <f t="shared" si="3"/>
        <v>-</v>
      </c>
      <c r="G103" s="1"/>
      <c r="H103" s="149"/>
      <c r="I103" s="55"/>
      <c r="J103" s="130" t="str">
        <f ca="1">IFERROR(MIN('DC Calculations'!$F$28/I103,1),"-")</f>
        <v>-</v>
      </c>
      <c r="K103" s="120"/>
      <c r="L103" s="55"/>
      <c r="M103" s="55"/>
      <c r="N103" s="55"/>
      <c r="O103" s="245" t="str">
        <f t="shared" si="4"/>
        <v>-</v>
      </c>
      <c r="P103" s="127" t="str">
        <f t="shared" si="5"/>
        <v>-</v>
      </c>
      <c r="Q103" s="104"/>
      <c r="R103" s="104"/>
    </row>
    <row r="104" spans="3:18" x14ac:dyDescent="0.25">
      <c r="C104" s="55"/>
      <c r="D104" s="148"/>
      <c r="E104" s="61"/>
      <c r="F104" s="249" t="str">
        <f t="shared" si="3"/>
        <v>-</v>
      </c>
      <c r="G104" s="1"/>
      <c r="H104" s="149"/>
      <c r="I104" s="55"/>
      <c r="J104" s="130" t="str">
        <f ca="1">IFERROR(MIN('DC Calculations'!$F$28/I104,1),"-")</f>
        <v>-</v>
      </c>
      <c r="K104" s="120"/>
      <c r="L104" s="55"/>
      <c r="M104" s="55"/>
      <c r="N104" s="55"/>
      <c r="O104" s="245" t="str">
        <f t="shared" si="4"/>
        <v>-</v>
      </c>
      <c r="P104" s="127" t="str">
        <f t="shared" si="5"/>
        <v>-</v>
      </c>
      <c r="Q104" s="104"/>
      <c r="R104" s="104"/>
    </row>
    <row r="105" spans="3:18" x14ac:dyDescent="0.25">
      <c r="C105" s="55"/>
      <c r="D105" s="148"/>
      <c r="E105" s="61"/>
      <c r="F105" s="249" t="str">
        <f t="shared" si="3"/>
        <v>-</v>
      </c>
      <c r="G105" s="1"/>
      <c r="H105" s="149"/>
      <c r="I105" s="55"/>
      <c r="J105" s="130" t="str">
        <f ca="1">IFERROR(MIN('DC Calculations'!$F$28/I105,1),"-")</f>
        <v>-</v>
      </c>
      <c r="K105" s="120"/>
      <c r="L105" s="55"/>
      <c r="M105" s="55"/>
      <c r="N105" s="55"/>
      <c r="O105" s="245" t="str">
        <f t="shared" si="4"/>
        <v>-</v>
      </c>
      <c r="P105" s="127" t="str">
        <f t="shared" si="5"/>
        <v>-</v>
      </c>
      <c r="Q105" s="104"/>
      <c r="R105" s="104"/>
    </row>
    <row r="106" spans="3:18" x14ac:dyDescent="0.25">
      <c r="C106" s="55"/>
      <c r="D106" s="148"/>
      <c r="E106" s="61"/>
      <c r="F106" s="249" t="str">
        <f t="shared" si="3"/>
        <v>-</v>
      </c>
      <c r="G106" s="1"/>
      <c r="H106" s="149"/>
      <c r="I106" s="55"/>
      <c r="J106" s="130" t="str">
        <f ca="1">IFERROR(MIN('DC Calculations'!$F$28/I106,1),"-")</f>
        <v>-</v>
      </c>
      <c r="K106" s="120"/>
      <c r="L106" s="55"/>
      <c r="M106" s="55"/>
      <c r="N106" s="55"/>
      <c r="O106" s="245" t="str">
        <f t="shared" si="4"/>
        <v>-</v>
      </c>
      <c r="P106" s="127" t="str">
        <f t="shared" si="5"/>
        <v>-</v>
      </c>
      <c r="Q106" s="104"/>
      <c r="R106" s="104"/>
    </row>
    <row r="107" spans="3:18" x14ac:dyDescent="0.25">
      <c r="C107" s="55"/>
      <c r="D107" s="148"/>
      <c r="E107" s="61"/>
      <c r="F107" s="249" t="str">
        <f t="shared" si="3"/>
        <v>-</v>
      </c>
      <c r="G107" s="1"/>
      <c r="H107" s="149"/>
      <c r="I107" s="55"/>
      <c r="J107" s="130" t="str">
        <f ca="1">IFERROR(MIN('DC Calculations'!$F$28/I107,1),"-")</f>
        <v>-</v>
      </c>
      <c r="K107" s="120"/>
      <c r="L107" s="55"/>
      <c r="M107" s="55"/>
      <c r="N107" s="55"/>
      <c r="O107" s="245" t="str">
        <f t="shared" si="4"/>
        <v>-</v>
      </c>
      <c r="P107" s="127" t="str">
        <f t="shared" si="5"/>
        <v>-</v>
      </c>
      <c r="Q107" s="104"/>
      <c r="R107" s="104"/>
    </row>
    <row r="108" spans="3:18" x14ac:dyDescent="0.25">
      <c r="C108" s="55"/>
      <c r="D108" s="148"/>
      <c r="E108" s="61"/>
      <c r="F108" s="249" t="str">
        <f t="shared" si="3"/>
        <v>-</v>
      </c>
      <c r="G108" s="1"/>
      <c r="H108" s="149"/>
      <c r="I108" s="55"/>
      <c r="J108" s="130" t="str">
        <f ca="1">IFERROR(MIN('DC Calculations'!$F$28/I108,1),"-")</f>
        <v>-</v>
      </c>
      <c r="K108" s="120"/>
      <c r="L108" s="55"/>
      <c r="M108" s="55"/>
      <c r="N108" s="55"/>
      <c r="O108" s="245" t="str">
        <f t="shared" si="4"/>
        <v>-</v>
      </c>
      <c r="P108" s="127" t="str">
        <f t="shared" si="5"/>
        <v>-</v>
      </c>
      <c r="Q108" s="104"/>
      <c r="R108" s="104"/>
    </row>
    <row r="109" spans="3:18" x14ac:dyDescent="0.25">
      <c r="C109" s="55"/>
      <c r="D109" s="148"/>
      <c r="E109" s="61"/>
      <c r="F109" s="249" t="str">
        <f t="shared" si="3"/>
        <v>-</v>
      </c>
      <c r="G109" s="1"/>
      <c r="H109" s="149"/>
      <c r="I109" s="55"/>
      <c r="J109" s="130" t="str">
        <f ca="1">IFERROR(MIN('DC Calculations'!$F$28/I109,1),"-")</f>
        <v>-</v>
      </c>
      <c r="K109" s="120"/>
      <c r="L109" s="55"/>
      <c r="M109" s="55"/>
      <c r="N109" s="55"/>
      <c r="O109" s="245" t="str">
        <f t="shared" si="4"/>
        <v>-</v>
      </c>
      <c r="P109" s="127" t="str">
        <f t="shared" si="5"/>
        <v>-</v>
      </c>
      <c r="Q109" s="104"/>
      <c r="R109" s="104"/>
    </row>
    <row r="110" spans="3:18" x14ac:dyDescent="0.25">
      <c r="C110" s="55"/>
      <c r="D110" s="148"/>
      <c r="E110" s="61"/>
      <c r="F110" s="249" t="str">
        <f t="shared" si="3"/>
        <v>-</v>
      </c>
      <c r="G110" s="1"/>
      <c r="H110" s="149"/>
      <c r="I110" s="55"/>
      <c r="J110" s="130" t="str">
        <f ca="1">IFERROR(MIN('DC Calculations'!$F$28/I110,1),"-")</f>
        <v>-</v>
      </c>
      <c r="K110" s="120"/>
      <c r="L110" s="55"/>
      <c r="M110" s="55"/>
      <c r="N110" s="55"/>
      <c r="O110" s="245" t="str">
        <f t="shared" si="4"/>
        <v>-</v>
      </c>
      <c r="P110" s="127" t="str">
        <f t="shared" si="5"/>
        <v>-</v>
      </c>
      <c r="Q110" s="104"/>
      <c r="R110" s="104"/>
    </row>
    <row r="111" spans="3:18" x14ac:dyDescent="0.25">
      <c r="C111" s="55"/>
      <c r="D111" s="148"/>
      <c r="E111" s="61"/>
      <c r="F111" s="249" t="str">
        <f t="shared" si="3"/>
        <v>-</v>
      </c>
      <c r="G111" s="1"/>
      <c r="H111" s="149"/>
      <c r="I111" s="55"/>
      <c r="J111" s="130" t="str">
        <f ca="1">IFERROR(MIN('DC Calculations'!$F$28/I111,1),"-")</f>
        <v>-</v>
      </c>
      <c r="K111" s="120"/>
      <c r="L111" s="55"/>
      <c r="M111" s="55"/>
      <c r="N111" s="55"/>
      <c r="O111" s="245" t="str">
        <f t="shared" si="4"/>
        <v>-</v>
      </c>
      <c r="P111" s="127" t="str">
        <f t="shared" si="5"/>
        <v>-</v>
      </c>
      <c r="Q111" s="104"/>
      <c r="R111" s="104"/>
    </row>
    <row r="112" spans="3:18" x14ac:dyDescent="0.25">
      <c r="C112" s="55"/>
      <c r="D112" s="148"/>
      <c r="E112" s="61"/>
      <c r="F112" s="249" t="str">
        <f t="shared" si="3"/>
        <v>-</v>
      </c>
      <c r="G112" s="1"/>
      <c r="H112" s="149"/>
      <c r="I112" s="55"/>
      <c r="J112" s="130" t="str">
        <f ca="1">IFERROR(MIN('DC Calculations'!$F$28/I112,1),"-")</f>
        <v>-</v>
      </c>
      <c r="K112" s="120"/>
      <c r="L112" s="55"/>
      <c r="M112" s="55"/>
      <c r="N112" s="55"/>
      <c r="O112" s="245" t="str">
        <f t="shared" si="4"/>
        <v>-</v>
      </c>
      <c r="P112" s="127" t="str">
        <f t="shared" si="5"/>
        <v>-</v>
      </c>
      <c r="Q112" s="104"/>
      <c r="R112" s="104"/>
    </row>
    <row r="113" spans="3:18" x14ac:dyDescent="0.25">
      <c r="C113" s="55"/>
      <c r="D113" s="148"/>
      <c r="E113" s="61"/>
      <c r="F113" s="249" t="str">
        <f t="shared" si="3"/>
        <v>-</v>
      </c>
      <c r="G113" s="1"/>
      <c r="H113" s="149"/>
      <c r="I113" s="55"/>
      <c r="J113" s="130" t="str">
        <f ca="1">IFERROR(MIN('DC Calculations'!$F$28/I113,1),"-")</f>
        <v>-</v>
      </c>
      <c r="K113" s="120"/>
      <c r="L113" s="55"/>
      <c r="M113" s="55"/>
      <c r="N113" s="55"/>
      <c r="O113" s="245" t="str">
        <f t="shared" si="4"/>
        <v>-</v>
      </c>
      <c r="P113" s="127" t="str">
        <f t="shared" si="5"/>
        <v>-</v>
      </c>
      <c r="Q113" s="104"/>
      <c r="R113" s="104"/>
    </row>
    <row r="114" spans="3:18" x14ac:dyDescent="0.25">
      <c r="C114" s="55"/>
      <c r="D114" s="148"/>
      <c r="E114" s="61"/>
      <c r="F114" s="249" t="str">
        <f t="shared" si="3"/>
        <v>-</v>
      </c>
      <c r="G114" s="1"/>
      <c r="H114" s="149"/>
      <c r="I114" s="55"/>
      <c r="J114" s="130" t="str">
        <f ca="1">IFERROR(MIN('DC Calculations'!$F$28/I114,1),"-")</f>
        <v>-</v>
      </c>
      <c r="K114" s="120"/>
      <c r="L114" s="55"/>
      <c r="M114" s="55"/>
      <c r="N114" s="55"/>
      <c r="O114" s="245" t="str">
        <f t="shared" si="4"/>
        <v>-</v>
      </c>
      <c r="P114" s="127" t="str">
        <f t="shared" si="5"/>
        <v>-</v>
      </c>
      <c r="Q114" s="104"/>
      <c r="R114" s="104"/>
    </row>
    <row r="115" spans="3:18" x14ac:dyDescent="0.25">
      <c r="C115" s="55"/>
      <c r="D115" s="148"/>
      <c r="E115" s="61"/>
      <c r="F115" s="249" t="str">
        <f t="shared" ref="F115:F178" si="6">IF(E115="","-",IF(E115&lt;$E$11,"ERROR - date outside of range",IF(MONTH(E115)&gt;=7,YEAR(E115)&amp;"-"&amp;RIGHT(YEAR(E115),2)+1,YEAR(E115)-1&amp;"-"&amp;RIGHT(YEAR(E115),2))))</f>
        <v>-</v>
      </c>
      <c r="G115" s="1"/>
      <c r="H115" s="149"/>
      <c r="I115" s="55"/>
      <c r="J115" s="130" t="str">
        <f ca="1">IFERROR(MIN('DC Calculations'!$F$28/I115,1),"-")</f>
        <v>-</v>
      </c>
      <c r="K115" s="120"/>
      <c r="L115" s="55"/>
      <c r="M115" s="55"/>
      <c r="N115" s="55"/>
      <c r="O115" s="245" t="str">
        <f t="shared" si="4"/>
        <v>-</v>
      </c>
      <c r="P115" s="127" t="str">
        <f t="shared" si="5"/>
        <v>-</v>
      </c>
      <c r="Q115" s="104"/>
      <c r="R115" s="104"/>
    </row>
    <row r="116" spans="3:18" x14ac:dyDescent="0.25">
      <c r="C116" s="55"/>
      <c r="D116" s="148"/>
      <c r="E116" s="61"/>
      <c r="F116" s="249" t="str">
        <f t="shared" si="6"/>
        <v>-</v>
      </c>
      <c r="G116" s="1"/>
      <c r="H116" s="149"/>
      <c r="I116" s="55"/>
      <c r="J116" s="130" t="str">
        <f ca="1">IFERROR(MIN('DC Calculations'!$F$28/I116,1),"-")</f>
        <v>-</v>
      </c>
      <c r="K116" s="120"/>
      <c r="L116" s="55"/>
      <c r="M116" s="55"/>
      <c r="N116" s="55"/>
      <c r="O116" s="245" t="str">
        <f t="shared" si="4"/>
        <v>-</v>
      </c>
      <c r="P116" s="127" t="str">
        <f t="shared" si="5"/>
        <v>-</v>
      </c>
      <c r="Q116" s="104"/>
      <c r="R116" s="104"/>
    </row>
    <row r="117" spans="3:18" x14ac:dyDescent="0.25">
      <c r="C117" s="55"/>
      <c r="D117" s="148"/>
      <c r="E117" s="61"/>
      <c r="F117" s="249" t="str">
        <f t="shared" si="6"/>
        <v>-</v>
      </c>
      <c r="G117" s="1"/>
      <c r="H117" s="149"/>
      <c r="I117" s="55"/>
      <c r="J117" s="130" t="str">
        <f ca="1">IFERROR(MIN('DC Calculations'!$F$28/I117,1),"-")</f>
        <v>-</v>
      </c>
      <c r="K117" s="120"/>
      <c r="L117" s="55"/>
      <c r="M117" s="55"/>
      <c r="N117" s="55"/>
      <c r="O117" s="245" t="str">
        <f t="shared" si="4"/>
        <v>-</v>
      </c>
      <c r="P117" s="127" t="str">
        <f t="shared" si="5"/>
        <v>-</v>
      </c>
      <c r="Q117" s="104"/>
      <c r="R117" s="104"/>
    </row>
    <row r="118" spans="3:18" x14ac:dyDescent="0.25">
      <c r="C118" s="55"/>
      <c r="D118" s="148"/>
      <c r="E118" s="61"/>
      <c r="F118" s="249" t="str">
        <f t="shared" si="6"/>
        <v>-</v>
      </c>
      <c r="G118" s="1"/>
      <c r="H118" s="149"/>
      <c r="I118" s="55"/>
      <c r="J118" s="130" t="str">
        <f ca="1">IFERROR(MIN('DC Calculations'!$F$28/I118,1),"-")</f>
        <v>-</v>
      </c>
      <c r="K118" s="120"/>
      <c r="L118" s="55"/>
      <c r="M118" s="55"/>
      <c r="N118" s="55"/>
      <c r="O118" s="245" t="str">
        <f t="shared" si="4"/>
        <v>-</v>
      </c>
      <c r="P118" s="127" t="str">
        <f t="shared" si="5"/>
        <v>-</v>
      </c>
      <c r="Q118" s="104"/>
      <c r="R118" s="104"/>
    </row>
    <row r="119" spans="3:18" x14ac:dyDescent="0.25">
      <c r="C119" s="55"/>
      <c r="D119" s="148"/>
      <c r="E119" s="61"/>
      <c r="F119" s="249" t="str">
        <f t="shared" si="6"/>
        <v>-</v>
      </c>
      <c r="G119" s="1"/>
      <c r="H119" s="149"/>
      <c r="I119" s="55"/>
      <c r="J119" s="130" t="str">
        <f ca="1">IFERROR(MIN('DC Calculations'!$F$28/I119,1),"-")</f>
        <v>-</v>
      </c>
      <c r="K119" s="120"/>
      <c r="L119" s="55"/>
      <c r="M119" s="55"/>
      <c r="N119" s="55"/>
      <c r="O119" s="245" t="str">
        <f t="shared" si="4"/>
        <v>-</v>
      </c>
      <c r="P119" s="127" t="str">
        <f t="shared" si="5"/>
        <v>-</v>
      </c>
      <c r="Q119" s="104"/>
      <c r="R119" s="104"/>
    </row>
    <row r="120" spans="3:18" x14ac:dyDescent="0.25">
      <c r="C120" s="55"/>
      <c r="D120" s="148"/>
      <c r="E120" s="61"/>
      <c r="F120" s="249" t="str">
        <f t="shared" si="6"/>
        <v>-</v>
      </c>
      <c r="G120" s="1"/>
      <c r="H120" s="149"/>
      <c r="I120" s="55"/>
      <c r="J120" s="130" t="str">
        <f ca="1">IFERROR(MIN('DC Calculations'!$F$28/I120,1),"-")</f>
        <v>-</v>
      </c>
      <c r="K120" s="120"/>
      <c r="L120" s="55"/>
      <c r="M120" s="55"/>
      <c r="N120" s="55"/>
      <c r="O120" s="245" t="str">
        <f t="shared" si="4"/>
        <v>-</v>
      </c>
      <c r="P120" s="127" t="str">
        <f t="shared" si="5"/>
        <v>-</v>
      </c>
      <c r="Q120" s="104"/>
      <c r="R120" s="104"/>
    </row>
    <row r="121" spans="3:18" x14ac:dyDescent="0.25">
      <c r="C121" s="55"/>
      <c r="D121" s="148"/>
      <c r="E121" s="61"/>
      <c r="F121" s="249" t="str">
        <f t="shared" si="6"/>
        <v>-</v>
      </c>
      <c r="G121" s="1"/>
      <c r="H121" s="149"/>
      <c r="I121" s="55"/>
      <c r="J121" s="130" t="str">
        <f ca="1">IFERROR(MIN('DC Calculations'!$F$28/I121,1),"-")</f>
        <v>-</v>
      </c>
      <c r="K121" s="120"/>
      <c r="L121" s="55"/>
      <c r="M121" s="55"/>
      <c r="N121" s="55"/>
      <c r="O121" s="245" t="str">
        <f t="shared" si="4"/>
        <v>-</v>
      </c>
      <c r="P121" s="127" t="str">
        <f t="shared" si="5"/>
        <v>-</v>
      </c>
      <c r="Q121" s="104"/>
      <c r="R121" s="104"/>
    </row>
    <row r="122" spans="3:18" x14ac:dyDescent="0.25">
      <c r="C122" s="55"/>
      <c r="D122" s="148"/>
      <c r="E122" s="61"/>
      <c r="F122" s="249" t="str">
        <f t="shared" si="6"/>
        <v>-</v>
      </c>
      <c r="G122" s="1"/>
      <c r="H122" s="149"/>
      <c r="I122" s="55"/>
      <c r="J122" s="130" t="str">
        <f ca="1">IFERROR(MIN('DC Calculations'!$F$28/I122,1),"-")</f>
        <v>-</v>
      </c>
      <c r="K122" s="120"/>
      <c r="L122" s="55"/>
      <c r="M122" s="55"/>
      <c r="N122" s="55"/>
      <c r="O122" s="245" t="str">
        <f t="shared" si="4"/>
        <v>-</v>
      </c>
      <c r="P122" s="127" t="str">
        <f t="shared" si="5"/>
        <v>-</v>
      </c>
      <c r="Q122" s="104"/>
      <c r="R122" s="104"/>
    </row>
    <row r="123" spans="3:18" x14ac:dyDescent="0.25">
      <c r="C123" s="55"/>
      <c r="D123" s="148"/>
      <c r="E123" s="61"/>
      <c r="F123" s="249" t="str">
        <f t="shared" si="6"/>
        <v>-</v>
      </c>
      <c r="G123" s="1"/>
      <c r="H123" s="149"/>
      <c r="I123" s="55"/>
      <c r="J123" s="130" t="str">
        <f ca="1">IFERROR(MIN('DC Calculations'!$F$28/I123,1),"-")</f>
        <v>-</v>
      </c>
      <c r="K123" s="120"/>
      <c r="L123" s="55"/>
      <c r="M123" s="55"/>
      <c r="N123" s="55"/>
      <c r="O123" s="245" t="str">
        <f t="shared" si="4"/>
        <v>-</v>
      </c>
      <c r="P123" s="127" t="str">
        <f t="shared" si="5"/>
        <v>-</v>
      </c>
      <c r="Q123" s="104"/>
      <c r="R123" s="104"/>
    </row>
    <row r="124" spans="3:18" x14ac:dyDescent="0.25">
      <c r="C124" s="55"/>
      <c r="D124" s="148"/>
      <c r="E124" s="61"/>
      <c r="F124" s="249" t="str">
        <f t="shared" si="6"/>
        <v>-</v>
      </c>
      <c r="G124" s="1"/>
      <c r="H124" s="149"/>
      <c r="I124" s="55"/>
      <c r="J124" s="130" t="str">
        <f ca="1">IFERROR(MIN('DC Calculations'!$F$28/I124,1),"-")</f>
        <v>-</v>
      </c>
      <c r="K124" s="120"/>
      <c r="L124" s="55"/>
      <c r="M124" s="55"/>
      <c r="N124" s="55"/>
      <c r="O124" s="245" t="str">
        <f t="shared" si="4"/>
        <v>-</v>
      </c>
      <c r="P124" s="127" t="str">
        <f t="shared" si="5"/>
        <v>-</v>
      </c>
      <c r="Q124" s="104"/>
      <c r="R124" s="104"/>
    </row>
    <row r="125" spans="3:18" x14ac:dyDescent="0.25">
      <c r="C125" s="55"/>
      <c r="D125" s="148"/>
      <c r="E125" s="61"/>
      <c r="F125" s="249" t="str">
        <f t="shared" si="6"/>
        <v>-</v>
      </c>
      <c r="G125" s="1"/>
      <c r="H125" s="149"/>
      <c r="I125" s="55"/>
      <c r="J125" s="130" t="str">
        <f ca="1">IFERROR(MIN('DC Calculations'!$F$28/I125,1),"-")</f>
        <v>-</v>
      </c>
      <c r="K125" s="120"/>
      <c r="L125" s="55"/>
      <c r="M125" s="55"/>
      <c r="N125" s="55"/>
      <c r="O125" s="245" t="str">
        <f t="shared" si="4"/>
        <v>-</v>
      </c>
      <c r="P125" s="127" t="str">
        <f t="shared" si="5"/>
        <v>-</v>
      </c>
      <c r="Q125" s="104"/>
      <c r="R125" s="104"/>
    </row>
    <row r="126" spans="3:18" x14ac:dyDescent="0.25">
      <c r="C126" s="55"/>
      <c r="D126" s="148"/>
      <c r="E126" s="61"/>
      <c r="F126" s="249" t="str">
        <f t="shared" si="6"/>
        <v>-</v>
      </c>
      <c r="G126" s="1"/>
      <c r="H126" s="149"/>
      <c r="I126" s="55"/>
      <c r="J126" s="130" t="str">
        <f ca="1">IFERROR(MIN('DC Calculations'!$F$28/I126,1),"-")</f>
        <v>-</v>
      </c>
      <c r="K126" s="120"/>
      <c r="L126" s="55"/>
      <c r="M126" s="55"/>
      <c r="N126" s="55"/>
      <c r="O126" s="245" t="str">
        <f t="shared" si="4"/>
        <v>-</v>
      </c>
      <c r="P126" s="127" t="str">
        <f t="shared" si="5"/>
        <v>-</v>
      </c>
      <c r="Q126" s="104"/>
      <c r="R126" s="104"/>
    </row>
    <row r="127" spans="3:18" x14ac:dyDescent="0.25">
      <c r="C127" s="55"/>
      <c r="D127" s="148"/>
      <c r="E127" s="61"/>
      <c r="F127" s="249" t="str">
        <f t="shared" si="6"/>
        <v>-</v>
      </c>
      <c r="G127" s="1"/>
      <c r="H127" s="149"/>
      <c r="I127" s="55"/>
      <c r="J127" s="130" t="str">
        <f ca="1">IFERROR(MIN('DC Calculations'!$F$28/I127,1),"-")</f>
        <v>-</v>
      </c>
      <c r="K127" s="120"/>
      <c r="L127" s="55"/>
      <c r="M127" s="55"/>
      <c r="N127" s="55"/>
      <c r="O127" s="245" t="str">
        <f t="shared" si="4"/>
        <v>-</v>
      </c>
      <c r="P127" s="127" t="str">
        <f t="shared" si="5"/>
        <v>-</v>
      </c>
      <c r="Q127" s="104"/>
      <c r="R127" s="104"/>
    </row>
    <row r="128" spans="3:18" x14ac:dyDescent="0.25">
      <c r="C128" s="55"/>
      <c r="D128" s="148"/>
      <c r="E128" s="61"/>
      <c r="F128" s="249" t="str">
        <f t="shared" si="6"/>
        <v>-</v>
      </c>
      <c r="G128" s="1"/>
      <c r="H128" s="149"/>
      <c r="I128" s="55"/>
      <c r="J128" s="130" t="str">
        <f ca="1">IFERROR(MIN('DC Calculations'!$F$28/I128,1),"-")</f>
        <v>-</v>
      </c>
      <c r="K128" s="120"/>
      <c r="L128" s="55"/>
      <c r="M128" s="55"/>
      <c r="N128" s="55"/>
      <c r="O128" s="245" t="str">
        <f t="shared" si="4"/>
        <v>-</v>
      </c>
      <c r="P128" s="127" t="str">
        <f t="shared" si="5"/>
        <v>-</v>
      </c>
      <c r="Q128" s="104"/>
      <c r="R128" s="104"/>
    </row>
    <row r="129" spans="3:18" x14ac:dyDescent="0.25">
      <c r="C129" s="55"/>
      <c r="D129" s="148"/>
      <c r="E129" s="61"/>
      <c r="F129" s="249" t="str">
        <f t="shared" si="6"/>
        <v>-</v>
      </c>
      <c r="G129" s="1"/>
      <c r="H129" s="149"/>
      <c r="I129" s="55"/>
      <c r="J129" s="130" t="str">
        <f ca="1">IFERROR(MIN('DC Calculations'!$F$28/I129,1),"-")</f>
        <v>-</v>
      </c>
      <c r="K129" s="120"/>
      <c r="L129" s="55"/>
      <c r="M129" s="55"/>
      <c r="N129" s="55"/>
      <c r="O129" s="245" t="str">
        <f t="shared" si="4"/>
        <v>-</v>
      </c>
      <c r="P129" s="127" t="str">
        <f t="shared" si="5"/>
        <v>-</v>
      </c>
      <c r="Q129" s="104"/>
      <c r="R129" s="104"/>
    </row>
    <row r="130" spans="3:18" x14ac:dyDescent="0.25">
      <c r="C130" s="55"/>
      <c r="D130" s="148"/>
      <c r="E130" s="61"/>
      <c r="F130" s="249" t="str">
        <f t="shared" si="6"/>
        <v>-</v>
      </c>
      <c r="G130" s="1"/>
      <c r="H130" s="149"/>
      <c r="I130" s="55"/>
      <c r="J130" s="130" t="str">
        <f ca="1">IFERROR(MIN('DC Calculations'!$F$28/I130,1),"-")</f>
        <v>-</v>
      </c>
      <c r="K130" s="120"/>
      <c r="L130" s="55"/>
      <c r="M130" s="55"/>
      <c r="N130" s="55"/>
      <c r="O130" s="245" t="str">
        <f t="shared" si="4"/>
        <v>-</v>
      </c>
      <c r="P130" s="127" t="str">
        <f t="shared" si="5"/>
        <v>-</v>
      </c>
      <c r="Q130" s="104"/>
      <c r="R130" s="104"/>
    </row>
    <row r="131" spans="3:18" x14ac:dyDescent="0.25">
      <c r="C131" s="55"/>
      <c r="D131" s="148"/>
      <c r="E131" s="61"/>
      <c r="F131" s="249" t="str">
        <f t="shared" si="6"/>
        <v>-</v>
      </c>
      <c r="G131" s="1"/>
      <c r="H131" s="149"/>
      <c r="I131" s="55"/>
      <c r="J131" s="130" t="str">
        <f ca="1">IFERROR(MIN('DC Calculations'!$F$28/I131,1),"-")</f>
        <v>-</v>
      </c>
      <c r="K131" s="120"/>
      <c r="L131" s="55"/>
      <c r="M131" s="55"/>
      <c r="N131" s="55"/>
      <c r="O131" s="245" t="str">
        <f t="shared" si="4"/>
        <v>-</v>
      </c>
      <c r="P131" s="127" t="str">
        <f t="shared" si="5"/>
        <v>-</v>
      </c>
      <c r="Q131" s="104"/>
      <c r="R131" s="104"/>
    </row>
    <row r="132" spans="3:18" x14ac:dyDescent="0.25">
      <c r="C132" s="55"/>
      <c r="D132" s="148"/>
      <c r="E132" s="61"/>
      <c r="F132" s="249" t="str">
        <f t="shared" si="6"/>
        <v>-</v>
      </c>
      <c r="G132" s="1"/>
      <c r="H132" s="149"/>
      <c r="I132" s="55"/>
      <c r="J132" s="130" t="str">
        <f ca="1">IFERROR(MIN('DC Calculations'!$F$28/I132,1),"-")</f>
        <v>-</v>
      </c>
      <c r="K132" s="120"/>
      <c r="L132" s="55"/>
      <c r="M132" s="55"/>
      <c r="N132" s="55"/>
      <c r="O132" s="245" t="str">
        <f t="shared" si="4"/>
        <v>-</v>
      </c>
      <c r="P132" s="127" t="str">
        <f t="shared" si="5"/>
        <v>-</v>
      </c>
      <c r="Q132" s="104"/>
      <c r="R132" s="104"/>
    </row>
    <row r="133" spans="3:18" x14ac:dyDescent="0.25">
      <c r="C133" s="55"/>
      <c r="D133" s="148"/>
      <c r="E133" s="61"/>
      <c r="F133" s="249" t="str">
        <f t="shared" si="6"/>
        <v>-</v>
      </c>
      <c r="G133" s="1"/>
      <c r="H133" s="149"/>
      <c r="I133" s="55"/>
      <c r="J133" s="130" t="str">
        <f ca="1">IFERROR(MIN('DC Calculations'!$F$28/I133,1),"-")</f>
        <v>-</v>
      </c>
      <c r="K133" s="120"/>
      <c r="L133" s="55"/>
      <c r="M133" s="55"/>
      <c r="N133" s="55"/>
      <c r="O133" s="245" t="str">
        <f t="shared" si="4"/>
        <v>-</v>
      </c>
      <c r="P133" s="127" t="str">
        <f t="shared" si="5"/>
        <v>-</v>
      </c>
      <c r="Q133" s="104"/>
      <c r="R133" s="104"/>
    </row>
    <row r="134" spans="3:18" x14ac:dyDescent="0.25">
      <c r="C134" s="55"/>
      <c r="D134" s="148"/>
      <c r="E134" s="61"/>
      <c r="F134" s="249" t="str">
        <f t="shared" si="6"/>
        <v>-</v>
      </c>
      <c r="G134" s="1"/>
      <c r="H134" s="149"/>
      <c r="I134" s="55"/>
      <c r="J134" s="130" t="str">
        <f ca="1">IFERROR(MIN('DC Calculations'!$F$28/I134,1),"-")</f>
        <v>-</v>
      </c>
      <c r="K134" s="120"/>
      <c r="L134" s="55"/>
      <c r="M134" s="55"/>
      <c r="N134" s="55"/>
      <c r="O134" s="245" t="str">
        <f t="shared" si="4"/>
        <v>-</v>
      </c>
      <c r="P134" s="127" t="str">
        <f t="shared" si="5"/>
        <v>-</v>
      </c>
      <c r="Q134" s="104"/>
      <c r="R134" s="104"/>
    </row>
    <row r="135" spans="3:18" x14ac:dyDescent="0.25">
      <c r="C135" s="55"/>
      <c r="D135" s="148"/>
      <c r="E135" s="61"/>
      <c r="F135" s="249" t="str">
        <f t="shared" si="6"/>
        <v>-</v>
      </c>
      <c r="G135" s="1"/>
      <c r="H135" s="149"/>
      <c r="I135" s="55"/>
      <c r="J135" s="130" t="str">
        <f ca="1">IFERROR(MIN('DC Calculations'!$F$28/I135,1),"-")</f>
        <v>-</v>
      </c>
      <c r="K135" s="120"/>
      <c r="L135" s="55"/>
      <c r="M135" s="55"/>
      <c r="N135" s="55"/>
      <c r="O135" s="245" t="str">
        <f t="shared" si="4"/>
        <v>-</v>
      </c>
      <c r="P135" s="127" t="str">
        <f t="shared" si="5"/>
        <v>-</v>
      </c>
      <c r="Q135" s="104"/>
      <c r="R135" s="104"/>
    </row>
    <row r="136" spans="3:18" x14ac:dyDescent="0.25">
      <c r="C136" s="55"/>
      <c r="D136" s="148"/>
      <c r="E136" s="61"/>
      <c r="F136" s="249" t="str">
        <f t="shared" si="6"/>
        <v>-</v>
      </c>
      <c r="G136" s="1"/>
      <c r="H136" s="149"/>
      <c r="I136" s="55"/>
      <c r="J136" s="130" t="str">
        <f ca="1">IFERROR(MIN('DC Calculations'!$F$28/I136,1),"-")</f>
        <v>-</v>
      </c>
      <c r="K136" s="120"/>
      <c r="L136" s="55"/>
      <c r="M136" s="55"/>
      <c r="N136" s="55"/>
      <c r="O136" s="245" t="str">
        <f t="shared" si="4"/>
        <v>-</v>
      </c>
      <c r="P136" s="127" t="str">
        <f t="shared" si="5"/>
        <v>-</v>
      </c>
      <c r="Q136" s="104"/>
      <c r="R136" s="104"/>
    </row>
    <row r="137" spans="3:18" x14ac:dyDescent="0.25">
      <c r="C137" s="55"/>
      <c r="D137" s="148"/>
      <c r="E137" s="61"/>
      <c r="F137" s="249" t="str">
        <f t="shared" si="6"/>
        <v>-</v>
      </c>
      <c r="G137" s="1"/>
      <c r="H137" s="149"/>
      <c r="I137" s="55"/>
      <c r="J137" s="130" t="str">
        <f ca="1">IFERROR(MIN('DC Calculations'!$F$28/I137,1),"-")</f>
        <v>-</v>
      </c>
      <c r="K137" s="120"/>
      <c r="L137" s="55"/>
      <c r="M137" s="55"/>
      <c r="N137" s="55"/>
      <c r="O137" s="245" t="str">
        <f t="shared" si="4"/>
        <v>-</v>
      </c>
      <c r="P137" s="127" t="str">
        <f t="shared" si="5"/>
        <v>-</v>
      </c>
      <c r="Q137" s="104"/>
      <c r="R137" s="104"/>
    </row>
    <row r="138" spans="3:18" x14ac:dyDescent="0.25">
      <c r="C138" s="55"/>
      <c r="D138" s="148"/>
      <c r="E138" s="61"/>
      <c r="F138" s="249" t="str">
        <f t="shared" si="6"/>
        <v>-</v>
      </c>
      <c r="G138" s="1"/>
      <c r="H138" s="149"/>
      <c r="I138" s="55"/>
      <c r="J138" s="130" t="str">
        <f ca="1">IFERROR(MIN('DC Calculations'!$F$28/I138,1),"-")</f>
        <v>-</v>
      </c>
      <c r="K138" s="120"/>
      <c r="L138" s="55"/>
      <c r="M138" s="55"/>
      <c r="N138" s="55"/>
      <c r="O138" s="245" t="str">
        <f t="shared" si="4"/>
        <v>-</v>
      </c>
      <c r="P138" s="127" t="str">
        <f t="shared" si="5"/>
        <v>-</v>
      </c>
      <c r="Q138" s="104"/>
      <c r="R138" s="104"/>
    </row>
    <row r="139" spans="3:18" x14ac:dyDescent="0.25">
      <c r="C139" s="55"/>
      <c r="D139" s="148"/>
      <c r="E139" s="61"/>
      <c r="F139" s="249" t="str">
        <f t="shared" si="6"/>
        <v>-</v>
      </c>
      <c r="G139" s="1"/>
      <c r="H139" s="149"/>
      <c r="I139" s="55"/>
      <c r="J139" s="130" t="str">
        <f ca="1">IFERROR(MIN('DC Calculations'!$F$28/I139,1),"-")</f>
        <v>-</v>
      </c>
      <c r="K139" s="120"/>
      <c r="L139" s="55"/>
      <c r="M139" s="55"/>
      <c r="N139" s="55"/>
      <c r="O139" s="245" t="str">
        <f t="shared" si="4"/>
        <v>-</v>
      </c>
      <c r="P139" s="127" t="str">
        <f t="shared" si="5"/>
        <v>-</v>
      </c>
      <c r="Q139" s="104"/>
      <c r="R139" s="104"/>
    </row>
    <row r="140" spans="3:18" x14ac:dyDescent="0.25">
      <c r="C140" s="55"/>
      <c r="D140" s="148"/>
      <c r="E140" s="61"/>
      <c r="F140" s="249" t="str">
        <f t="shared" si="6"/>
        <v>-</v>
      </c>
      <c r="G140" s="1"/>
      <c r="H140" s="149"/>
      <c r="I140" s="55"/>
      <c r="J140" s="130" t="str">
        <f ca="1">IFERROR(MIN('DC Calculations'!$F$28/I140,1),"-")</f>
        <v>-</v>
      </c>
      <c r="K140" s="120"/>
      <c r="L140" s="55"/>
      <c r="M140" s="55"/>
      <c r="N140" s="55"/>
      <c r="O140" s="245" t="str">
        <f t="shared" si="4"/>
        <v>-</v>
      </c>
      <c r="P140" s="127" t="str">
        <f t="shared" si="5"/>
        <v>-</v>
      </c>
      <c r="Q140" s="104"/>
      <c r="R140" s="104"/>
    </row>
    <row r="141" spans="3:18" x14ac:dyDescent="0.25">
      <c r="C141" s="55"/>
      <c r="D141" s="148"/>
      <c r="E141" s="61"/>
      <c r="F141" s="249" t="str">
        <f t="shared" si="6"/>
        <v>-</v>
      </c>
      <c r="G141" s="1"/>
      <c r="H141" s="149"/>
      <c r="I141" s="55"/>
      <c r="J141" s="130" t="str">
        <f ca="1">IFERROR(MIN('DC Calculations'!$F$28/I141,1),"-")</f>
        <v>-</v>
      </c>
      <c r="K141" s="120"/>
      <c r="L141" s="55"/>
      <c r="M141" s="55"/>
      <c r="N141" s="55"/>
      <c r="O141" s="245" t="str">
        <f t="shared" si="4"/>
        <v>-</v>
      </c>
      <c r="P141" s="127" t="str">
        <f t="shared" si="5"/>
        <v>-</v>
      </c>
      <c r="Q141" s="104"/>
      <c r="R141" s="104"/>
    </row>
    <row r="142" spans="3:18" x14ac:dyDescent="0.25">
      <c r="C142" s="55"/>
      <c r="D142" s="148"/>
      <c r="E142" s="61"/>
      <c r="F142" s="249" t="str">
        <f t="shared" si="6"/>
        <v>-</v>
      </c>
      <c r="G142" s="1"/>
      <c r="H142" s="149"/>
      <c r="I142" s="55"/>
      <c r="J142" s="130" t="str">
        <f ca="1">IFERROR(MIN('DC Calculations'!$F$28/I142,1),"-")</f>
        <v>-</v>
      </c>
      <c r="K142" s="120"/>
      <c r="L142" s="55"/>
      <c r="M142" s="55"/>
      <c r="N142" s="55"/>
      <c r="O142" s="245" t="str">
        <f t="shared" si="4"/>
        <v>-</v>
      </c>
      <c r="P142" s="127" t="str">
        <f t="shared" si="5"/>
        <v>-</v>
      </c>
      <c r="Q142" s="104"/>
      <c r="R142" s="104"/>
    </row>
    <row r="143" spans="3:18" x14ac:dyDescent="0.25">
      <c r="C143" s="55"/>
      <c r="D143" s="148"/>
      <c r="E143" s="61"/>
      <c r="F143" s="249" t="str">
        <f t="shared" si="6"/>
        <v>-</v>
      </c>
      <c r="G143" s="1"/>
      <c r="H143" s="149"/>
      <c r="I143" s="55"/>
      <c r="J143" s="130" t="str">
        <f ca="1">IFERROR(MIN('DC Calculations'!$F$28/I143,1),"-")</f>
        <v>-</v>
      </c>
      <c r="K143" s="120"/>
      <c r="L143" s="55"/>
      <c r="M143" s="55"/>
      <c r="N143" s="55"/>
      <c r="O143" s="245" t="str">
        <f t="shared" si="4"/>
        <v>-</v>
      </c>
      <c r="P143" s="127" t="str">
        <f t="shared" si="5"/>
        <v>-</v>
      </c>
      <c r="Q143" s="104"/>
      <c r="R143" s="104"/>
    </row>
    <row r="144" spans="3:18" x14ac:dyDescent="0.25">
      <c r="C144" s="55"/>
      <c r="D144" s="148"/>
      <c r="E144" s="61"/>
      <c r="F144" s="249" t="str">
        <f t="shared" si="6"/>
        <v>-</v>
      </c>
      <c r="G144" s="1"/>
      <c r="H144" s="149"/>
      <c r="I144" s="55"/>
      <c r="J144" s="130" t="str">
        <f ca="1">IFERROR(MIN('DC Calculations'!$F$28/I144,1),"-")</f>
        <v>-</v>
      </c>
      <c r="K144" s="120"/>
      <c r="L144" s="55"/>
      <c r="M144" s="55"/>
      <c r="N144" s="55"/>
      <c r="O144" s="245" t="str">
        <f t="shared" si="4"/>
        <v>-</v>
      </c>
      <c r="P144" s="127" t="str">
        <f t="shared" si="5"/>
        <v>-</v>
      </c>
      <c r="Q144" s="104"/>
      <c r="R144" s="104"/>
    </row>
    <row r="145" spans="3:18" x14ac:dyDescent="0.25">
      <c r="C145" s="55"/>
      <c r="D145" s="148"/>
      <c r="E145" s="61"/>
      <c r="F145" s="249" t="str">
        <f t="shared" si="6"/>
        <v>-</v>
      </c>
      <c r="G145" s="1"/>
      <c r="H145" s="149"/>
      <c r="I145" s="55"/>
      <c r="J145" s="130" t="str">
        <f ca="1">IFERROR(MIN('DC Calculations'!$F$28/I145,1),"-")</f>
        <v>-</v>
      </c>
      <c r="K145" s="120"/>
      <c r="L145" s="55"/>
      <c r="M145" s="55"/>
      <c r="N145" s="55"/>
      <c r="O145" s="245" t="str">
        <f t="shared" si="4"/>
        <v>-</v>
      </c>
      <c r="P145" s="127" t="str">
        <f t="shared" si="5"/>
        <v>-</v>
      </c>
      <c r="Q145" s="104"/>
      <c r="R145" s="104"/>
    </row>
    <row r="146" spans="3:18" x14ac:dyDescent="0.25">
      <c r="C146" s="55"/>
      <c r="D146" s="148"/>
      <c r="E146" s="61"/>
      <c r="F146" s="249" t="str">
        <f t="shared" si="6"/>
        <v>-</v>
      </c>
      <c r="G146" s="1"/>
      <c r="H146" s="149"/>
      <c r="I146" s="55"/>
      <c r="J146" s="130" t="str">
        <f ca="1">IFERROR(MIN('DC Calculations'!$F$28/I146,1),"-")</f>
        <v>-</v>
      </c>
      <c r="K146" s="120"/>
      <c r="L146" s="55"/>
      <c r="M146" s="55"/>
      <c r="N146" s="55"/>
      <c r="O146" s="245" t="str">
        <f t="shared" ref="O146:O209" si="7">IF(N146="","-",L146*N146)</f>
        <v>-</v>
      </c>
      <c r="P146" s="127" t="str">
        <f t="shared" ref="P146:P209" si="8">IF(O146="-","-",IF(E146&lt;$E$11,0,O146*J146))</f>
        <v>-</v>
      </c>
      <c r="Q146" s="104"/>
      <c r="R146" s="104"/>
    </row>
    <row r="147" spans="3:18" x14ac:dyDescent="0.25">
      <c r="C147" s="55"/>
      <c r="D147" s="148"/>
      <c r="E147" s="61"/>
      <c r="F147" s="249" t="str">
        <f t="shared" si="6"/>
        <v>-</v>
      </c>
      <c r="G147" s="1"/>
      <c r="H147" s="149"/>
      <c r="I147" s="55"/>
      <c r="J147" s="130" t="str">
        <f ca="1">IFERROR(MIN('DC Calculations'!$F$28/I147,1),"-")</f>
        <v>-</v>
      </c>
      <c r="K147" s="120"/>
      <c r="L147" s="55"/>
      <c r="M147" s="55"/>
      <c r="N147" s="55"/>
      <c r="O147" s="245" t="str">
        <f t="shared" si="7"/>
        <v>-</v>
      </c>
      <c r="P147" s="127" t="str">
        <f t="shared" si="8"/>
        <v>-</v>
      </c>
      <c r="Q147" s="104"/>
      <c r="R147" s="104"/>
    </row>
    <row r="148" spans="3:18" x14ac:dyDescent="0.25">
      <c r="C148" s="55"/>
      <c r="D148" s="148"/>
      <c r="E148" s="61"/>
      <c r="F148" s="249" t="str">
        <f t="shared" si="6"/>
        <v>-</v>
      </c>
      <c r="G148" s="1"/>
      <c r="H148" s="149"/>
      <c r="I148" s="55"/>
      <c r="J148" s="130" t="str">
        <f ca="1">IFERROR(MIN('DC Calculations'!$F$28/I148,1),"-")</f>
        <v>-</v>
      </c>
      <c r="K148" s="120"/>
      <c r="L148" s="55"/>
      <c r="M148" s="55"/>
      <c r="N148" s="55"/>
      <c r="O148" s="245" t="str">
        <f t="shared" si="7"/>
        <v>-</v>
      </c>
      <c r="P148" s="127" t="str">
        <f t="shared" si="8"/>
        <v>-</v>
      </c>
      <c r="Q148" s="104"/>
      <c r="R148" s="104"/>
    </row>
    <row r="149" spans="3:18" x14ac:dyDescent="0.25">
      <c r="C149" s="55"/>
      <c r="D149" s="148"/>
      <c r="E149" s="61"/>
      <c r="F149" s="249" t="str">
        <f t="shared" si="6"/>
        <v>-</v>
      </c>
      <c r="G149" s="1"/>
      <c r="H149" s="149"/>
      <c r="I149" s="55"/>
      <c r="J149" s="130" t="str">
        <f ca="1">IFERROR(MIN('DC Calculations'!$F$28/I149,1),"-")</f>
        <v>-</v>
      </c>
      <c r="K149" s="120"/>
      <c r="L149" s="55"/>
      <c r="M149" s="55"/>
      <c r="N149" s="55"/>
      <c r="O149" s="245" t="str">
        <f t="shared" si="7"/>
        <v>-</v>
      </c>
      <c r="P149" s="127" t="str">
        <f t="shared" si="8"/>
        <v>-</v>
      </c>
      <c r="Q149" s="104"/>
      <c r="R149" s="104"/>
    </row>
    <row r="150" spans="3:18" x14ac:dyDescent="0.25">
      <c r="C150" s="55"/>
      <c r="D150" s="148"/>
      <c r="E150" s="61"/>
      <c r="F150" s="249" t="str">
        <f t="shared" si="6"/>
        <v>-</v>
      </c>
      <c r="G150" s="1"/>
      <c r="H150" s="149"/>
      <c r="I150" s="55"/>
      <c r="J150" s="130" t="str">
        <f ca="1">IFERROR(MIN('DC Calculations'!$F$28/I150,1),"-")</f>
        <v>-</v>
      </c>
      <c r="K150" s="120"/>
      <c r="L150" s="55"/>
      <c r="M150" s="55"/>
      <c r="N150" s="55"/>
      <c r="O150" s="245" t="str">
        <f t="shared" si="7"/>
        <v>-</v>
      </c>
      <c r="P150" s="127" t="str">
        <f t="shared" si="8"/>
        <v>-</v>
      </c>
      <c r="Q150" s="104"/>
      <c r="R150" s="104"/>
    </row>
    <row r="151" spans="3:18" x14ac:dyDescent="0.25">
      <c r="C151" s="55"/>
      <c r="D151" s="148"/>
      <c r="E151" s="61"/>
      <c r="F151" s="249" t="str">
        <f t="shared" si="6"/>
        <v>-</v>
      </c>
      <c r="G151" s="1"/>
      <c r="H151" s="149"/>
      <c r="I151" s="55"/>
      <c r="J151" s="130" t="str">
        <f ca="1">IFERROR(MIN('DC Calculations'!$F$28/I151,1),"-")</f>
        <v>-</v>
      </c>
      <c r="K151" s="120"/>
      <c r="L151" s="55"/>
      <c r="M151" s="55"/>
      <c r="N151" s="55"/>
      <c r="O151" s="245" t="str">
        <f t="shared" si="7"/>
        <v>-</v>
      </c>
      <c r="P151" s="127" t="str">
        <f t="shared" si="8"/>
        <v>-</v>
      </c>
      <c r="Q151" s="104"/>
      <c r="R151" s="104"/>
    </row>
    <row r="152" spans="3:18" x14ac:dyDescent="0.25">
      <c r="C152" s="55"/>
      <c r="D152" s="148"/>
      <c r="E152" s="61"/>
      <c r="F152" s="249" t="str">
        <f t="shared" si="6"/>
        <v>-</v>
      </c>
      <c r="G152" s="1"/>
      <c r="H152" s="149"/>
      <c r="I152" s="55"/>
      <c r="J152" s="130" t="str">
        <f ca="1">IFERROR(MIN('DC Calculations'!$F$28/I152,1),"-")</f>
        <v>-</v>
      </c>
      <c r="K152" s="120"/>
      <c r="L152" s="55"/>
      <c r="M152" s="55"/>
      <c r="N152" s="55"/>
      <c r="O152" s="245" t="str">
        <f t="shared" si="7"/>
        <v>-</v>
      </c>
      <c r="P152" s="127" t="str">
        <f t="shared" si="8"/>
        <v>-</v>
      </c>
      <c r="Q152" s="104"/>
      <c r="R152" s="104"/>
    </row>
    <row r="153" spans="3:18" x14ac:dyDescent="0.25">
      <c r="C153" s="55"/>
      <c r="D153" s="148"/>
      <c r="E153" s="61"/>
      <c r="F153" s="249" t="str">
        <f t="shared" si="6"/>
        <v>-</v>
      </c>
      <c r="G153" s="1"/>
      <c r="H153" s="149"/>
      <c r="I153" s="55"/>
      <c r="J153" s="130" t="str">
        <f ca="1">IFERROR(MIN('DC Calculations'!$F$28/I153,1),"-")</f>
        <v>-</v>
      </c>
      <c r="K153" s="120"/>
      <c r="L153" s="55"/>
      <c r="M153" s="55"/>
      <c r="N153" s="55"/>
      <c r="O153" s="245" t="str">
        <f t="shared" si="7"/>
        <v>-</v>
      </c>
      <c r="P153" s="127" t="str">
        <f t="shared" si="8"/>
        <v>-</v>
      </c>
      <c r="Q153" s="104"/>
      <c r="R153" s="104"/>
    </row>
    <row r="154" spans="3:18" x14ac:dyDescent="0.25">
      <c r="C154" s="55"/>
      <c r="D154" s="148"/>
      <c r="E154" s="61"/>
      <c r="F154" s="249" t="str">
        <f t="shared" si="6"/>
        <v>-</v>
      </c>
      <c r="G154" s="1"/>
      <c r="H154" s="149"/>
      <c r="I154" s="55"/>
      <c r="J154" s="130" t="str">
        <f ca="1">IFERROR(MIN('DC Calculations'!$F$28/I154,1),"-")</f>
        <v>-</v>
      </c>
      <c r="K154" s="120"/>
      <c r="L154" s="55"/>
      <c r="M154" s="55"/>
      <c r="N154" s="55"/>
      <c r="O154" s="245" t="str">
        <f t="shared" si="7"/>
        <v>-</v>
      </c>
      <c r="P154" s="127" t="str">
        <f t="shared" si="8"/>
        <v>-</v>
      </c>
      <c r="Q154" s="104"/>
      <c r="R154" s="104"/>
    </row>
    <row r="155" spans="3:18" x14ac:dyDescent="0.25">
      <c r="C155" s="55"/>
      <c r="D155" s="148"/>
      <c r="E155" s="61"/>
      <c r="F155" s="249" t="str">
        <f t="shared" si="6"/>
        <v>-</v>
      </c>
      <c r="G155" s="1"/>
      <c r="H155" s="149"/>
      <c r="I155" s="55"/>
      <c r="J155" s="130" t="str">
        <f ca="1">IFERROR(MIN('DC Calculations'!$F$28/I155,1),"-")</f>
        <v>-</v>
      </c>
      <c r="K155" s="120"/>
      <c r="L155" s="55"/>
      <c r="M155" s="55"/>
      <c r="N155" s="55"/>
      <c r="O155" s="245" t="str">
        <f t="shared" si="7"/>
        <v>-</v>
      </c>
      <c r="P155" s="127" t="str">
        <f t="shared" si="8"/>
        <v>-</v>
      </c>
      <c r="Q155" s="104"/>
      <c r="R155" s="104"/>
    </row>
    <row r="156" spans="3:18" x14ac:dyDescent="0.25">
      <c r="C156" s="55"/>
      <c r="D156" s="148"/>
      <c r="E156" s="61"/>
      <c r="F156" s="249" t="str">
        <f t="shared" si="6"/>
        <v>-</v>
      </c>
      <c r="G156" s="1"/>
      <c r="H156" s="149"/>
      <c r="I156" s="55"/>
      <c r="J156" s="130" t="str">
        <f ca="1">IFERROR(MIN('DC Calculations'!$F$28/I156,1),"-")</f>
        <v>-</v>
      </c>
      <c r="K156" s="120"/>
      <c r="L156" s="55"/>
      <c r="M156" s="55"/>
      <c r="N156" s="55"/>
      <c r="O156" s="245" t="str">
        <f t="shared" si="7"/>
        <v>-</v>
      </c>
      <c r="P156" s="127" t="str">
        <f t="shared" si="8"/>
        <v>-</v>
      </c>
      <c r="Q156" s="104"/>
      <c r="R156" s="104"/>
    </row>
    <row r="157" spans="3:18" x14ac:dyDescent="0.25">
      <c r="C157" s="55"/>
      <c r="D157" s="148"/>
      <c r="E157" s="61"/>
      <c r="F157" s="249" t="str">
        <f t="shared" si="6"/>
        <v>-</v>
      </c>
      <c r="G157" s="1"/>
      <c r="H157" s="149"/>
      <c r="I157" s="55"/>
      <c r="J157" s="130" t="str">
        <f ca="1">IFERROR(MIN('DC Calculations'!$F$28/I157,1),"-")</f>
        <v>-</v>
      </c>
      <c r="K157" s="120"/>
      <c r="L157" s="55"/>
      <c r="M157" s="55"/>
      <c r="N157" s="55"/>
      <c r="O157" s="245" t="str">
        <f t="shared" si="7"/>
        <v>-</v>
      </c>
      <c r="P157" s="127" t="str">
        <f t="shared" si="8"/>
        <v>-</v>
      </c>
      <c r="Q157" s="104"/>
      <c r="R157" s="104"/>
    </row>
    <row r="158" spans="3:18" x14ac:dyDescent="0.25">
      <c r="C158" s="55"/>
      <c r="D158" s="148"/>
      <c r="E158" s="61"/>
      <c r="F158" s="249" t="str">
        <f t="shared" si="6"/>
        <v>-</v>
      </c>
      <c r="G158" s="1"/>
      <c r="H158" s="149"/>
      <c r="I158" s="55"/>
      <c r="J158" s="130" t="str">
        <f ca="1">IFERROR(MIN('DC Calculations'!$F$28/I158,1),"-")</f>
        <v>-</v>
      </c>
      <c r="K158" s="120"/>
      <c r="L158" s="55"/>
      <c r="M158" s="55"/>
      <c r="N158" s="55"/>
      <c r="O158" s="245" t="str">
        <f t="shared" si="7"/>
        <v>-</v>
      </c>
      <c r="P158" s="127" t="str">
        <f t="shared" si="8"/>
        <v>-</v>
      </c>
      <c r="Q158" s="104"/>
      <c r="R158" s="104"/>
    </row>
    <row r="159" spans="3:18" x14ac:dyDescent="0.25">
      <c r="C159" s="55"/>
      <c r="D159" s="148"/>
      <c r="E159" s="61"/>
      <c r="F159" s="249" t="str">
        <f t="shared" si="6"/>
        <v>-</v>
      </c>
      <c r="G159" s="1"/>
      <c r="H159" s="149"/>
      <c r="I159" s="55"/>
      <c r="J159" s="130" t="str">
        <f ca="1">IFERROR(MIN('DC Calculations'!$F$28/I159,1),"-")</f>
        <v>-</v>
      </c>
      <c r="K159" s="120"/>
      <c r="L159" s="55"/>
      <c r="M159" s="55"/>
      <c r="N159" s="55"/>
      <c r="O159" s="245" t="str">
        <f t="shared" si="7"/>
        <v>-</v>
      </c>
      <c r="P159" s="127" t="str">
        <f t="shared" si="8"/>
        <v>-</v>
      </c>
      <c r="Q159" s="104"/>
      <c r="R159" s="104"/>
    </row>
    <row r="160" spans="3:18" x14ac:dyDescent="0.25">
      <c r="C160" s="55"/>
      <c r="D160" s="148"/>
      <c r="E160" s="61"/>
      <c r="F160" s="249" t="str">
        <f t="shared" si="6"/>
        <v>-</v>
      </c>
      <c r="G160" s="1"/>
      <c r="H160" s="149"/>
      <c r="I160" s="55"/>
      <c r="J160" s="130" t="str">
        <f ca="1">IFERROR(MIN('DC Calculations'!$F$28/I160,1),"-")</f>
        <v>-</v>
      </c>
      <c r="K160" s="120"/>
      <c r="L160" s="55"/>
      <c r="M160" s="55"/>
      <c r="N160" s="55"/>
      <c r="O160" s="245" t="str">
        <f t="shared" si="7"/>
        <v>-</v>
      </c>
      <c r="P160" s="127" t="str">
        <f t="shared" si="8"/>
        <v>-</v>
      </c>
      <c r="Q160" s="104"/>
      <c r="R160" s="104"/>
    </row>
    <row r="161" spans="3:18" x14ac:dyDescent="0.25">
      <c r="C161" s="55"/>
      <c r="D161" s="148"/>
      <c r="E161" s="61"/>
      <c r="F161" s="249" t="str">
        <f t="shared" si="6"/>
        <v>-</v>
      </c>
      <c r="G161" s="1"/>
      <c r="H161" s="149"/>
      <c r="I161" s="55"/>
      <c r="J161" s="130" t="str">
        <f ca="1">IFERROR(MIN('DC Calculations'!$F$28/I161,1),"-")</f>
        <v>-</v>
      </c>
      <c r="K161" s="120"/>
      <c r="L161" s="55"/>
      <c r="M161" s="55"/>
      <c r="N161" s="55"/>
      <c r="O161" s="245" t="str">
        <f t="shared" si="7"/>
        <v>-</v>
      </c>
      <c r="P161" s="127" t="str">
        <f t="shared" si="8"/>
        <v>-</v>
      </c>
      <c r="Q161" s="104"/>
      <c r="R161" s="104"/>
    </row>
    <row r="162" spans="3:18" x14ac:dyDescent="0.25">
      <c r="C162" s="55"/>
      <c r="D162" s="148"/>
      <c r="E162" s="61"/>
      <c r="F162" s="249" t="str">
        <f t="shared" si="6"/>
        <v>-</v>
      </c>
      <c r="G162" s="1"/>
      <c r="H162" s="149"/>
      <c r="I162" s="55"/>
      <c r="J162" s="130" t="str">
        <f ca="1">IFERROR(MIN('DC Calculations'!$F$28/I162,1),"-")</f>
        <v>-</v>
      </c>
      <c r="K162" s="120"/>
      <c r="L162" s="55"/>
      <c r="M162" s="55"/>
      <c r="N162" s="55"/>
      <c r="O162" s="245" t="str">
        <f t="shared" si="7"/>
        <v>-</v>
      </c>
      <c r="P162" s="127" t="str">
        <f t="shared" si="8"/>
        <v>-</v>
      </c>
      <c r="Q162" s="104"/>
      <c r="R162" s="104"/>
    </row>
    <row r="163" spans="3:18" x14ac:dyDescent="0.25">
      <c r="C163" s="55"/>
      <c r="D163" s="148"/>
      <c r="E163" s="61"/>
      <c r="F163" s="249" t="str">
        <f t="shared" si="6"/>
        <v>-</v>
      </c>
      <c r="G163" s="1"/>
      <c r="H163" s="149"/>
      <c r="I163" s="55"/>
      <c r="J163" s="130" t="str">
        <f ca="1">IFERROR(MIN('DC Calculations'!$F$28/I163,1),"-")</f>
        <v>-</v>
      </c>
      <c r="K163" s="120"/>
      <c r="L163" s="55"/>
      <c r="M163" s="55"/>
      <c r="N163" s="55"/>
      <c r="O163" s="245" t="str">
        <f t="shared" si="7"/>
        <v>-</v>
      </c>
      <c r="P163" s="127" t="str">
        <f t="shared" si="8"/>
        <v>-</v>
      </c>
      <c r="Q163" s="104"/>
      <c r="R163" s="104"/>
    </row>
    <row r="164" spans="3:18" x14ac:dyDescent="0.25">
      <c r="C164" s="55"/>
      <c r="D164" s="148"/>
      <c r="E164" s="61"/>
      <c r="F164" s="249" t="str">
        <f t="shared" si="6"/>
        <v>-</v>
      </c>
      <c r="G164" s="1"/>
      <c r="H164" s="149"/>
      <c r="I164" s="55"/>
      <c r="J164" s="130" t="str">
        <f ca="1">IFERROR(MIN('DC Calculations'!$F$28/I164,1),"-")</f>
        <v>-</v>
      </c>
      <c r="K164" s="120"/>
      <c r="L164" s="55"/>
      <c r="M164" s="55"/>
      <c r="N164" s="55"/>
      <c r="O164" s="245" t="str">
        <f t="shared" si="7"/>
        <v>-</v>
      </c>
      <c r="P164" s="127" t="str">
        <f t="shared" si="8"/>
        <v>-</v>
      </c>
      <c r="Q164" s="104"/>
      <c r="R164" s="104"/>
    </row>
    <row r="165" spans="3:18" x14ac:dyDescent="0.25">
      <c r="C165" s="55"/>
      <c r="D165" s="148"/>
      <c r="E165" s="61"/>
      <c r="F165" s="249" t="str">
        <f t="shared" si="6"/>
        <v>-</v>
      </c>
      <c r="G165" s="1"/>
      <c r="H165" s="149"/>
      <c r="I165" s="55"/>
      <c r="J165" s="130" t="str">
        <f ca="1">IFERROR(MIN('DC Calculations'!$F$28/I165,1),"-")</f>
        <v>-</v>
      </c>
      <c r="K165" s="120"/>
      <c r="L165" s="55"/>
      <c r="M165" s="55"/>
      <c r="N165" s="55"/>
      <c r="O165" s="245" t="str">
        <f t="shared" si="7"/>
        <v>-</v>
      </c>
      <c r="P165" s="127" t="str">
        <f t="shared" si="8"/>
        <v>-</v>
      </c>
      <c r="Q165" s="104"/>
      <c r="R165" s="104"/>
    </row>
    <row r="166" spans="3:18" x14ac:dyDescent="0.25">
      <c r="C166" s="55"/>
      <c r="D166" s="148"/>
      <c r="E166" s="61"/>
      <c r="F166" s="249" t="str">
        <f t="shared" si="6"/>
        <v>-</v>
      </c>
      <c r="G166" s="1"/>
      <c r="H166" s="149"/>
      <c r="I166" s="55"/>
      <c r="J166" s="130" t="str">
        <f ca="1">IFERROR(MIN('DC Calculations'!$F$28/I166,1),"-")</f>
        <v>-</v>
      </c>
      <c r="K166" s="120"/>
      <c r="L166" s="55"/>
      <c r="M166" s="55"/>
      <c r="N166" s="55"/>
      <c r="O166" s="245" t="str">
        <f t="shared" si="7"/>
        <v>-</v>
      </c>
      <c r="P166" s="127" t="str">
        <f t="shared" si="8"/>
        <v>-</v>
      </c>
      <c r="Q166" s="104"/>
      <c r="R166" s="104"/>
    </row>
    <row r="167" spans="3:18" x14ac:dyDescent="0.25">
      <c r="C167" s="55"/>
      <c r="D167" s="148"/>
      <c r="E167" s="61"/>
      <c r="F167" s="249" t="str">
        <f t="shared" si="6"/>
        <v>-</v>
      </c>
      <c r="G167" s="1"/>
      <c r="H167" s="149"/>
      <c r="I167" s="55"/>
      <c r="J167" s="130" t="str">
        <f ca="1">IFERROR(MIN('DC Calculations'!$F$28/I167,1),"-")</f>
        <v>-</v>
      </c>
      <c r="K167" s="120"/>
      <c r="L167" s="55"/>
      <c r="M167" s="55"/>
      <c r="N167" s="55"/>
      <c r="O167" s="245" t="str">
        <f t="shared" si="7"/>
        <v>-</v>
      </c>
      <c r="P167" s="127" t="str">
        <f t="shared" si="8"/>
        <v>-</v>
      </c>
      <c r="Q167" s="104"/>
      <c r="R167" s="104"/>
    </row>
    <row r="168" spans="3:18" x14ac:dyDescent="0.25">
      <c r="C168" s="55"/>
      <c r="D168" s="148"/>
      <c r="E168" s="61"/>
      <c r="F168" s="249" t="str">
        <f t="shared" si="6"/>
        <v>-</v>
      </c>
      <c r="G168" s="1"/>
      <c r="H168" s="149"/>
      <c r="I168" s="55"/>
      <c r="J168" s="130" t="str">
        <f ca="1">IFERROR(MIN('DC Calculations'!$F$28/I168,1),"-")</f>
        <v>-</v>
      </c>
      <c r="K168" s="120"/>
      <c r="L168" s="55"/>
      <c r="M168" s="55"/>
      <c r="N168" s="55"/>
      <c r="O168" s="245" t="str">
        <f t="shared" si="7"/>
        <v>-</v>
      </c>
      <c r="P168" s="127" t="str">
        <f t="shared" si="8"/>
        <v>-</v>
      </c>
      <c r="Q168" s="104"/>
      <c r="R168" s="104"/>
    </row>
    <row r="169" spans="3:18" x14ac:dyDescent="0.25">
      <c r="C169" s="55"/>
      <c r="D169" s="148"/>
      <c r="E169" s="61"/>
      <c r="F169" s="249" t="str">
        <f t="shared" si="6"/>
        <v>-</v>
      </c>
      <c r="G169" s="1"/>
      <c r="H169" s="149"/>
      <c r="I169" s="55"/>
      <c r="J169" s="130" t="str">
        <f ca="1">IFERROR(MIN('DC Calculations'!$F$28/I169,1),"-")</f>
        <v>-</v>
      </c>
      <c r="K169" s="120"/>
      <c r="L169" s="55"/>
      <c r="M169" s="55"/>
      <c r="N169" s="55"/>
      <c r="O169" s="245" t="str">
        <f t="shared" si="7"/>
        <v>-</v>
      </c>
      <c r="P169" s="127" t="str">
        <f t="shared" si="8"/>
        <v>-</v>
      </c>
      <c r="Q169" s="104"/>
      <c r="R169" s="104"/>
    </row>
    <row r="170" spans="3:18" x14ac:dyDescent="0.25">
      <c r="C170" s="55"/>
      <c r="D170" s="148"/>
      <c r="E170" s="61"/>
      <c r="F170" s="249" t="str">
        <f t="shared" si="6"/>
        <v>-</v>
      </c>
      <c r="G170" s="1"/>
      <c r="H170" s="149"/>
      <c r="I170" s="55"/>
      <c r="J170" s="130" t="str">
        <f ca="1">IFERROR(MIN('DC Calculations'!$F$28/I170,1),"-")</f>
        <v>-</v>
      </c>
      <c r="K170" s="120"/>
      <c r="L170" s="55"/>
      <c r="M170" s="55"/>
      <c r="N170" s="55"/>
      <c r="O170" s="245" t="str">
        <f t="shared" si="7"/>
        <v>-</v>
      </c>
      <c r="P170" s="127" t="str">
        <f t="shared" si="8"/>
        <v>-</v>
      </c>
      <c r="Q170" s="104"/>
      <c r="R170" s="104"/>
    </row>
    <row r="171" spans="3:18" x14ac:dyDescent="0.25">
      <c r="C171" s="55"/>
      <c r="D171" s="148"/>
      <c r="E171" s="61"/>
      <c r="F171" s="249" t="str">
        <f t="shared" si="6"/>
        <v>-</v>
      </c>
      <c r="G171" s="1"/>
      <c r="H171" s="149"/>
      <c r="I171" s="55"/>
      <c r="J171" s="130" t="str">
        <f ca="1">IFERROR(MIN('DC Calculations'!$F$28/I171,1),"-")</f>
        <v>-</v>
      </c>
      <c r="K171" s="120"/>
      <c r="L171" s="55"/>
      <c r="M171" s="55"/>
      <c r="N171" s="55"/>
      <c r="O171" s="245" t="str">
        <f t="shared" si="7"/>
        <v>-</v>
      </c>
      <c r="P171" s="127" t="str">
        <f t="shared" si="8"/>
        <v>-</v>
      </c>
      <c r="Q171" s="104"/>
      <c r="R171" s="104"/>
    </row>
    <row r="172" spans="3:18" x14ac:dyDescent="0.25">
      <c r="C172" s="55"/>
      <c r="D172" s="148"/>
      <c r="E172" s="61"/>
      <c r="F172" s="249" t="str">
        <f t="shared" si="6"/>
        <v>-</v>
      </c>
      <c r="G172" s="1"/>
      <c r="H172" s="149"/>
      <c r="I172" s="55"/>
      <c r="J172" s="130" t="str">
        <f ca="1">IFERROR(MIN('DC Calculations'!$F$28/I172,1),"-")</f>
        <v>-</v>
      </c>
      <c r="K172" s="120"/>
      <c r="L172" s="55"/>
      <c r="M172" s="55"/>
      <c r="N172" s="55"/>
      <c r="O172" s="245" t="str">
        <f t="shared" si="7"/>
        <v>-</v>
      </c>
      <c r="P172" s="127" t="str">
        <f t="shared" si="8"/>
        <v>-</v>
      </c>
      <c r="Q172" s="104"/>
      <c r="R172" s="104"/>
    </row>
    <row r="173" spans="3:18" x14ac:dyDescent="0.25">
      <c r="C173" s="55"/>
      <c r="D173" s="148"/>
      <c r="E173" s="61"/>
      <c r="F173" s="249" t="str">
        <f t="shared" si="6"/>
        <v>-</v>
      </c>
      <c r="G173" s="1"/>
      <c r="H173" s="149"/>
      <c r="I173" s="55"/>
      <c r="J173" s="130" t="str">
        <f ca="1">IFERROR(MIN('DC Calculations'!$F$28/I173,1),"-")</f>
        <v>-</v>
      </c>
      <c r="K173" s="120"/>
      <c r="L173" s="55"/>
      <c r="M173" s="55"/>
      <c r="N173" s="55"/>
      <c r="O173" s="245" t="str">
        <f t="shared" si="7"/>
        <v>-</v>
      </c>
      <c r="P173" s="127" t="str">
        <f t="shared" si="8"/>
        <v>-</v>
      </c>
      <c r="Q173" s="104"/>
      <c r="R173" s="104"/>
    </row>
    <row r="174" spans="3:18" x14ac:dyDescent="0.25">
      <c r="C174" s="55"/>
      <c r="D174" s="148"/>
      <c r="E174" s="61"/>
      <c r="F174" s="249" t="str">
        <f t="shared" si="6"/>
        <v>-</v>
      </c>
      <c r="G174" s="1"/>
      <c r="H174" s="149"/>
      <c r="I174" s="55"/>
      <c r="J174" s="130" t="str">
        <f ca="1">IFERROR(MIN('DC Calculations'!$F$28/I174,1),"-")</f>
        <v>-</v>
      </c>
      <c r="K174" s="120"/>
      <c r="L174" s="55"/>
      <c r="M174" s="55"/>
      <c r="N174" s="55"/>
      <c r="O174" s="245" t="str">
        <f t="shared" si="7"/>
        <v>-</v>
      </c>
      <c r="P174" s="127" t="str">
        <f t="shared" si="8"/>
        <v>-</v>
      </c>
      <c r="Q174" s="104"/>
      <c r="R174" s="104"/>
    </row>
    <row r="175" spans="3:18" x14ac:dyDescent="0.25">
      <c r="C175" s="55"/>
      <c r="D175" s="148"/>
      <c r="E175" s="61"/>
      <c r="F175" s="249" t="str">
        <f t="shared" si="6"/>
        <v>-</v>
      </c>
      <c r="G175" s="1"/>
      <c r="H175" s="149"/>
      <c r="I175" s="55"/>
      <c r="J175" s="130" t="str">
        <f ca="1">IFERROR(MIN('DC Calculations'!$F$28/I175,1),"-")</f>
        <v>-</v>
      </c>
      <c r="K175" s="120"/>
      <c r="L175" s="55"/>
      <c r="M175" s="55"/>
      <c r="N175" s="55"/>
      <c r="O175" s="245" t="str">
        <f t="shared" si="7"/>
        <v>-</v>
      </c>
      <c r="P175" s="127" t="str">
        <f t="shared" si="8"/>
        <v>-</v>
      </c>
      <c r="Q175" s="104"/>
      <c r="R175" s="104"/>
    </row>
    <row r="176" spans="3:18" x14ac:dyDescent="0.25">
      <c r="C176" s="55"/>
      <c r="D176" s="148"/>
      <c r="E176" s="61"/>
      <c r="F176" s="249" t="str">
        <f t="shared" si="6"/>
        <v>-</v>
      </c>
      <c r="G176" s="1"/>
      <c r="H176" s="149"/>
      <c r="I176" s="55"/>
      <c r="J176" s="130" t="str">
        <f ca="1">IFERROR(MIN('DC Calculations'!$F$28/I176,1),"-")</f>
        <v>-</v>
      </c>
      <c r="K176" s="120"/>
      <c r="L176" s="55"/>
      <c r="M176" s="55"/>
      <c r="N176" s="55"/>
      <c r="O176" s="245" t="str">
        <f t="shared" si="7"/>
        <v>-</v>
      </c>
      <c r="P176" s="127" t="str">
        <f t="shared" si="8"/>
        <v>-</v>
      </c>
      <c r="Q176" s="104"/>
      <c r="R176" s="104"/>
    </row>
    <row r="177" spans="3:18" x14ac:dyDescent="0.25">
      <c r="C177" s="55"/>
      <c r="D177" s="148"/>
      <c r="E177" s="61"/>
      <c r="F177" s="249" t="str">
        <f t="shared" si="6"/>
        <v>-</v>
      </c>
      <c r="G177" s="1"/>
      <c r="H177" s="149"/>
      <c r="I177" s="55"/>
      <c r="J177" s="130" t="str">
        <f ca="1">IFERROR(MIN('DC Calculations'!$F$28/I177,1),"-")</f>
        <v>-</v>
      </c>
      <c r="K177" s="120"/>
      <c r="L177" s="55"/>
      <c r="M177" s="55"/>
      <c r="N177" s="55"/>
      <c r="O177" s="245" t="str">
        <f t="shared" si="7"/>
        <v>-</v>
      </c>
      <c r="P177" s="127" t="str">
        <f t="shared" si="8"/>
        <v>-</v>
      </c>
      <c r="Q177" s="104"/>
      <c r="R177" s="104"/>
    </row>
    <row r="178" spans="3:18" x14ac:dyDescent="0.25">
      <c r="C178" s="55"/>
      <c r="D178" s="148"/>
      <c r="E178" s="61"/>
      <c r="F178" s="249" t="str">
        <f t="shared" si="6"/>
        <v>-</v>
      </c>
      <c r="G178" s="1"/>
      <c r="H178" s="149"/>
      <c r="I178" s="55"/>
      <c r="J178" s="130" t="str">
        <f ca="1">IFERROR(MIN('DC Calculations'!$F$28/I178,1),"-")</f>
        <v>-</v>
      </c>
      <c r="K178" s="120"/>
      <c r="L178" s="55"/>
      <c r="M178" s="55"/>
      <c r="N178" s="55"/>
      <c r="O178" s="245" t="str">
        <f t="shared" si="7"/>
        <v>-</v>
      </c>
      <c r="P178" s="127" t="str">
        <f t="shared" si="8"/>
        <v>-</v>
      </c>
      <c r="Q178" s="104"/>
      <c r="R178" s="104"/>
    </row>
    <row r="179" spans="3:18" x14ac:dyDescent="0.25">
      <c r="C179" s="55"/>
      <c r="D179" s="148"/>
      <c r="E179" s="61"/>
      <c r="F179" s="249" t="str">
        <f t="shared" ref="F179:F212" si="9">IF(E179="","-",IF(E179&lt;$E$11,"ERROR - date outside of range",IF(MONTH(E179)&gt;=7,YEAR(E179)&amp;"-"&amp;RIGHT(YEAR(E179),2)+1,YEAR(E179)-1&amp;"-"&amp;RIGHT(YEAR(E179),2))))</f>
        <v>-</v>
      </c>
      <c r="G179" s="1"/>
      <c r="H179" s="149"/>
      <c r="I179" s="55"/>
      <c r="J179" s="130" t="str">
        <f ca="1">IFERROR(MIN('DC Calculations'!$F$28/I179,1),"-")</f>
        <v>-</v>
      </c>
      <c r="K179" s="120"/>
      <c r="L179" s="55"/>
      <c r="M179" s="55"/>
      <c r="N179" s="55"/>
      <c r="O179" s="245" t="str">
        <f t="shared" si="7"/>
        <v>-</v>
      </c>
      <c r="P179" s="127" t="str">
        <f t="shared" si="8"/>
        <v>-</v>
      </c>
      <c r="Q179" s="104"/>
      <c r="R179" s="104"/>
    </row>
    <row r="180" spans="3:18" x14ac:dyDescent="0.25">
      <c r="C180" s="55"/>
      <c r="D180" s="148"/>
      <c r="E180" s="61"/>
      <c r="F180" s="249" t="str">
        <f t="shared" si="9"/>
        <v>-</v>
      </c>
      <c r="G180" s="1"/>
      <c r="H180" s="149"/>
      <c r="I180" s="55"/>
      <c r="J180" s="130" t="str">
        <f ca="1">IFERROR(MIN('DC Calculations'!$F$28/I180,1),"-")</f>
        <v>-</v>
      </c>
      <c r="K180" s="120"/>
      <c r="L180" s="55"/>
      <c r="M180" s="55"/>
      <c r="N180" s="55"/>
      <c r="O180" s="245" t="str">
        <f t="shared" si="7"/>
        <v>-</v>
      </c>
      <c r="P180" s="127" t="str">
        <f t="shared" si="8"/>
        <v>-</v>
      </c>
      <c r="Q180" s="104"/>
      <c r="R180" s="104"/>
    </row>
    <row r="181" spans="3:18" x14ac:dyDescent="0.25">
      <c r="C181" s="55"/>
      <c r="D181" s="148"/>
      <c r="E181" s="61"/>
      <c r="F181" s="249" t="str">
        <f t="shared" si="9"/>
        <v>-</v>
      </c>
      <c r="G181" s="1"/>
      <c r="H181" s="149"/>
      <c r="I181" s="55"/>
      <c r="J181" s="130" t="str">
        <f ca="1">IFERROR(MIN('DC Calculations'!$F$28/I181,1),"-")</f>
        <v>-</v>
      </c>
      <c r="K181" s="120"/>
      <c r="L181" s="55"/>
      <c r="M181" s="55"/>
      <c r="N181" s="55"/>
      <c r="O181" s="245" t="str">
        <f t="shared" si="7"/>
        <v>-</v>
      </c>
      <c r="P181" s="127" t="str">
        <f t="shared" si="8"/>
        <v>-</v>
      </c>
      <c r="Q181" s="104"/>
      <c r="R181" s="104"/>
    </row>
    <row r="182" spans="3:18" x14ac:dyDescent="0.25">
      <c r="C182" s="55"/>
      <c r="D182" s="148"/>
      <c r="E182" s="61"/>
      <c r="F182" s="249" t="str">
        <f t="shared" si="9"/>
        <v>-</v>
      </c>
      <c r="G182" s="1"/>
      <c r="H182" s="149"/>
      <c r="I182" s="55"/>
      <c r="J182" s="130" t="str">
        <f ca="1">IFERROR(MIN('DC Calculations'!$F$28/I182,1),"-")</f>
        <v>-</v>
      </c>
      <c r="K182" s="120"/>
      <c r="L182" s="55"/>
      <c r="M182" s="55"/>
      <c r="N182" s="55"/>
      <c r="O182" s="245" t="str">
        <f t="shared" si="7"/>
        <v>-</v>
      </c>
      <c r="P182" s="127" t="str">
        <f t="shared" si="8"/>
        <v>-</v>
      </c>
      <c r="Q182" s="104"/>
      <c r="R182" s="104"/>
    </row>
    <row r="183" spans="3:18" x14ac:dyDescent="0.25">
      <c r="C183" s="55"/>
      <c r="D183" s="148"/>
      <c r="E183" s="61"/>
      <c r="F183" s="249" t="str">
        <f t="shared" si="9"/>
        <v>-</v>
      </c>
      <c r="G183" s="1"/>
      <c r="H183" s="149"/>
      <c r="I183" s="55"/>
      <c r="J183" s="130" t="str">
        <f ca="1">IFERROR(MIN('DC Calculations'!$F$28/I183,1),"-")</f>
        <v>-</v>
      </c>
      <c r="K183" s="120"/>
      <c r="L183" s="55"/>
      <c r="M183" s="55"/>
      <c r="N183" s="55"/>
      <c r="O183" s="245" t="str">
        <f t="shared" si="7"/>
        <v>-</v>
      </c>
      <c r="P183" s="127" t="str">
        <f t="shared" si="8"/>
        <v>-</v>
      </c>
      <c r="Q183" s="104"/>
      <c r="R183" s="104"/>
    </row>
    <row r="184" spans="3:18" x14ac:dyDescent="0.25">
      <c r="C184" s="55"/>
      <c r="D184" s="148"/>
      <c r="E184" s="61"/>
      <c r="F184" s="249" t="str">
        <f t="shared" si="9"/>
        <v>-</v>
      </c>
      <c r="G184" s="1"/>
      <c r="H184" s="149"/>
      <c r="I184" s="55"/>
      <c r="J184" s="130" t="str">
        <f ca="1">IFERROR(MIN('DC Calculations'!$F$28/I184,1),"-")</f>
        <v>-</v>
      </c>
      <c r="K184" s="120"/>
      <c r="L184" s="55"/>
      <c r="M184" s="55"/>
      <c r="N184" s="55"/>
      <c r="O184" s="245" t="str">
        <f t="shared" si="7"/>
        <v>-</v>
      </c>
      <c r="P184" s="127" t="str">
        <f t="shared" si="8"/>
        <v>-</v>
      </c>
      <c r="Q184" s="104"/>
      <c r="R184" s="104"/>
    </row>
    <row r="185" spans="3:18" x14ac:dyDescent="0.25">
      <c r="C185" s="55"/>
      <c r="D185" s="148"/>
      <c r="E185" s="61"/>
      <c r="F185" s="249" t="str">
        <f t="shared" si="9"/>
        <v>-</v>
      </c>
      <c r="G185" s="1"/>
      <c r="H185" s="149"/>
      <c r="I185" s="55"/>
      <c r="J185" s="130" t="str">
        <f ca="1">IFERROR(MIN('DC Calculations'!$F$28/I185,1),"-")</f>
        <v>-</v>
      </c>
      <c r="K185" s="120"/>
      <c r="L185" s="55"/>
      <c r="M185" s="55"/>
      <c r="N185" s="55"/>
      <c r="O185" s="245" t="str">
        <f t="shared" si="7"/>
        <v>-</v>
      </c>
      <c r="P185" s="127" t="str">
        <f t="shared" si="8"/>
        <v>-</v>
      </c>
      <c r="Q185" s="104"/>
      <c r="R185" s="104"/>
    </row>
    <row r="186" spans="3:18" x14ac:dyDescent="0.25">
      <c r="C186" s="55"/>
      <c r="D186" s="148"/>
      <c r="E186" s="61"/>
      <c r="F186" s="249" t="str">
        <f t="shared" si="9"/>
        <v>-</v>
      </c>
      <c r="G186" s="1"/>
      <c r="H186" s="149"/>
      <c r="I186" s="55"/>
      <c r="J186" s="130" t="str">
        <f ca="1">IFERROR(MIN('DC Calculations'!$F$28/I186,1),"-")</f>
        <v>-</v>
      </c>
      <c r="K186" s="120"/>
      <c r="L186" s="55"/>
      <c r="M186" s="55"/>
      <c r="N186" s="55"/>
      <c r="O186" s="245" t="str">
        <f t="shared" si="7"/>
        <v>-</v>
      </c>
      <c r="P186" s="127" t="str">
        <f t="shared" si="8"/>
        <v>-</v>
      </c>
      <c r="Q186" s="104"/>
      <c r="R186" s="104"/>
    </row>
    <row r="187" spans="3:18" x14ac:dyDescent="0.25">
      <c r="C187" s="55"/>
      <c r="D187" s="148"/>
      <c r="E187" s="61"/>
      <c r="F187" s="249" t="str">
        <f t="shared" si="9"/>
        <v>-</v>
      </c>
      <c r="G187" s="1"/>
      <c r="H187" s="149"/>
      <c r="I187" s="55"/>
      <c r="J187" s="130" t="str">
        <f ca="1">IFERROR(MIN('DC Calculations'!$F$28/I187,1),"-")</f>
        <v>-</v>
      </c>
      <c r="K187" s="120"/>
      <c r="L187" s="55"/>
      <c r="M187" s="55"/>
      <c r="N187" s="55"/>
      <c r="O187" s="245" t="str">
        <f t="shared" si="7"/>
        <v>-</v>
      </c>
      <c r="P187" s="127" t="str">
        <f t="shared" si="8"/>
        <v>-</v>
      </c>
      <c r="Q187" s="104"/>
      <c r="R187" s="104"/>
    </row>
    <row r="188" spans="3:18" x14ac:dyDescent="0.25">
      <c r="C188" s="55"/>
      <c r="D188" s="148"/>
      <c r="E188" s="61"/>
      <c r="F188" s="249" t="str">
        <f t="shared" si="9"/>
        <v>-</v>
      </c>
      <c r="G188" s="1"/>
      <c r="H188" s="149"/>
      <c r="I188" s="55"/>
      <c r="J188" s="130" t="str">
        <f ca="1">IFERROR(MIN('DC Calculations'!$F$28/I188,1),"-")</f>
        <v>-</v>
      </c>
      <c r="K188" s="120"/>
      <c r="L188" s="55"/>
      <c r="M188" s="55"/>
      <c r="N188" s="55"/>
      <c r="O188" s="245" t="str">
        <f t="shared" si="7"/>
        <v>-</v>
      </c>
      <c r="P188" s="127" t="str">
        <f t="shared" si="8"/>
        <v>-</v>
      </c>
      <c r="Q188" s="104"/>
      <c r="R188" s="104"/>
    </row>
    <row r="189" spans="3:18" x14ac:dyDescent="0.25">
      <c r="C189" s="55"/>
      <c r="D189" s="148"/>
      <c r="E189" s="61"/>
      <c r="F189" s="249" t="str">
        <f t="shared" si="9"/>
        <v>-</v>
      </c>
      <c r="G189" s="1"/>
      <c r="H189" s="149"/>
      <c r="I189" s="55"/>
      <c r="J189" s="130" t="str">
        <f ca="1">IFERROR(MIN('DC Calculations'!$F$28/I189,1),"-")</f>
        <v>-</v>
      </c>
      <c r="K189" s="120"/>
      <c r="L189" s="55"/>
      <c r="M189" s="55"/>
      <c r="N189" s="55"/>
      <c r="O189" s="245" t="str">
        <f t="shared" si="7"/>
        <v>-</v>
      </c>
      <c r="P189" s="127" t="str">
        <f t="shared" si="8"/>
        <v>-</v>
      </c>
      <c r="Q189" s="104"/>
      <c r="R189" s="104"/>
    </row>
    <row r="190" spans="3:18" x14ac:dyDescent="0.25">
      <c r="C190" s="55"/>
      <c r="D190" s="148"/>
      <c r="E190" s="61"/>
      <c r="F190" s="249" t="str">
        <f t="shared" si="9"/>
        <v>-</v>
      </c>
      <c r="G190" s="1"/>
      <c r="H190" s="149"/>
      <c r="I190" s="55"/>
      <c r="J190" s="130" t="str">
        <f ca="1">IFERROR(MIN('DC Calculations'!$F$28/I190,1),"-")</f>
        <v>-</v>
      </c>
      <c r="K190" s="120"/>
      <c r="L190" s="55"/>
      <c r="M190" s="55"/>
      <c r="N190" s="55"/>
      <c r="O190" s="245" t="str">
        <f t="shared" si="7"/>
        <v>-</v>
      </c>
      <c r="P190" s="127" t="str">
        <f t="shared" si="8"/>
        <v>-</v>
      </c>
      <c r="Q190" s="104"/>
      <c r="R190" s="104"/>
    </row>
    <row r="191" spans="3:18" x14ac:dyDescent="0.25">
      <c r="C191" s="55"/>
      <c r="D191" s="148"/>
      <c r="E191" s="61"/>
      <c r="F191" s="249" t="str">
        <f t="shared" si="9"/>
        <v>-</v>
      </c>
      <c r="G191" s="1"/>
      <c r="H191" s="149"/>
      <c r="I191" s="55"/>
      <c r="J191" s="130" t="str">
        <f ca="1">IFERROR(MIN('DC Calculations'!$F$28/I191,1),"-")</f>
        <v>-</v>
      </c>
      <c r="K191" s="120"/>
      <c r="L191" s="55"/>
      <c r="M191" s="55"/>
      <c r="N191" s="55"/>
      <c r="O191" s="245" t="str">
        <f t="shared" si="7"/>
        <v>-</v>
      </c>
      <c r="P191" s="127" t="str">
        <f t="shared" si="8"/>
        <v>-</v>
      </c>
      <c r="Q191" s="104"/>
      <c r="R191" s="104"/>
    </row>
    <row r="192" spans="3:18" x14ac:dyDescent="0.25">
      <c r="C192" s="55"/>
      <c r="D192" s="148"/>
      <c r="E192" s="61"/>
      <c r="F192" s="249" t="str">
        <f t="shared" si="9"/>
        <v>-</v>
      </c>
      <c r="G192" s="1"/>
      <c r="H192" s="149"/>
      <c r="I192" s="55"/>
      <c r="J192" s="130" t="str">
        <f ca="1">IFERROR(MIN('DC Calculations'!$F$28/I192,1),"-")</f>
        <v>-</v>
      </c>
      <c r="K192" s="120"/>
      <c r="L192" s="55"/>
      <c r="M192" s="55"/>
      <c r="N192" s="55"/>
      <c r="O192" s="245" t="str">
        <f t="shared" si="7"/>
        <v>-</v>
      </c>
      <c r="P192" s="127" t="str">
        <f t="shared" si="8"/>
        <v>-</v>
      </c>
      <c r="Q192" s="104"/>
      <c r="R192" s="104"/>
    </row>
    <row r="193" spans="3:18" x14ac:dyDescent="0.25">
      <c r="C193" s="55"/>
      <c r="D193" s="148"/>
      <c r="E193" s="61"/>
      <c r="F193" s="249" t="str">
        <f t="shared" si="9"/>
        <v>-</v>
      </c>
      <c r="G193" s="1"/>
      <c r="H193" s="149"/>
      <c r="I193" s="55"/>
      <c r="J193" s="130" t="str">
        <f ca="1">IFERROR(MIN('DC Calculations'!$F$28/I193,1),"-")</f>
        <v>-</v>
      </c>
      <c r="K193" s="120"/>
      <c r="L193" s="55"/>
      <c r="M193" s="55"/>
      <c r="N193" s="55"/>
      <c r="O193" s="245" t="str">
        <f t="shared" si="7"/>
        <v>-</v>
      </c>
      <c r="P193" s="127" t="str">
        <f t="shared" si="8"/>
        <v>-</v>
      </c>
      <c r="Q193" s="104"/>
      <c r="R193" s="104"/>
    </row>
    <row r="194" spans="3:18" x14ac:dyDescent="0.25">
      <c r="C194" s="55"/>
      <c r="D194" s="148"/>
      <c r="E194" s="61"/>
      <c r="F194" s="249" t="str">
        <f t="shared" si="9"/>
        <v>-</v>
      </c>
      <c r="G194" s="1"/>
      <c r="H194" s="149"/>
      <c r="I194" s="55"/>
      <c r="J194" s="130" t="str">
        <f ca="1">IFERROR(MIN('DC Calculations'!$F$28/I194,1),"-")</f>
        <v>-</v>
      </c>
      <c r="K194" s="120"/>
      <c r="L194" s="55"/>
      <c r="M194" s="55"/>
      <c r="N194" s="55"/>
      <c r="O194" s="245" t="str">
        <f t="shared" si="7"/>
        <v>-</v>
      </c>
      <c r="P194" s="127" t="str">
        <f t="shared" si="8"/>
        <v>-</v>
      </c>
      <c r="Q194" s="104"/>
      <c r="R194" s="104"/>
    </row>
    <row r="195" spans="3:18" x14ac:dyDescent="0.25">
      <c r="C195" s="55"/>
      <c r="D195" s="148"/>
      <c r="E195" s="61"/>
      <c r="F195" s="249" t="str">
        <f t="shared" si="9"/>
        <v>-</v>
      </c>
      <c r="G195" s="1"/>
      <c r="H195" s="149"/>
      <c r="I195" s="55"/>
      <c r="J195" s="130" t="str">
        <f ca="1">IFERROR(MIN('DC Calculations'!$F$28/I195,1),"-")</f>
        <v>-</v>
      </c>
      <c r="K195" s="120"/>
      <c r="L195" s="55"/>
      <c r="M195" s="55"/>
      <c r="N195" s="55"/>
      <c r="O195" s="245" t="str">
        <f t="shared" si="7"/>
        <v>-</v>
      </c>
      <c r="P195" s="127" t="str">
        <f t="shared" si="8"/>
        <v>-</v>
      </c>
      <c r="Q195" s="104"/>
      <c r="R195" s="104"/>
    </row>
    <row r="196" spans="3:18" x14ac:dyDescent="0.25">
      <c r="C196" s="55"/>
      <c r="D196" s="148"/>
      <c r="E196" s="61"/>
      <c r="F196" s="249" t="str">
        <f t="shared" si="9"/>
        <v>-</v>
      </c>
      <c r="G196" s="1"/>
      <c r="H196" s="149"/>
      <c r="I196" s="55"/>
      <c r="J196" s="130" t="str">
        <f ca="1">IFERROR(MIN('DC Calculations'!$F$28/I196,1),"-")</f>
        <v>-</v>
      </c>
      <c r="K196" s="120"/>
      <c r="L196" s="55"/>
      <c r="M196" s="55"/>
      <c r="N196" s="55"/>
      <c r="O196" s="245" t="str">
        <f t="shared" si="7"/>
        <v>-</v>
      </c>
      <c r="P196" s="127" t="str">
        <f t="shared" si="8"/>
        <v>-</v>
      </c>
      <c r="Q196" s="104"/>
      <c r="R196" s="104"/>
    </row>
    <row r="197" spans="3:18" x14ac:dyDescent="0.25">
      <c r="C197" s="55"/>
      <c r="D197" s="148"/>
      <c r="E197" s="61"/>
      <c r="F197" s="249" t="str">
        <f t="shared" si="9"/>
        <v>-</v>
      </c>
      <c r="G197" s="1"/>
      <c r="H197" s="149"/>
      <c r="I197" s="55"/>
      <c r="J197" s="130" t="str">
        <f ca="1">IFERROR(MIN('DC Calculations'!$F$28/I197,1),"-")</f>
        <v>-</v>
      </c>
      <c r="K197" s="120"/>
      <c r="L197" s="55"/>
      <c r="M197" s="55"/>
      <c r="N197" s="55"/>
      <c r="O197" s="245" t="str">
        <f t="shared" si="7"/>
        <v>-</v>
      </c>
      <c r="P197" s="127" t="str">
        <f t="shared" si="8"/>
        <v>-</v>
      </c>
      <c r="Q197" s="104"/>
      <c r="R197" s="104"/>
    </row>
    <row r="198" spans="3:18" x14ac:dyDescent="0.25">
      <c r="C198" s="55"/>
      <c r="D198" s="148"/>
      <c r="E198" s="61"/>
      <c r="F198" s="249" t="str">
        <f t="shared" si="9"/>
        <v>-</v>
      </c>
      <c r="G198" s="1"/>
      <c r="H198" s="149"/>
      <c r="I198" s="55"/>
      <c r="J198" s="130" t="str">
        <f ca="1">IFERROR(MIN('DC Calculations'!$F$28/I198,1),"-")</f>
        <v>-</v>
      </c>
      <c r="K198" s="120"/>
      <c r="L198" s="55"/>
      <c r="M198" s="55"/>
      <c r="N198" s="55"/>
      <c r="O198" s="245" t="str">
        <f t="shared" si="7"/>
        <v>-</v>
      </c>
      <c r="P198" s="127" t="str">
        <f t="shared" si="8"/>
        <v>-</v>
      </c>
      <c r="Q198" s="104"/>
      <c r="R198" s="104"/>
    </row>
    <row r="199" spans="3:18" x14ac:dyDescent="0.25">
      <c r="C199" s="55"/>
      <c r="D199" s="148"/>
      <c r="E199" s="61"/>
      <c r="F199" s="249" t="str">
        <f t="shared" si="9"/>
        <v>-</v>
      </c>
      <c r="G199" s="1"/>
      <c r="H199" s="149"/>
      <c r="I199" s="55"/>
      <c r="J199" s="130" t="str">
        <f ca="1">IFERROR(MIN('DC Calculations'!$F$28/I199,1),"-")</f>
        <v>-</v>
      </c>
      <c r="K199" s="120"/>
      <c r="L199" s="55"/>
      <c r="M199" s="55"/>
      <c r="N199" s="55"/>
      <c r="O199" s="245" t="str">
        <f t="shared" si="7"/>
        <v>-</v>
      </c>
      <c r="P199" s="127" t="str">
        <f t="shared" si="8"/>
        <v>-</v>
      </c>
      <c r="Q199" s="104"/>
      <c r="R199" s="104"/>
    </row>
    <row r="200" spans="3:18" x14ac:dyDescent="0.25">
      <c r="C200" s="55"/>
      <c r="D200" s="148"/>
      <c r="E200" s="61"/>
      <c r="F200" s="249" t="str">
        <f t="shared" si="9"/>
        <v>-</v>
      </c>
      <c r="G200" s="1"/>
      <c r="H200" s="149"/>
      <c r="I200" s="55"/>
      <c r="J200" s="130" t="str">
        <f ca="1">IFERROR(MIN('DC Calculations'!$F$28/I200,1),"-")</f>
        <v>-</v>
      </c>
      <c r="K200" s="120"/>
      <c r="L200" s="55"/>
      <c r="M200" s="55"/>
      <c r="N200" s="55"/>
      <c r="O200" s="245" t="str">
        <f t="shared" si="7"/>
        <v>-</v>
      </c>
      <c r="P200" s="127" t="str">
        <f t="shared" si="8"/>
        <v>-</v>
      </c>
      <c r="Q200" s="104"/>
      <c r="R200" s="104"/>
    </row>
    <row r="201" spans="3:18" x14ac:dyDescent="0.25">
      <c r="C201" s="55"/>
      <c r="D201" s="148"/>
      <c r="E201" s="61"/>
      <c r="F201" s="249" t="str">
        <f t="shared" si="9"/>
        <v>-</v>
      </c>
      <c r="G201" s="1"/>
      <c r="H201" s="149"/>
      <c r="I201" s="55"/>
      <c r="J201" s="130" t="str">
        <f ca="1">IFERROR(MIN('DC Calculations'!$F$28/I201,1),"-")</f>
        <v>-</v>
      </c>
      <c r="K201" s="120"/>
      <c r="L201" s="55"/>
      <c r="M201" s="55"/>
      <c r="N201" s="55"/>
      <c r="O201" s="245" t="str">
        <f t="shared" si="7"/>
        <v>-</v>
      </c>
      <c r="P201" s="127" t="str">
        <f t="shared" si="8"/>
        <v>-</v>
      </c>
      <c r="Q201" s="104"/>
      <c r="R201" s="104"/>
    </row>
    <row r="202" spans="3:18" x14ac:dyDescent="0.25">
      <c r="C202" s="55"/>
      <c r="D202" s="148"/>
      <c r="E202" s="61"/>
      <c r="F202" s="249" t="str">
        <f t="shared" si="9"/>
        <v>-</v>
      </c>
      <c r="G202" s="1"/>
      <c r="H202" s="149"/>
      <c r="I202" s="55"/>
      <c r="J202" s="130" t="str">
        <f ca="1">IFERROR(MIN('DC Calculations'!$F$28/I202,1),"-")</f>
        <v>-</v>
      </c>
      <c r="K202" s="120"/>
      <c r="L202" s="55"/>
      <c r="M202" s="55"/>
      <c r="N202" s="55"/>
      <c r="O202" s="245" t="str">
        <f t="shared" si="7"/>
        <v>-</v>
      </c>
      <c r="P202" s="127" t="str">
        <f t="shared" si="8"/>
        <v>-</v>
      </c>
      <c r="Q202" s="104"/>
      <c r="R202" s="104"/>
    </row>
    <row r="203" spans="3:18" x14ac:dyDescent="0.25">
      <c r="C203" s="55"/>
      <c r="D203" s="148"/>
      <c r="E203" s="61"/>
      <c r="F203" s="249" t="str">
        <f t="shared" si="9"/>
        <v>-</v>
      </c>
      <c r="G203" s="1"/>
      <c r="H203" s="149"/>
      <c r="I203" s="55"/>
      <c r="J203" s="130" t="str">
        <f ca="1">IFERROR(MIN('DC Calculations'!$F$28/I203,1),"-")</f>
        <v>-</v>
      </c>
      <c r="K203" s="120"/>
      <c r="L203" s="55"/>
      <c r="M203" s="55"/>
      <c r="N203" s="55"/>
      <c r="O203" s="245" t="str">
        <f t="shared" si="7"/>
        <v>-</v>
      </c>
      <c r="P203" s="127" t="str">
        <f t="shared" si="8"/>
        <v>-</v>
      </c>
      <c r="Q203" s="104"/>
      <c r="R203" s="104"/>
    </row>
    <row r="204" spans="3:18" x14ac:dyDescent="0.25">
      <c r="C204" s="55"/>
      <c r="D204" s="148"/>
      <c r="E204" s="61"/>
      <c r="F204" s="249" t="str">
        <f t="shared" si="9"/>
        <v>-</v>
      </c>
      <c r="G204" s="1"/>
      <c r="H204" s="149"/>
      <c r="I204" s="55"/>
      <c r="J204" s="130" t="str">
        <f ca="1">IFERROR(MIN('DC Calculations'!$F$28/I204,1),"-")</f>
        <v>-</v>
      </c>
      <c r="K204" s="120"/>
      <c r="L204" s="55"/>
      <c r="M204" s="55"/>
      <c r="N204" s="55"/>
      <c r="O204" s="245" t="str">
        <f t="shared" si="7"/>
        <v>-</v>
      </c>
      <c r="P204" s="127" t="str">
        <f t="shared" si="8"/>
        <v>-</v>
      </c>
      <c r="Q204" s="104"/>
      <c r="R204" s="104"/>
    </row>
    <row r="205" spans="3:18" x14ac:dyDescent="0.25">
      <c r="C205" s="55"/>
      <c r="D205" s="148"/>
      <c r="E205" s="61"/>
      <c r="F205" s="249" t="str">
        <f t="shared" si="9"/>
        <v>-</v>
      </c>
      <c r="G205" s="1"/>
      <c r="H205" s="149"/>
      <c r="I205" s="55"/>
      <c r="J205" s="130" t="str">
        <f ca="1">IFERROR(MIN('DC Calculations'!$F$28/I205,1),"-")</f>
        <v>-</v>
      </c>
      <c r="K205" s="120"/>
      <c r="L205" s="55"/>
      <c r="M205" s="55"/>
      <c r="N205" s="55"/>
      <c r="O205" s="245" t="str">
        <f t="shared" si="7"/>
        <v>-</v>
      </c>
      <c r="P205" s="127" t="str">
        <f t="shared" si="8"/>
        <v>-</v>
      </c>
      <c r="Q205" s="104"/>
      <c r="R205" s="104"/>
    </row>
    <row r="206" spans="3:18" x14ac:dyDescent="0.25">
      <c r="C206" s="55"/>
      <c r="D206" s="148"/>
      <c r="E206" s="61"/>
      <c r="F206" s="249" t="str">
        <f t="shared" si="9"/>
        <v>-</v>
      </c>
      <c r="G206" s="1"/>
      <c r="H206" s="149"/>
      <c r="I206" s="55"/>
      <c r="J206" s="130" t="str">
        <f ca="1">IFERROR(MIN('DC Calculations'!$F$28/I206,1),"-")</f>
        <v>-</v>
      </c>
      <c r="K206" s="120"/>
      <c r="L206" s="55"/>
      <c r="M206" s="55"/>
      <c r="N206" s="55"/>
      <c r="O206" s="245" t="str">
        <f t="shared" si="7"/>
        <v>-</v>
      </c>
      <c r="P206" s="127" t="str">
        <f t="shared" si="8"/>
        <v>-</v>
      </c>
      <c r="Q206" s="104"/>
      <c r="R206" s="104"/>
    </row>
    <row r="207" spans="3:18" x14ac:dyDescent="0.25">
      <c r="C207" s="55"/>
      <c r="D207" s="148"/>
      <c r="E207" s="61"/>
      <c r="F207" s="249" t="str">
        <f t="shared" si="9"/>
        <v>-</v>
      </c>
      <c r="G207" s="1"/>
      <c r="H207" s="149"/>
      <c r="I207" s="55"/>
      <c r="J207" s="130" t="str">
        <f ca="1">IFERROR(MIN('DC Calculations'!$F$28/I207,1),"-")</f>
        <v>-</v>
      </c>
      <c r="K207" s="120"/>
      <c r="L207" s="55"/>
      <c r="M207" s="55"/>
      <c r="N207" s="55"/>
      <c r="O207" s="245" t="str">
        <f t="shared" si="7"/>
        <v>-</v>
      </c>
      <c r="P207" s="127" t="str">
        <f t="shared" si="8"/>
        <v>-</v>
      </c>
      <c r="Q207" s="104"/>
      <c r="R207" s="104"/>
    </row>
    <row r="208" spans="3:18" x14ac:dyDescent="0.25">
      <c r="C208" s="55"/>
      <c r="D208" s="148"/>
      <c r="E208" s="61"/>
      <c r="F208" s="249" t="str">
        <f t="shared" si="9"/>
        <v>-</v>
      </c>
      <c r="G208" s="1"/>
      <c r="H208" s="149"/>
      <c r="I208" s="55"/>
      <c r="J208" s="130" t="str">
        <f ca="1">IFERROR(MIN('DC Calculations'!$F$28/I208,1),"-")</f>
        <v>-</v>
      </c>
      <c r="K208" s="120"/>
      <c r="L208" s="55"/>
      <c r="M208" s="55"/>
      <c r="N208" s="55"/>
      <c r="O208" s="245" t="str">
        <f t="shared" si="7"/>
        <v>-</v>
      </c>
      <c r="P208" s="127" t="str">
        <f t="shared" si="8"/>
        <v>-</v>
      </c>
      <c r="Q208" s="104"/>
      <c r="R208" s="104"/>
    </row>
    <row r="209" spans="3:18" x14ac:dyDescent="0.25">
      <c r="C209" s="55"/>
      <c r="D209" s="148"/>
      <c r="E209" s="61"/>
      <c r="F209" s="249" t="str">
        <f t="shared" si="9"/>
        <v>-</v>
      </c>
      <c r="G209" s="1"/>
      <c r="H209" s="149"/>
      <c r="I209" s="55"/>
      <c r="J209" s="130" t="str">
        <f ca="1">IFERROR(MIN('DC Calculations'!$F$28/I209,1),"-")</f>
        <v>-</v>
      </c>
      <c r="K209" s="120"/>
      <c r="L209" s="55"/>
      <c r="M209" s="55"/>
      <c r="N209" s="55"/>
      <c r="O209" s="245" t="str">
        <f t="shared" si="7"/>
        <v>-</v>
      </c>
      <c r="P209" s="127" t="str">
        <f t="shared" si="8"/>
        <v>-</v>
      </c>
      <c r="Q209" s="104"/>
      <c r="R209" s="104"/>
    </row>
    <row r="210" spans="3:18" x14ac:dyDescent="0.25">
      <c r="C210" s="55"/>
      <c r="D210" s="148"/>
      <c r="E210" s="61"/>
      <c r="F210" s="249" t="str">
        <f t="shared" si="9"/>
        <v>-</v>
      </c>
      <c r="G210" s="1"/>
      <c r="H210" s="149"/>
      <c r="I210" s="55"/>
      <c r="J210" s="130" t="str">
        <f ca="1">IFERROR(MIN('DC Calculations'!$F$28/I210,1),"-")</f>
        <v>-</v>
      </c>
      <c r="K210" s="120"/>
      <c r="L210" s="55"/>
      <c r="M210" s="55"/>
      <c r="N210" s="55"/>
      <c r="O210" s="245" t="str">
        <f t="shared" ref="O210:O213" si="10">IF(N210="","-",L210*N210)</f>
        <v>-</v>
      </c>
      <c r="P210" s="127" t="str">
        <f t="shared" ref="P210:P213" si="11">IF(O210="-","-",IF(E210&lt;$E$11,0,O210*J210))</f>
        <v>-</v>
      </c>
      <c r="Q210" s="104"/>
      <c r="R210" s="104"/>
    </row>
    <row r="211" spans="3:18" x14ac:dyDescent="0.25">
      <c r="C211" s="55"/>
      <c r="D211" s="148"/>
      <c r="E211" s="61"/>
      <c r="F211" s="249" t="str">
        <f t="shared" si="9"/>
        <v>-</v>
      </c>
      <c r="G211" s="1"/>
      <c r="H211" s="149"/>
      <c r="I211" s="55"/>
      <c r="J211" s="130" t="str">
        <f ca="1">IFERROR(MIN('DC Calculations'!$F$28/I211,1),"-")</f>
        <v>-</v>
      </c>
      <c r="K211" s="120"/>
      <c r="L211" s="55"/>
      <c r="M211" s="55"/>
      <c r="N211" s="55"/>
      <c r="O211" s="245" t="str">
        <f t="shared" si="10"/>
        <v>-</v>
      </c>
      <c r="P211" s="127" t="str">
        <f t="shared" si="11"/>
        <v>-</v>
      </c>
      <c r="Q211" s="104"/>
      <c r="R211" s="104"/>
    </row>
    <row r="212" spans="3:18" x14ac:dyDescent="0.25">
      <c r="C212" s="55"/>
      <c r="D212" s="148"/>
      <c r="E212" s="61"/>
      <c r="F212" s="249" t="str">
        <f t="shared" si="9"/>
        <v>-</v>
      </c>
      <c r="G212" s="1"/>
      <c r="H212" s="149"/>
      <c r="I212" s="55"/>
      <c r="J212" s="130" t="str">
        <f ca="1">IFERROR(MIN('DC Calculations'!$F$28/I212,1),"-")</f>
        <v>-</v>
      </c>
      <c r="K212" s="120"/>
      <c r="L212" s="55"/>
      <c r="M212" s="55"/>
      <c r="N212" s="55"/>
      <c r="O212" s="245" t="str">
        <f t="shared" si="10"/>
        <v>-</v>
      </c>
      <c r="P212" s="127" t="str">
        <f t="shared" si="11"/>
        <v>-</v>
      </c>
      <c r="Q212" s="104"/>
      <c r="R212" s="104"/>
    </row>
    <row r="213" spans="3:18" ht="57.5" x14ac:dyDescent="0.25">
      <c r="C213" s="58"/>
      <c r="D213" s="247" t="str">
        <f ca="1">"Add rows above this point as required and copy formula down.  It is important to add rows above this point as this will ensure the formula on the '"&amp;MID(CELL("filename",'DC Calculations'!$A$1),FIND("]",CELL("filename",'DC Calculations'!$A$1))+1,255)&amp;"' worksheet will incorporate the information included in the additional rows. "</f>
        <v xml:space="preserve">Add rows above this point as required and copy formula down.  It is important to add rows above this point as this will ensure the formula on the 'DC Calculations' worksheet will incorporate the information included in the additional rows. </v>
      </c>
      <c r="E213" s="166"/>
      <c r="F213" s="243" t="str">
        <f t="shared" si="3"/>
        <v>-</v>
      </c>
      <c r="G213" s="1"/>
      <c r="H213" s="150"/>
      <c r="I213" s="59"/>
      <c r="J213" s="154" t="str">
        <f ca="1">IFERROR(MIN('DC Calculations'!$F$28/I213,1),"-")</f>
        <v>-</v>
      </c>
      <c r="K213" s="103"/>
      <c r="L213" s="59"/>
      <c r="M213" s="59"/>
      <c r="N213" s="59"/>
      <c r="O213" s="246" t="str">
        <f t="shared" si="10"/>
        <v>-</v>
      </c>
      <c r="P213" s="128" t="str">
        <f t="shared" si="11"/>
        <v>-</v>
      </c>
      <c r="Q213" s="104"/>
      <c r="R213" s="104"/>
    </row>
  </sheetData>
  <conditionalFormatting sqref="F17:F213">
    <cfRule type="containsText" dxfId="3" priority="2" operator="containsText" text="ERROR">
      <formula>NOT(ISERROR(SEARCH("ERROR",F17)))</formula>
    </cfRule>
  </conditionalFormatting>
  <conditionalFormatting sqref="J17:J213">
    <cfRule type="cellIs" dxfId="2" priority="1" operator="equal">
      <formula>1</formula>
    </cfRule>
  </conditionalFormatting>
  <hyperlinks>
    <hyperlink ref="E7" location="'Asset exclusions'!A1" display="'Asset exclusions'!A1"/>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tint="0.79998168889431442"/>
  </sheetPr>
  <dimension ref="C3:AN103"/>
  <sheetViews>
    <sheetView showGridLines="0" zoomScaleNormal="100" workbookViewId="0"/>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87" t="s">
        <v>281</v>
      </c>
      <c r="V3" t="s">
        <v>331</v>
      </c>
    </row>
    <row r="6" spans="3:40" x14ac:dyDescent="0.25">
      <c r="C6" s="73" t="s">
        <v>122</v>
      </c>
      <c r="F6" s="251">
        <f>'General inputs'!H26</f>
        <v>200</v>
      </c>
      <c r="G6" s="252" t="str">
        <f ca="1">"Input entered at "&amp;ADDRESS(ROW('General inputs'!$H$26),COLUMN('General inputs'!$H$26))&amp;" on the '"&amp;MID(CELL("filename",'General inputs'!$A$1),FIND("]",CELL("filename",'General inputs'!$A$1))+1,255)&amp;"' worksheet. "</f>
        <v xml:space="preserve">Input entered at $H$26 on the 'General inputs' worksheet. </v>
      </c>
      <c r="H6" s="104"/>
      <c r="I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row>
    <row r="7" spans="3:40" x14ac:dyDescent="0.25">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row>
    <row r="8" spans="3:40" x14ac:dyDescent="0.25">
      <c r="F8" s="74" t="s">
        <v>32</v>
      </c>
      <c r="G8" s="74"/>
      <c r="H8" s="75"/>
      <c r="I8" s="74" t="s">
        <v>33</v>
      </c>
      <c r="J8" s="74"/>
      <c r="K8" s="75"/>
      <c r="L8" s="269" t="s">
        <v>100</v>
      </c>
      <c r="M8" s="270"/>
      <c r="N8" s="75"/>
      <c r="O8" s="269" t="s">
        <v>102</v>
      </c>
      <c r="P8" s="270"/>
      <c r="Q8" s="75"/>
      <c r="R8" s="269" t="s">
        <v>101</v>
      </c>
      <c r="S8" s="270"/>
      <c r="T8" s="75"/>
      <c r="U8" s="269" t="s">
        <v>123</v>
      </c>
      <c r="V8" s="270"/>
      <c r="W8" s="75"/>
      <c r="X8" s="269" t="s">
        <v>124</v>
      </c>
      <c r="Y8" s="270"/>
      <c r="Z8" s="75"/>
      <c r="AA8" s="269" t="s">
        <v>125</v>
      </c>
      <c r="AB8" s="270"/>
      <c r="AC8" s="75"/>
      <c r="AD8" s="269" t="s">
        <v>126</v>
      </c>
      <c r="AE8" s="270"/>
      <c r="AF8" s="75"/>
      <c r="AG8" s="269" t="s">
        <v>127</v>
      </c>
      <c r="AH8" s="270"/>
    </row>
    <row r="9" spans="3:40" x14ac:dyDescent="0.25">
      <c r="C9" s="73" t="s">
        <v>43</v>
      </c>
      <c r="F9" s="52" t="s">
        <v>44</v>
      </c>
      <c r="G9" s="92">
        <v>200</v>
      </c>
      <c r="H9" s="64"/>
      <c r="I9" s="52" t="s">
        <v>44</v>
      </c>
      <c r="J9" s="92">
        <v>200</v>
      </c>
      <c r="K9" s="64"/>
      <c r="L9" s="90" t="s">
        <v>48</v>
      </c>
      <c r="M9" s="91">
        <v>200</v>
      </c>
      <c r="N9" s="64"/>
      <c r="O9" s="90" t="s">
        <v>47</v>
      </c>
      <c r="P9" s="91">
        <v>200</v>
      </c>
      <c r="Q9" s="64"/>
      <c r="R9" s="90" t="s">
        <v>48</v>
      </c>
      <c r="S9" s="91">
        <v>200</v>
      </c>
      <c r="T9" s="64"/>
      <c r="U9" s="90" t="s">
        <v>47</v>
      </c>
      <c r="V9" s="91">
        <v>200</v>
      </c>
      <c r="W9" s="64"/>
      <c r="X9" s="90" t="s">
        <v>48</v>
      </c>
      <c r="Y9" s="91">
        <v>200</v>
      </c>
      <c r="Z9" s="64"/>
      <c r="AA9" s="90" t="s">
        <v>47</v>
      </c>
      <c r="AB9" s="91">
        <v>200</v>
      </c>
      <c r="AC9" s="64"/>
      <c r="AD9" s="90" t="s">
        <v>48</v>
      </c>
      <c r="AE9" s="91">
        <v>200</v>
      </c>
      <c r="AF9" s="64"/>
      <c r="AG9" s="90" t="s">
        <v>47</v>
      </c>
      <c r="AH9" s="91">
        <v>200</v>
      </c>
    </row>
    <row r="11" spans="3:40" ht="34.5" x14ac:dyDescent="0.25">
      <c r="D11" s="189" t="s">
        <v>98</v>
      </c>
      <c r="E11" s="62"/>
      <c r="F11" s="189" t="s">
        <v>137</v>
      </c>
      <c r="G11" s="134" t="s">
        <v>34</v>
      </c>
      <c r="H11" s="134"/>
      <c r="I11" s="133" t="s">
        <v>138</v>
      </c>
      <c r="J11" s="134" t="s">
        <v>34</v>
      </c>
      <c r="K11" s="134"/>
      <c r="L11" s="133" t="str">
        <f>"Annual take-up of "&amp;INDEX($AK$12:$AK$19,MATCH(L9,$AJ$12:$AJ$20,0))&amp;" for "&amp;L8</f>
        <v>Annual take-up of hectares for Schools</v>
      </c>
      <c r="M11" s="134" t="s">
        <v>34</v>
      </c>
      <c r="N11" s="134"/>
      <c r="O11" s="133" t="str">
        <f>"Annual take-up of "&amp;INDEX($AK$12:$AK$19,MATCH(O9,$AJ$12:$AJ$20,0))&amp;" for "&amp;O8</f>
        <v>Annual take-up of properties for Commercial</v>
      </c>
      <c r="P11" s="134" t="s">
        <v>34</v>
      </c>
      <c r="Q11" s="134"/>
      <c r="R11" s="133" t="str">
        <f>"Annual take-up of "&amp;INDEX($AK$12:$AK$19,MATCH(R9,$AJ$12:$AJ$20,0))&amp;" for "&amp;R8</f>
        <v>Annual take-up of hectares for Light industrial</v>
      </c>
      <c r="S11" s="134" t="s">
        <v>34</v>
      </c>
      <c r="T11" s="134"/>
      <c r="U11" s="133" t="str">
        <f>"Annual take-up of "&amp;INDEX($AK$12:$AK$19,MATCH(U9,$AJ$12:$AJ$20,0))&amp;" for "&amp;U8</f>
        <v>Annual take-up of properties for Non-res 4</v>
      </c>
      <c r="V11" s="134" t="s">
        <v>34</v>
      </c>
      <c r="W11" s="134"/>
      <c r="X11" s="133" t="str">
        <f>"Annual take-up of "&amp;INDEX($AK$12:$AK$19,MATCH(X9,$AJ$12:$AJ$20,0))&amp;" for "&amp;X8</f>
        <v>Annual take-up of hectares for Non-res 5</v>
      </c>
      <c r="Y11" s="134" t="s">
        <v>34</v>
      </c>
      <c r="Z11" s="134"/>
      <c r="AA11" s="133" t="str">
        <f>"Annual take-up of "&amp;INDEX($AK$12:$AK$19,MATCH(AA9,$AJ$12:$AJ$20,0))&amp;" for "&amp;AA8</f>
        <v>Annual take-up of properties for Non-res 6</v>
      </c>
      <c r="AB11" s="134" t="s">
        <v>34</v>
      </c>
      <c r="AC11" s="134"/>
      <c r="AD11" s="133" t="str">
        <f>"Annual take-up of "&amp;INDEX($AK$12:$AK$19,MATCH(AD9,$AJ$12:$AJ$20,0))&amp;" for "&amp;AD8</f>
        <v>Annual take-up of hectares for Non-res 7</v>
      </c>
      <c r="AE11" s="134" t="s">
        <v>34</v>
      </c>
      <c r="AF11" s="134"/>
      <c r="AG11" s="133" t="str">
        <f>"Annual take-up of "&amp;INDEX($AK$12:$AK$19,MATCH(AG9,$AJ$12:$AJ$20,0))&amp;" for "&amp;AG8</f>
        <v>Annual take-up of properties for Non-res 8</v>
      </c>
      <c r="AH11" s="134" t="s">
        <v>34</v>
      </c>
      <c r="AI11" s="104"/>
      <c r="AJ11" s="135" t="s">
        <v>49</v>
      </c>
      <c r="AK11" s="112"/>
      <c r="AL11" s="104"/>
      <c r="AM11" s="168"/>
      <c r="AN11" s="112"/>
    </row>
    <row r="12" spans="3:40" ht="12" customHeight="1" x14ac:dyDescent="0.25">
      <c r="C12" s="204" t="s">
        <v>200</v>
      </c>
      <c r="D12" s="136">
        <f>IF(LEFT($C12,4)*1&lt;LEFT('General inputs'!$I$15,4)+'General inputs'!$H$28,SUM(G12,J12,M12,P12,S12,V12,Y12,AB12,AE12,AH12),"")</f>
        <v>0</v>
      </c>
      <c r="E12" s="104"/>
      <c r="F12" s="76">
        <v>0</v>
      </c>
      <c r="G12" s="136">
        <f>F12*$G$9/$F$6</f>
        <v>0</v>
      </c>
      <c r="H12" s="104"/>
      <c r="I12" s="76">
        <v>0</v>
      </c>
      <c r="J12" s="136">
        <f t="shared" ref="J12:J43" si="0">I12*$J$9/$F$6</f>
        <v>0</v>
      </c>
      <c r="K12" s="104"/>
      <c r="L12" s="76">
        <v>0</v>
      </c>
      <c r="M12" s="136">
        <f t="shared" ref="M12:M43" si="1">L12*$M$9/$F$6</f>
        <v>0</v>
      </c>
      <c r="N12" s="104"/>
      <c r="O12" s="76">
        <v>0</v>
      </c>
      <c r="P12" s="136">
        <f t="shared" ref="P12:P43" si="2">O12*$P$9/$F$6</f>
        <v>0</v>
      </c>
      <c r="Q12" s="104"/>
      <c r="R12" s="76">
        <v>0</v>
      </c>
      <c r="S12" s="136">
        <f t="shared" ref="S12:S43" si="3">R12*$S$9/$F$6</f>
        <v>0</v>
      </c>
      <c r="T12" s="104"/>
      <c r="U12" s="76">
        <v>0</v>
      </c>
      <c r="V12" s="136">
        <f t="shared" ref="V12:V43" si="4">U12*$V$9/$F$6</f>
        <v>0</v>
      </c>
      <c r="W12" s="104"/>
      <c r="X12" s="76">
        <v>0</v>
      </c>
      <c r="Y12" s="136">
        <f t="shared" ref="Y12:Y43" si="5">X12*$Y$9/$F$6</f>
        <v>0</v>
      </c>
      <c r="Z12" s="104"/>
      <c r="AA12" s="76">
        <v>0</v>
      </c>
      <c r="AB12" s="136">
        <f t="shared" ref="AB12:AB43" si="6">AA12*$AB$9/$F$6</f>
        <v>0</v>
      </c>
      <c r="AC12" s="104"/>
      <c r="AD12" s="76">
        <v>0</v>
      </c>
      <c r="AE12" s="136">
        <f t="shared" ref="AE12:AE43" si="7">AD12*$AE$9/$F$6</f>
        <v>0</v>
      </c>
      <c r="AF12" s="104"/>
      <c r="AG12" s="76">
        <v>0</v>
      </c>
      <c r="AH12" s="136">
        <f t="shared" ref="AH12:AH43" si="8">AG12*$AH$9/$F$6</f>
        <v>0</v>
      </c>
      <c r="AI12" s="137">
        <v>1</v>
      </c>
      <c r="AJ12" s="93" t="s">
        <v>47</v>
      </c>
      <c r="AK12" s="93" t="s">
        <v>103</v>
      </c>
    </row>
    <row r="13" spans="3:40" x14ac:dyDescent="0.25">
      <c r="C13" s="112" t="str">
        <f>LEFT(C12,4)+1&amp;"-0"&amp;RIGHT(C12,2)+1</f>
        <v>2007-08</v>
      </c>
      <c r="D13" s="121">
        <f>IF(LEFT($C13,4)*1&lt;LEFT('General inputs'!$I$15,4)+'General inputs'!$H$28,SUM(G13,J13,M13,P13,S13,V13,Y13,AB13,AE13,AH13),"")</f>
        <v>0</v>
      </c>
      <c r="E13" s="104"/>
      <c r="F13" s="66">
        <v>0</v>
      </c>
      <c r="G13" s="121">
        <f t="shared" ref="G13:G43" si="9">F13*$G$9/$F$6</f>
        <v>0</v>
      </c>
      <c r="H13" s="104"/>
      <c r="I13" s="66">
        <v>0</v>
      </c>
      <c r="J13" s="121">
        <f t="shared" si="0"/>
        <v>0</v>
      </c>
      <c r="K13" s="104"/>
      <c r="L13" s="66">
        <v>0</v>
      </c>
      <c r="M13" s="121">
        <f t="shared" si="1"/>
        <v>0</v>
      </c>
      <c r="N13" s="104"/>
      <c r="O13" s="66">
        <v>0</v>
      </c>
      <c r="P13" s="121">
        <f t="shared" si="2"/>
        <v>0</v>
      </c>
      <c r="Q13" s="104"/>
      <c r="R13" s="66">
        <v>0</v>
      </c>
      <c r="S13" s="121">
        <f t="shared" si="3"/>
        <v>0</v>
      </c>
      <c r="T13" s="104"/>
      <c r="U13" s="66">
        <v>0</v>
      </c>
      <c r="V13" s="121">
        <f t="shared" si="4"/>
        <v>0</v>
      </c>
      <c r="W13" s="104"/>
      <c r="X13" s="66">
        <v>0</v>
      </c>
      <c r="Y13" s="121">
        <f t="shared" si="5"/>
        <v>0</v>
      </c>
      <c r="Z13" s="104"/>
      <c r="AA13" s="66">
        <v>0</v>
      </c>
      <c r="AB13" s="121">
        <f t="shared" si="6"/>
        <v>0</v>
      </c>
      <c r="AC13" s="104"/>
      <c r="AD13" s="66">
        <v>0</v>
      </c>
      <c r="AE13" s="121">
        <f t="shared" si="7"/>
        <v>0</v>
      </c>
      <c r="AF13" s="104"/>
      <c r="AG13" s="66">
        <v>0</v>
      </c>
      <c r="AH13" s="121">
        <f t="shared" si="8"/>
        <v>0</v>
      </c>
      <c r="AI13" s="104">
        <f>AI12+1</f>
        <v>2</v>
      </c>
      <c r="AJ13" s="56" t="s">
        <v>48</v>
      </c>
      <c r="AK13" s="173" t="s">
        <v>104</v>
      </c>
    </row>
    <row r="14" spans="3:40" ht="12" thickBot="1" x14ac:dyDescent="0.3">
      <c r="C14" s="253" t="str">
        <f t="shared" ref="C14" si="10">LEFT(C13,4)+1&amp;"-0"&amp;RIGHT(C13,2)+1</f>
        <v>2008-09</v>
      </c>
      <c r="D14" s="121">
        <f>IF(LEFT($C14,4)*1&lt;LEFT('General inputs'!$I$15,4)+'General inputs'!$H$28,SUM(G14,J14,M14,P14,S14,V14,Y14,AB14,AE14,AH14),"")</f>
        <v>0</v>
      </c>
      <c r="E14" s="104"/>
      <c r="F14" s="66">
        <v>0</v>
      </c>
      <c r="G14" s="121">
        <f t="shared" si="9"/>
        <v>0</v>
      </c>
      <c r="H14" s="104"/>
      <c r="I14" s="66">
        <v>0</v>
      </c>
      <c r="J14" s="121">
        <f t="shared" si="0"/>
        <v>0</v>
      </c>
      <c r="K14" s="104"/>
      <c r="L14" s="66">
        <v>0</v>
      </c>
      <c r="M14" s="121">
        <f t="shared" si="1"/>
        <v>0</v>
      </c>
      <c r="N14" s="104"/>
      <c r="O14" s="66">
        <v>0</v>
      </c>
      <c r="P14" s="121">
        <f t="shared" si="2"/>
        <v>0</v>
      </c>
      <c r="Q14" s="104"/>
      <c r="R14" s="66">
        <v>0</v>
      </c>
      <c r="S14" s="121">
        <f t="shared" si="3"/>
        <v>0</v>
      </c>
      <c r="T14" s="104"/>
      <c r="U14" s="66">
        <v>0</v>
      </c>
      <c r="V14" s="121">
        <f t="shared" si="4"/>
        <v>0</v>
      </c>
      <c r="W14" s="104"/>
      <c r="X14" s="66">
        <v>0</v>
      </c>
      <c r="Y14" s="121">
        <f t="shared" si="5"/>
        <v>0</v>
      </c>
      <c r="Z14" s="104"/>
      <c r="AA14" s="66">
        <v>0</v>
      </c>
      <c r="AB14" s="121">
        <f t="shared" si="6"/>
        <v>0</v>
      </c>
      <c r="AC14" s="104"/>
      <c r="AD14" s="66">
        <v>0</v>
      </c>
      <c r="AE14" s="121">
        <f t="shared" si="7"/>
        <v>0</v>
      </c>
      <c r="AF14" s="104"/>
      <c r="AG14" s="66">
        <v>0</v>
      </c>
      <c r="AH14" s="121">
        <f t="shared" si="8"/>
        <v>0</v>
      </c>
      <c r="AI14" s="104">
        <f t="shared" ref="AI14:AI18" si="11">AI13+1</f>
        <v>3</v>
      </c>
      <c r="AJ14" s="56"/>
      <c r="AK14" s="56"/>
    </row>
    <row r="15" spans="3:40" ht="12" thickTop="1" x14ac:dyDescent="0.25">
      <c r="C15" s="254" t="str">
        <f>LEFT(C14,4)+1&amp;"-"&amp;RIGHT(C14,2)+1</f>
        <v>2009-10</v>
      </c>
      <c r="D15" s="121">
        <f>IF(LEFT($C15,4)*1&lt;LEFT('General inputs'!$I$15,4)+'General inputs'!$H$28,SUM(G15,J15,M15,P15,S15,V15,Y15,AB15,AE15,AH15),"")</f>
        <v>100</v>
      </c>
      <c r="E15" s="104"/>
      <c r="F15" s="66">
        <v>100</v>
      </c>
      <c r="G15" s="121">
        <f t="shared" si="9"/>
        <v>100</v>
      </c>
      <c r="H15" s="104"/>
      <c r="I15" s="66">
        <v>0</v>
      </c>
      <c r="J15" s="121">
        <f t="shared" si="0"/>
        <v>0</v>
      </c>
      <c r="K15" s="104"/>
      <c r="L15" s="66">
        <v>0</v>
      </c>
      <c r="M15" s="121">
        <f t="shared" si="1"/>
        <v>0</v>
      </c>
      <c r="N15" s="104"/>
      <c r="O15" s="66">
        <v>0</v>
      </c>
      <c r="P15" s="121">
        <f t="shared" si="2"/>
        <v>0</v>
      </c>
      <c r="Q15" s="104"/>
      <c r="R15" s="66">
        <v>0</v>
      </c>
      <c r="S15" s="121">
        <f t="shared" si="3"/>
        <v>0</v>
      </c>
      <c r="T15" s="104"/>
      <c r="U15" s="66">
        <v>0</v>
      </c>
      <c r="V15" s="121">
        <f t="shared" si="4"/>
        <v>0</v>
      </c>
      <c r="W15" s="104"/>
      <c r="X15" s="66">
        <v>0</v>
      </c>
      <c r="Y15" s="121">
        <f t="shared" si="5"/>
        <v>0</v>
      </c>
      <c r="Z15" s="104"/>
      <c r="AA15" s="66">
        <v>0</v>
      </c>
      <c r="AB15" s="121">
        <f t="shared" si="6"/>
        <v>0</v>
      </c>
      <c r="AC15" s="104"/>
      <c r="AD15" s="66">
        <v>0</v>
      </c>
      <c r="AE15" s="121">
        <f t="shared" si="7"/>
        <v>0</v>
      </c>
      <c r="AF15" s="104"/>
      <c r="AG15" s="66">
        <v>0</v>
      </c>
      <c r="AH15" s="121">
        <f t="shared" si="8"/>
        <v>0</v>
      </c>
      <c r="AI15" s="104">
        <f t="shared" si="11"/>
        <v>4</v>
      </c>
      <c r="AJ15" s="56"/>
      <c r="AK15" s="56"/>
      <c r="AL15" s="169" t="str">
        <f>"Provide plural notation for the units of measure entered at "&amp;ADDRESS(ROW($AJ$12),COLUMN($AJ$12))&amp;" to "&amp;ADDRESS(ROW($AJ$18),COLUMN($AJ$18))&amp;"."</f>
        <v>Provide plural notation for the units of measure entered at $AJ$12 to $AJ$18.</v>
      </c>
      <c r="AM15" s="104"/>
      <c r="AN15" s="104"/>
    </row>
    <row r="16" spans="3:40" x14ac:dyDescent="0.25">
      <c r="C16" s="112" t="str">
        <f t="shared" ref="C16:C79" si="12">LEFT(C15,4)+1&amp;"-"&amp;RIGHT(C15,2)+1</f>
        <v>2010-11</v>
      </c>
      <c r="D16" s="121">
        <f>IF(LEFT($C16,4)*1&lt;LEFT('General inputs'!$I$15,4)+'General inputs'!$H$28,SUM(G16,J16,M16,P16,S16,V16,Y16,AB16,AE16,AH16),"")</f>
        <v>100</v>
      </c>
      <c r="E16" s="104"/>
      <c r="F16" s="66">
        <v>100</v>
      </c>
      <c r="G16" s="121">
        <f t="shared" si="9"/>
        <v>100</v>
      </c>
      <c r="H16" s="104"/>
      <c r="I16" s="66">
        <v>0</v>
      </c>
      <c r="J16" s="121">
        <f t="shared" si="0"/>
        <v>0</v>
      </c>
      <c r="K16" s="104"/>
      <c r="L16" s="66">
        <v>0</v>
      </c>
      <c r="M16" s="121">
        <f t="shared" si="1"/>
        <v>0</v>
      </c>
      <c r="N16" s="104"/>
      <c r="O16" s="66">
        <v>0</v>
      </c>
      <c r="P16" s="121">
        <f t="shared" si="2"/>
        <v>0</v>
      </c>
      <c r="Q16" s="104"/>
      <c r="R16" s="66">
        <v>0</v>
      </c>
      <c r="S16" s="121">
        <f t="shared" si="3"/>
        <v>0</v>
      </c>
      <c r="T16" s="104"/>
      <c r="U16" s="66">
        <v>0</v>
      </c>
      <c r="V16" s="121">
        <f t="shared" si="4"/>
        <v>0</v>
      </c>
      <c r="W16" s="104"/>
      <c r="X16" s="66">
        <v>0</v>
      </c>
      <c r="Y16" s="121">
        <f t="shared" si="5"/>
        <v>0</v>
      </c>
      <c r="Z16" s="104"/>
      <c r="AA16" s="66">
        <v>0</v>
      </c>
      <c r="AB16" s="121">
        <f t="shared" si="6"/>
        <v>0</v>
      </c>
      <c r="AC16" s="104"/>
      <c r="AD16" s="66">
        <v>0</v>
      </c>
      <c r="AE16" s="121">
        <f t="shared" si="7"/>
        <v>0</v>
      </c>
      <c r="AF16" s="104"/>
      <c r="AG16" s="66">
        <v>0</v>
      </c>
      <c r="AH16" s="121">
        <f t="shared" si="8"/>
        <v>0</v>
      </c>
      <c r="AI16" s="104">
        <f t="shared" si="11"/>
        <v>5</v>
      </c>
      <c r="AJ16" s="173"/>
      <c r="AK16" s="173"/>
      <c r="AL16" s="169" t="s">
        <v>121</v>
      </c>
      <c r="AM16" s="104"/>
      <c r="AN16" s="104"/>
    </row>
    <row r="17" spans="3:40" x14ac:dyDescent="0.25">
      <c r="C17" s="112" t="str">
        <f t="shared" si="12"/>
        <v>2011-12</v>
      </c>
      <c r="D17" s="121">
        <f>IF(LEFT($C17,4)*1&lt;LEFT('General inputs'!$I$15,4)+'General inputs'!$H$28,SUM(G17,J17,M17,P17,S17,V17,Y17,AB17,AE17,AH17),"")</f>
        <v>100</v>
      </c>
      <c r="E17" s="104"/>
      <c r="F17" s="66">
        <v>100</v>
      </c>
      <c r="G17" s="121">
        <f t="shared" si="9"/>
        <v>100</v>
      </c>
      <c r="H17" s="104"/>
      <c r="I17" s="66">
        <v>0</v>
      </c>
      <c r="J17" s="121">
        <f t="shared" si="0"/>
        <v>0</v>
      </c>
      <c r="K17" s="104"/>
      <c r="L17" s="66">
        <v>0</v>
      </c>
      <c r="M17" s="121">
        <f t="shared" si="1"/>
        <v>0</v>
      </c>
      <c r="N17" s="104"/>
      <c r="O17" s="66">
        <v>0</v>
      </c>
      <c r="P17" s="121">
        <f t="shared" si="2"/>
        <v>0</v>
      </c>
      <c r="Q17" s="104"/>
      <c r="R17" s="66">
        <v>0</v>
      </c>
      <c r="S17" s="121">
        <f t="shared" si="3"/>
        <v>0</v>
      </c>
      <c r="T17" s="104"/>
      <c r="U17" s="66">
        <v>0</v>
      </c>
      <c r="V17" s="121">
        <f t="shared" si="4"/>
        <v>0</v>
      </c>
      <c r="W17" s="104"/>
      <c r="X17" s="66">
        <v>0</v>
      </c>
      <c r="Y17" s="121">
        <f t="shared" si="5"/>
        <v>0</v>
      </c>
      <c r="Z17" s="104"/>
      <c r="AA17" s="66">
        <v>0</v>
      </c>
      <c r="AB17" s="121">
        <f t="shared" si="6"/>
        <v>0</v>
      </c>
      <c r="AC17" s="104"/>
      <c r="AD17" s="66">
        <v>0</v>
      </c>
      <c r="AE17" s="121">
        <f t="shared" si="7"/>
        <v>0</v>
      </c>
      <c r="AF17" s="104"/>
      <c r="AG17" s="66">
        <v>0</v>
      </c>
      <c r="AH17" s="121">
        <f t="shared" si="8"/>
        <v>0</v>
      </c>
      <c r="AI17" s="104">
        <f t="shared" si="11"/>
        <v>6</v>
      </c>
      <c r="AJ17" s="56"/>
      <c r="AK17" s="56"/>
      <c r="AL17" s="104"/>
      <c r="AM17" s="104"/>
      <c r="AN17" s="104"/>
    </row>
    <row r="18" spans="3:40" x14ac:dyDescent="0.25">
      <c r="C18" s="112" t="str">
        <f t="shared" si="12"/>
        <v>2012-13</v>
      </c>
      <c r="D18" s="121">
        <f>IF(LEFT($C18,4)*1&lt;LEFT('General inputs'!$I$15,4)+'General inputs'!$H$28,SUM(G18,J18,M18,P18,S18,V18,Y18,AB18,AE18,AH18),"")</f>
        <v>100</v>
      </c>
      <c r="E18" s="104"/>
      <c r="F18" s="66">
        <v>100</v>
      </c>
      <c r="G18" s="121">
        <f t="shared" si="9"/>
        <v>100</v>
      </c>
      <c r="H18" s="104"/>
      <c r="I18" s="66">
        <v>0</v>
      </c>
      <c r="J18" s="121">
        <f t="shared" si="0"/>
        <v>0</v>
      </c>
      <c r="K18" s="104"/>
      <c r="L18" s="66">
        <v>0</v>
      </c>
      <c r="M18" s="121">
        <f t="shared" si="1"/>
        <v>0</v>
      </c>
      <c r="N18" s="104"/>
      <c r="O18" s="66">
        <v>0</v>
      </c>
      <c r="P18" s="121">
        <f t="shared" si="2"/>
        <v>0</v>
      </c>
      <c r="Q18" s="104"/>
      <c r="R18" s="66">
        <v>0</v>
      </c>
      <c r="S18" s="121">
        <f t="shared" si="3"/>
        <v>0</v>
      </c>
      <c r="T18" s="104"/>
      <c r="U18" s="66">
        <v>0</v>
      </c>
      <c r="V18" s="121">
        <f t="shared" si="4"/>
        <v>0</v>
      </c>
      <c r="W18" s="104"/>
      <c r="X18" s="66">
        <v>0</v>
      </c>
      <c r="Y18" s="121">
        <f t="shared" si="5"/>
        <v>0</v>
      </c>
      <c r="Z18" s="104"/>
      <c r="AA18" s="66">
        <v>0</v>
      </c>
      <c r="AB18" s="121">
        <f t="shared" si="6"/>
        <v>0</v>
      </c>
      <c r="AC18" s="104"/>
      <c r="AD18" s="66">
        <v>0</v>
      </c>
      <c r="AE18" s="121">
        <f t="shared" si="7"/>
        <v>0</v>
      </c>
      <c r="AF18" s="104"/>
      <c r="AG18" s="66">
        <v>0</v>
      </c>
      <c r="AH18" s="121">
        <f t="shared" si="8"/>
        <v>0</v>
      </c>
      <c r="AI18" s="104">
        <f t="shared" si="11"/>
        <v>7</v>
      </c>
      <c r="AJ18" s="56"/>
      <c r="AK18" s="56"/>
      <c r="AL18" s="104"/>
      <c r="AM18" s="104"/>
      <c r="AN18" s="104"/>
    </row>
    <row r="19" spans="3:40" x14ac:dyDescent="0.25">
      <c r="C19" s="112" t="str">
        <f t="shared" si="12"/>
        <v>2013-14</v>
      </c>
      <c r="D19" s="121">
        <f>IF(LEFT($C19,4)*1&lt;LEFT('General inputs'!$I$15,4)+'General inputs'!$H$28,SUM(G19,J19,M19,P19,S19,V19,Y19,AB19,AE19,AH19),"")</f>
        <v>100</v>
      </c>
      <c r="E19" s="104"/>
      <c r="F19" s="66">
        <v>100</v>
      </c>
      <c r="G19" s="121">
        <f t="shared" si="9"/>
        <v>100</v>
      </c>
      <c r="H19" s="104"/>
      <c r="I19" s="66">
        <v>0</v>
      </c>
      <c r="J19" s="121">
        <f t="shared" si="0"/>
        <v>0</v>
      </c>
      <c r="K19" s="104"/>
      <c r="L19" s="66">
        <v>0</v>
      </c>
      <c r="M19" s="121">
        <f>L19*$M$9/$F$6</f>
        <v>0</v>
      </c>
      <c r="N19" s="104"/>
      <c r="O19" s="66">
        <v>0</v>
      </c>
      <c r="P19" s="121">
        <f t="shared" si="2"/>
        <v>0</v>
      </c>
      <c r="Q19" s="104"/>
      <c r="R19" s="66">
        <v>0</v>
      </c>
      <c r="S19" s="121">
        <f t="shared" si="3"/>
        <v>0</v>
      </c>
      <c r="T19" s="104"/>
      <c r="U19" s="66">
        <v>0</v>
      </c>
      <c r="V19" s="121">
        <f t="shared" si="4"/>
        <v>0</v>
      </c>
      <c r="W19" s="104"/>
      <c r="X19" s="66">
        <v>0</v>
      </c>
      <c r="Y19" s="121">
        <f t="shared" si="5"/>
        <v>0</v>
      </c>
      <c r="Z19" s="104"/>
      <c r="AA19" s="66">
        <v>0</v>
      </c>
      <c r="AB19" s="121">
        <f t="shared" si="6"/>
        <v>0</v>
      </c>
      <c r="AC19" s="104"/>
      <c r="AD19" s="66">
        <v>0</v>
      </c>
      <c r="AE19" s="121">
        <f t="shared" si="7"/>
        <v>0</v>
      </c>
      <c r="AF19" s="104"/>
      <c r="AG19" s="66">
        <v>0</v>
      </c>
      <c r="AH19" s="121">
        <f t="shared" si="8"/>
        <v>0</v>
      </c>
      <c r="AI19" s="104"/>
      <c r="AJ19" s="255" t="str">
        <f>"add alternatives at "&amp;ADDRESS(ROW(AJ18),COLUMN(AJ18))&amp;":"&amp;ADDRESS(ROW(AJ23),COLUMN(AJ23))</f>
        <v>add alternatives at $AJ$18:$AJ$23</v>
      </c>
      <c r="AK19" s="170"/>
      <c r="AL19" s="104"/>
      <c r="AM19" s="104"/>
      <c r="AN19" s="104"/>
    </row>
    <row r="20" spans="3:40" x14ac:dyDescent="0.25">
      <c r="C20" s="112" t="str">
        <f t="shared" si="12"/>
        <v>2014-15</v>
      </c>
      <c r="D20" s="121">
        <f>IF(LEFT($C20,4)*1&lt;LEFT('General inputs'!$I$15,4)+'General inputs'!$H$28,SUM(G20,J20,M20,P20,S20,V20,Y20,AB20,AE20,AH20),"")</f>
        <v>100</v>
      </c>
      <c r="E20" s="104"/>
      <c r="F20" s="66">
        <v>100</v>
      </c>
      <c r="G20" s="121">
        <f t="shared" si="9"/>
        <v>100</v>
      </c>
      <c r="H20" s="104"/>
      <c r="I20" s="66">
        <v>0</v>
      </c>
      <c r="J20" s="121">
        <f t="shared" si="0"/>
        <v>0</v>
      </c>
      <c r="K20" s="104"/>
      <c r="L20" s="66">
        <v>0</v>
      </c>
      <c r="M20" s="121">
        <f t="shared" si="1"/>
        <v>0</v>
      </c>
      <c r="N20" s="104"/>
      <c r="O20" s="66">
        <v>0</v>
      </c>
      <c r="P20" s="121">
        <f t="shared" si="2"/>
        <v>0</v>
      </c>
      <c r="Q20" s="104"/>
      <c r="R20" s="66">
        <v>0</v>
      </c>
      <c r="S20" s="121">
        <f t="shared" si="3"/>
        <v>0</v>
      </c>
      <c r="T20" s="104"/>
      <c r="U20" s="66">
        <v>0</v>
      </c>
      <c r="V20" s="121">
        <f t="shared" si="4"/>
        <v>0</v>
      </c>
      <c r="W20" s="104"/>
      <c r="X20" s="66">
        <v>0</v>
      </c>
      <c r="Y20" s="121">
        <f t="shared" si="5"/>
        <v>0</v>
      </c>
      <c r="Z20" s="104"/>
      <c r="AA20" s="66">
        <v>0</v>
      </c>
      <c r="AB20" s="121">
        <f t="shared" si="6"/>
        <v>0</v>
      </c>
      <c r="AC20" s="104"/>
      <c r="AD20" s="66">
        <v>0</v>
      </c>
      <c r="AE20" s="121">
        <f t="shared" si="7"/>
        <v>0</v>
      </c>
      <c r="AF20" s="104"/>
      <c r="AG20" s="66">
        <v>0</v>
      </c>
      <c r="AH20" s="121">
        <f t="shared" si="8"/>
        <v>0</v>
      </c>
      <c r="AI20" s="104"/>
      <c r="AL20" s="104"/>
      <c r="AM20" s="104"/>
      <c r="AN20" s="104"/>
    </row>
    <row r="21" spans="3:40" x14ac:dyDescent="0.25">
      <c r="C21" s="112" t="str">
        <f t="shared" si="12"/>
        <v>2015-16</v>
      </c>
      <c r="D21" s="121">
        <f>IF(LEFT($C21,4)*1&lt;LEFT('General inputs'!$I$15,4)+'General inputs'!$H$28,SUM(G21,J21,M21,P21,S21,V21,Y21,AB21,AE21,AH21),"")</f>
        <v>100</v>
      </c>
      <c r="E21" s="104"/>
      <c r="F21" s="66">
        <v>100</v>
      </c>
      <c r="G21" s="121">
        <f t="shared" si="9"/>
        <v>100</v>
      </c>
      <c r="H21" s="104"/>
      <c r="I21" s="66">
        <v>0</v>
      </c>
      <c r="J21" s="121">
        <f t="shared" si="0"/>
        <v>0</v>
      </c>
      <c r="K21" s="104"/>
      <c r="L21" s="66">
        <v>0</v>
      </c>
      <c r="M21" s="121">
        <f t="shared" si="1"/>
        <v>0</v>
      </c>
      <c r="N21" s="104"/>
      <c r="O21" s="66">
        <v>0</v>
      </c>
      <c r="P21" s="121">
        <f t="shared" si="2"/>
        <v>0</v>
      </c>
      <c r="Q21" s="104"/>
      <c r="R21" s="66">
        <v>0</v>
      </c>
      <c r="S21" s="121">
        <f t="shared" si="3"/>
        <v>0</v>
      </c>
      <c r="T21" s="104"/>
      <c r="U21" s="66">
        <v>0</v>
      </c>
      <c r="V21" s="121">
        <f t="shared" si="4"/>
        <v>0</v>
      </c>
      <c r="W21" s="104"/>
      <c r="X21" s="66">
        <v>0</v>
      </c>
      <c r="Y21" s="121">
        <f t="shared" si="5"/>
        <v>0</v>
      </c>
      <c r="Z21" s="104"/>
      <c r="AA21" s="66">
        <v>0</v>
      </c>
      <c r="AB21" s="121">
        <f t="shared" si="6"/>
        <v>0</v>
      </c>
      <c r="AC21" s="104"/>
      <c r="AD21" s="66">
        <v>0</v>
      </c>
      <c r="AE21" s="121">
        <f t="shared" si="7"/>
        <v>0</v>
      </c>
      <c r="AF21" s="104"/>
      <c r="AG21" s="66">
        <v>0</v>
      </c>
      <c r="AH21" s="121">
        <f t="shared" si="8"/>
        <v>0</v>
      </c>
      <c r="AI21" s="104"/>
      <c r="AL21" s="104"/>
      <c r="AM21" s="104"/>
      <c r="AN21" s="104"/>
    </row>
    <row r="22" spans="3:40" x14ac:dyDescent="0.25">
      <c r="C22" s="112" t="str">
        <f t="shared" si="12"/>
        <v>2016-17</v>
      </c>
      <c r="D22" s="121">
        <f>IF(LEFT($C22,4)*1&lt;LEFT('General inputs'!$I$15,4)+'General inputs'!$H$28,SUM(G22,J22,M22,P22,S22,V22,Y22,AB22,AE22,AH22),"")</f>
        <v>100</v>
      </c>
      <c r="E22" s="104"/>
      <c r="F22" s="66">
        <v>100</v>
      </c>
      <c r="G22" s="121">
        <f t="shared" si="9"/>
        <v>100</v>
      </c>
      <c r="H22" s="104"/>
      <c r="I22" s="66">
        <v>0</v>
      </c>
      <c r="J22" s="121">
        <f t="shared" si="0"/>
        <v>0</v>
      </c>
      <c r="K22" s="104"/>
      <c r="L22" s="66">
        <v>0</v>
      </c>
      <c r="M22" s="121">
        <f t="shared" si="1"/>
        <v>0</v>
      </c>
      <c r="N22" s="104"/>
      <c r="O22" s="66">
        <v>0</v>
      </c>
      <c r="P22" s="121">
        <f t="shared" si="2"/>
        <v>0</v>
      </c>
      <c r="Q22" s="104"/>
      <c r="R22" s="66">
        <v>0</v>
      </c>
      <c r="S22" s="121">
        <f t="shared" si="3"/>
        <v>0</v>
      </c>
      <c r="T22" s="104"/>
      <c r="U22" s="66">
        <v>0</v>
      </c>
      <c r="V22" s="121">
        <f t="shared" si="4"/>
        <v>0</v>
      </c>
      <c r="W22" s="104"/>
      <c r="X22" s="66">
        <v>0</v>
      </c>
      <c r="Y22" s="121">
        <f t="shared" si="5"/>
        <v>0</v>
      </c>
      <c r="Z22" s="104"/>
      <c r="AA22" s="66">
        <v>0</v>
      </c>
      <c r="AB22" s="121">
        <f t="shared" si="6"/>
        <v>0</v>
      </c>
      <c r="AC22" s="104"/>
      <c r="AD22" s="66">
        <v>0</v>
      </c>
      <c r="AE22" s="121">
        <f t="shared" si="7"/>
        <v>0</v>
      </c>
      <c r="AF22" s="104"/>
      <c r="AG22" s="66">
        <v>0</v>
      </c>
      <c r="AH22" s="121">
        <f t="shared" si="8"/>
        <v>0</v>
      </c>
      <c r="AI22" s="104"/>
      <c r="AL22" s="104"/>
      <c r="AM22" s="104"/>
      <c r="AN22" s="104"/>
    </row>
    <row r="23" spans="3:40" x14ac:dyDescent="0.25">
      <c r="C23" s="112" t="str">
        <f t="shared" si="12"/>
        <v>2017-18</v>
      </c>
      <c r="D23" s="121">
        <f>IF(LEFT($C23,4)*1&lt;LEFT('General inputs'!$I$15,4)+'General inputs'!$H$28,SUM(G23,J23,M23,P23,S23,V23,Y23,AB23,AE23,AH23),"")</f>
        <v>100</v>
      </c>
      <c r="E23" s="104"/>
      <c r="F23" s="66">
        <v>100</v>
      </c>
      <c r="G23" s="121">
        <f t="shared" si="9"/>
        <v>100</v>
      </c>
      <c r="H23" s="104"/>
      <c r="I23" s="66">
        <v>0</v>
      </c>
      <c r="J23" s="121">
        <f t="shared" si="0"/>
        <v>0</v>
      </c>
      <c r="K23" s="104"/>
      <c r="L23" s="66">
        <v>0</v>
      </c>
      <c r="M23" s="121">
        <f t="shared" si="1"/>
        <v>0</v>
      </c>
      <c r="N23" s="104"/>
      <c r="O23" s="66">
        <v>0</v>
      </c>
      <c r="P23" s="121">
        <f t="shared" si="2"/>
        <v>0</v>
      </c>
      <c r="Q23" s="104"/>
      <c r="R23" s="66">
        <v>0</v>
      </c>
      <c r="S23" s="121">
        <f t="shared" si="3"/>
        <v>0</v>
      </c>
      <c r="T23" s="104"/>
      <c r="U23" s="66">
        <v>0</v>
      </c>
      <c r="V23" s="121">
        <f t="shared" si="4"/>
        <v>0</v>
      </c>
      <c r="W23" s="104"/>
      <c r="X23" s="66">
        <v>0</v>
      </c>
      <c r="Y23" s="121">
        <f t="shared" si="5"/>
        <v>0</v>
      </c>
      <c r="Z23" s="104"/>
      <c r="AA23" s="66">
        <v>0</v>
      </c>
      <c r="AB23" s="121">
        <f t="shared" si="6"/>
        <v>0</v>
      </c>
      <c r="AC23" s="104"/>
      <c r="AD23" s="66">
        <v>0</v>
      </c>
      <c r="AE23" s="121">
        <f t="shared" si="7"/>
        <v>0</v>
      </c>
      <c r="AF23" s="104"/>
      <c r="AG23" s="66">
        <v>0</v>
      </c>
      <c r="AH23" s="121">
        <f t="shared" si="8"/>
        <v>0</v>
      </c>
      <c r="AI23" s="104"/>
      <c r="AL23" s="104"/>
      <c r="AM23" s="104"/>
      <c r="AN23" s="104"/>
    </row>
    <row r="24" spans="3:40" x14ac:dyDescent="0.25">
      <c r="C24" s="112" t="str">
        <f t="shared" si="12"/>
        <v>2018-19</v>
      </c>
      <c r="D24" s="121">
        <f>IF(LEFT($C24,4)*1&lt;LEFT('General inputs'!$I$15,4)+'General inputs'!$H$28,SUM(G24,J24,M24,P24,S24,V24,Y24,AB24,AE24,AH24),"")</f>
        <v>100</v>
      </c>
      <c r="E24" s="104"/>
      <c r="F24" s="66">
        <v>100</v>
      </c>
      <c r="G24" s="121">
        <f t="shared" si="9"/>
        <v>100</v>
      </c>
      <c r="H24" s="104"/>
      <c r="I24" s="66">
        <v>0</v>
      </c>
      <c r="J24" s="121">
        <f t="shared" si="0"/>
        <v>0</v>
      </c>
      <c r="K24" s="104"/>
      <c r="L24" s="66">
        <v>0</v>
      </c>
      <c r="M24" s="121">
        <f t="shared" si="1"/>
        <v>0</v>
      </c>
      <c r="N24" s="104"/>
      <c r="O24" s="66">
        <v>0</v>
      </c>
      <c r="P24" s="121">
        <f t="shared" si="2"/>
        <v>0</v>
      </c>
      <c r="Q24" s="104"/>
      <c r="R24" s="66">
        <v>0</v>
      </c>
      <c r="S24" s="121">
        <f t="shared" si="3"/>
        <v>0</v>
      </c>
      <c r="T24" s="104"/>
      <c r="U24" s="66">
        <v>0</v>
      </c>
      <c r="V24" s="121">
        <f t="shared" si="4"/>
        <v>0</v>
      </c>
      <c r="W24" s="104"/>
      <c r="X24" s="66">
        <v>0</v>
      </c>
      <c r="Y24" s="121">
        <f t="shared" si="5"/>
        <v>0</v>
      </c>
      <c r="Z24" s="104"/>
      <c r="AA24" s="66">
        <v>0</v>
      </c>
      <c r="AB24" s="121">
        <f t="shared" si="6"/>
        <v>0</v>
      </c>
      <c r="AC24" s="104"/>
      <c r="AD24" s="66">
        <v>0</v>
      </c>
      <c r="AE24" s="121">
        <f t="shared" si="7"/>
        <v>0</v>
      </c>
      <c r="AF24" s="104"/>
      <c r="AG24" s="66">
        <v>0</v>
      </c>
      <c r="AH24" s="121">
        <f t="shared" si="8"/>
        <v>0</v>
      </c>
      <c r="AI24" s="104"/>
      <c r="AL24" s="104"/>
      <c r="AM24" s="104"/>
      <c r="AN24" s="104"/>
    </row>
    <row r="25" spans="3:40" x14ac:dyDescent="0.25">
      <c r="C25" s="112" t="str">
        <f t="shared" si="12"/>
        <v>2019-20</v>
      </c>
      <c r="D25" s="121">
        <f>IF(LEFT($C25,4)*1&lt;LEFT('General inputs'!$I$15,4)+'General inputs'!$H$28,SUM(G25,J25,M25,P25,S25,V25,Y25,AB25,AE25,AH25),"")</f>
        <v>100</v>
      </c>
      <c r="E25" s="104"/>
      <c r="F25" s="66">
        <v>100</v>
      </c>
      <c r="G25" s="121">
        <f t="shared" si="9"/>
        <v>100</v>
      </c>
      <c r="H25" s="104"/>
      <c r="I25" s="66">
        <v>0</v>
      </c>
      <c r="J25" s="121">
        <f t="shared" si="0"/>
        <v>0</v>
      </c>
      <c r="K25" s="104"/>
      <c r="L25" s="66">
        <v>0</v>
      </c>
      <c r="M25" s="121">
        <f t="shared" si="1"/>
        <v>0</v>
      </c>
      <c r="N25" s="104"/>
      <c r="O25" s="66">
        <v>0</v>
      </c>
      <c r="P25" s="121">
        <f t="shared" si="2"/>
        <v>0</v>
      </c>
      <c r="Q25" s="104"/>
      <c r="R25" s="66">
        <v>0</v>
      </c>
      <c r="S25" s="121">
        <f t="shared" si="3"/>
        <v>0</v>
      </c>
      <c r="T25" s="104"/>
      <c r="U25" s="66">
        <v>0</v>
      </c>
      <c r="V25" s="121">
        <f t="shared" si="4"/>
        <v>0</v>
      </c>
      <c r="W25" s="104"/>
      <c r="X25" s="66">
        <v>0</v>
      </c>
      <c r="Y25" s="121">
        <f t="shared" si="5"/>
        <v>0</v>
      </c>
      <c r="Z25" s="104"/>
      <c r="AA25" s="66">
        <v>0</v>
      </c>
      <c r="AB25" s="121">
        <f t="shared" si="6"/>
        <v>0</v>
      </c>
      <c r="AC25" s="104"/>
      <c r="AD25" s="66">
        <v>0</v>
      </c>
      <c r="AE25" s="121">
        <f t="shared" si="7"/>
        <v>0</v>
      </c>
      <c r="AF25" s="104"/>
      <c r="AG25" s="66">
        <v>0</v>
      </c>
      <c r="AH25" s="121">
        <f t="shared" si="8"/>
        <v>0</v>
      </c>
      <c r="AI25" s="104"/>
      <c r="AL25" s="104"/>
      <c r="AM25" s="104"/>
      <c r="AN25" s="104"/>
    </row>
    <row r="26" spans="3:40" x14ac:dyDescent="0.25">
      <c r="C26" s="112" t="str">
        <f t="shared" si="12"/>
        <v>2020-21</v>
      </c>
      <c r="D26" s="121">
        <f>IF(LEFT($C26,4)*1&lt;LEFT('General inputs'!$I$15,4)+'General inputs'!$H$28,SUM(G26,J26,M26,P26,S26,V26,Y26,AB26,AE26,AH26),"")</f>
        <v>100</v>
      </c>
      <c r="E26" s="104"/>
      <c r="F26" s="66">
        <v>100</v>
      </c>
      <c r="G26" s="121">
        <f t="shared" si="9"/>
        <v>100</v>
      </c>
      <c r="H26" s="104"/>
      <c r="I26" s="66">
        <v>0</v>
      </c>
      <c r="J26" s="121">
        <f t="shared" si="0"/>
        <v>0</v>
      </c>
      <c r="K26" s="104"/>
      <c r="L26" s="66">
        <v>0</v>
      </c>
      <c r="M26" s="121">
        <f t="shared" si="1"/>
        <v>0</v>
      </c>
      <c r="N26" s="104"/>
      <c r="O26" s="66">
        <v>0</v>
      </c>
      <c r="P26" s="121">
        <f t="shared" si="2"/>
        <v>0</v>
      </c>
      <c r="Q26" s="104"/>
      <c r="R26" s="66">
        <v>0</v>
      </c>
      <c r="S26" s="121">
        <f t="shared" si="3"/>
        <v>0</v>
      </c>
      <c r="T26" s="104"/>
      <c r="U26" s="66">
        <v>0</v>
      </c>
      <c r="V26" s="121">
        <f t="shared" si="4"/>
        <v>0</v>
      </c>
      <c r="W26" s="104"/>
      <c r="X26" s="66">
        <v>0</v>
      </c>
      <c r="Y26" s="121">
        <f t="shared" si="5"/>
        <v>0</v>
      </c>
      <c r="Z26" s="104"/>
      <c r="AA26" s="66">
        <v>0</v>
      </c>
      <c r="AB26" s="121">
        <f t="shared" si="6"/>
        <v>0</v>
      </c>
      <c r="AC26" s="104"/>
      <c r="AD26" s="66">
        <v>0</v>
      </c>
      <c r="AE26" s="121">
        <f t="shared" si="7"/>
        <v>0</v>
      </c>
      <c r="AF26" s="104"/>
      <c r="AG26" s="66">
        <v>0</v>
      </c>
      <c r="AH26" s="121">
        <f t="shared" si="8"/>
        <v>0</v>
      </c>
      <c r="AI26" s="104"/>
      <c r="AL26" s="104"/>
      <c r="AM26" s="104"/>
      <c r="AN26" s="104"/>
    </row>
    <row r="27" spans="3:40" x14ac:dyDescent="0.25">
      <c r="C27" s="112" t="str">
        <f t="shared" si="12"/>
        <v>2021-22</v>
      </c>
      <c r="D27" s="121">
        <f>IF(LEFT($C27,4)*1&lt;LEFT('General inputs'!$I$15,4)+'General inputs'!$H$28,SUM(G27,J27,M27,P27,S27,V27,Y27,AB27,AE27,AH27),"")</f>
        <v>100</v>
      </c>
      <c r="E27" s="104"/>
      <c r="F27" s="66">
        <v>100</v>
      </c>
      <c r="G27" s="121">
        <f t="shared" si="9"/>
        <v>100</v>
      </c>
      <c r="H27" s="104"/>
      <c r="I27" s="66">
        <v>0</v>
      </c>
      <c r="J27" s="121">
        <f t="shared" si="0"/>
        <v>0</v>
      </c>
      <c r="K27" s="104"/>
      <c r="L27" s="66">
        <v>0</v>
      </c>
      <c r="M27" s="121">
        <f t="shared" si="1"/>
        <v>0</v>
      </c>
      <c r="N27" s="104"/>
      <c r="O27" s="66">
        <v>0</v>
      </c>
      <c r="P27" s="121">
        <f t="shared" si="2"/>
        <v>0</v>
      </c>
      <c r="Q27" s="104"/>
      <c r="R27" s="66">
        <v>0</v>
      </c>
      <c r="S27" s="121">
        <f t="shared" si="3"/>
        <v>0</v>
      </c>
      <c r="T27" s="104"/>
      <c r="U27" s="66">
        <v>0</v>
      </c>
      <c r="V27" s="121">
        <f t="shared" si="4"/>
        <v>0</v>
      </c>
      <c r="W27" s="104"/>
      <c r="X27" s="66">
        <v>0</v>
      </c>
      <c r="Y27" s="121">
        <f t="shared" si="5"/>
        <v>0</v>
      </c>
      <c r="Z27" s="104"/>
      <c r="AA27" s="66">
        <v>0</v>
      </c>
      <c r="AB27" s="121">
        <f t="shared" si="6"/>
        <v>0</v>
      </c>
      <c r="AC27" s="104"/>
      <c r="AD27" s="66">
        <v>0</v>
      </c>
      <c r="AE27" s="121">
        <f t="shared" si="7"/>
        <v>0</v>
      </c>
      <c r="AF27" s="104"/>
      <c r="AG27" s="66">
        <v>0</v>
      </c>
      <c r="AH27" s="121">
        <f t="shared" si="8"/>
        <v>0</v>
      </c>
      <c r="AI27" s="104"/>
      <c r="AL27" s="104"/>
      <c r="AM27" s="104"/>
      <c r="AN27" s="104"/>
    </row>
    <row r="28" spans="3:40" x14ac:dyDescent="0.25">
      <c r="C28" s="112" t="str">
        <f t="shared" si="12"/>
        <v>2022-23</v>
      </c>
      <c r="D28" s="121">
        <f>IF(LEFT($C28,4)*1&lt;LEFT('General inputs'!$I$15,4)+'General inputs'!$H$28,SUM(G28,J28,M28,P28,S28,V28,Y28,AB28,AE28,AH28),"")</f>
        <v>100</v>
      </c>
      <c r="E28" s="104"/>
      <c r="F28" s="66">
        <v>100</v>
      </c>
      <c r="G28" s="121">
        <f t="shared" si="9"/>
        <v>100</v>
      </c>
      <c r="H28" s="104"/>
      <c r="I28" s="66">
        <v>0</v>
      </c>
      <c r="J28" s="121">
        <f t="shared" si="0"/>
        <v>0</v>
      </c>
      <c r="K28" s="104"/>
      <c r="L28" s="66">
        <v>0</v>
      </c>
      <c r="M28" s="121">
        <f t="shared" si="1"/>
        <v>0</v>
      </c>
      <c r="N28" s="104"/>
      <c r="O28" s="66">
        <v>0</v>
      </c>
      <c r="P28" s="121">
        <f t="shared" si="2"/>
        <v>0</v>
      </c>
      <c r="Q28" s="104"/>
      <c r="R28" s="66">
        <v>0</v>
      </c>
      <c r="S28" s="121">
        <f t="shared" si="3"/>
        <v>0</v>
      </c>
      <c r="T28" s="104"/>
      <c r="U28" s="66">
        <v>0</v>
      </c>
      <c r="V28" s="121">
        <f t="shared" si="4"/>
        <v>0</v>
      </c>
      <c r="W28" s="104"/>
      <c r="X28" s="66">
        <v>0</v>
      </c>
      <c r="Y28" s="121">
        <f t="shared" si="5"/>
        <v>0</v>
      </c>
      <c r="Z28" s="104"/>
      <c r="AA28" s="66">
        <v>0</v>
      </c>
      <c r="AB28" s="121">
        <f t="shared" si="6"/>
        <v>0</v>
      </c>
      <c r="AC28" s="104"/>
      <c r="AD28" s="66">
        <v>0</v>
      </c>
      <c r="AE28" s="121">
        <f t="shared" si="7"/>
        <v>0</v>
      </c>
      <c r="AF28" s="104"/>
      <c r="AG28" s="66">
        <v>0</v>
      </c>
      <c r="AH28" s="121">
        <f t="shared" si="8"/>
        <v>0</v>
      </c>
      <c r="AI28" s="104"/>
      <c r="AL28" s="104"/>
      <c r="AM28" s="104"/>
      <c r="AN28" s="104"/>
    </row>
    <row r="29" spans="3:40" x14ac:dyDescent="0.25">
      <c r="C29" s="112" t="str">
        <f t="shared" si="12"/>
        <v>2023-24</v>
      </c>
      <c r="D29" s="121">
        <f>IF(LEFT($C29,4)*1&lt;LEFT('General inputs'!$I$15,4)+'General inputs'!$H$28,SUM(G29,J29,M29,P29,S29,V29,Y29,AB29,AE29,AH29),"")</f>
        <v>100</v>
      </c>
      <c r="E29" s="104"/>
      <c r="F29" s="66">
        <v>100</v>
      </c>
      <c r="G29" s="121">
        <f t="shared" si="9"/>
        <v>100</v>
      </c>
      <c r="H29" s="104"/>
      <c r="I29" s="66">
        <v>0</v>
      </c>
      <c r="J29" s="121">
        <f t="shared" si="0"/>
        <v>0</v>
      </c>
      <c r="K29" s="104"/>
      <c r="L29" s="66">
        <v>0</v>
      </c>
      <c r="M29" s="121">
        <f t="shared" si="1"/>
        <v>0</v>
      </c>
      <c r="N29" s="104"/>
      <c r="O29" s="66">
        <v>0</v>
      </c>
      <c r="P29" s="121">
        <f t="shared" si="2"/>
        <v>0</v>
      </c>
      <c r="Q29" s="104"/>
      <c r="R29" s="66">
        <v>0</v>
      </c>
      <c r="S29" s="121">
        <f t="shared" si="3"/>
        <v>0</v>
      </c>
      <c r="T29" s="104"/>
      <c r="U29" s="66">
        <v>0</v>
      </c>
      <c r="V29" s="121">
        <f t="shared" si="4"/>
        <v>0</v>
      </c>
      <c r="W29" s="104"/>
      <c r="X29" s="66">
        <v>0</v>
      </c>
      <c r="Y29" s="121">
        <f t="shared" si="5"/>
        <v>0</v>
      </c>
      <c r="Z29" s="104"/>
      <c r="AA29" s="66">
        <v>0</v>
      </c>
      <c r="AB29" s="121">
        <f t="shared" si="6"/>
        <v>0</v>
      </c>
      <c r="AC29" s="104"/>
      <c r="AD29" s="66">
        <v>0</v>
      </c>
      <c r="AE29" s="121">
        <f t="shared" si="7"/>
        <v>0</v>
      </c>
      <c r="AF29" s="104"/>
      <c r="AG29" s="66">
        <v>0</v>
      </c>
      <c r="AH29" s="121">
        <f t="shared" si="8"/>
        <v>0</v>
      </c>
      <c r="AI29" s="104"/>
      <c r="AL29" s="104"/>
      <c r="AM29" s="104"/>
      <c r="AN29" s="104"/>
    </row>
    <row r="30" spans="3:40" x14ac:dyDescent="0.25">
      <c r="C30" s="112" t="str">
        <f t="shared" si="12"/>
        <v>2024-25</v>
      </c>
      <c r="D30" s="121">
        <f>IF(LEFT($C30,4)*1&lt;LEFT('General inputs'!$I$15,4)+'General inputs'!$H$28,SUM(G30,J30,M30,P30,S30,V30,Y30,AB30,AE30,AH30),"")</f>
        <v>100</v>
      </c>
      <c r="E30" s="104"/>
      <c r="F30" s="66">
        <v>100</v>
      </c>
      <c r="G30" s="121">
        <f t="shared" si="9"/>
        <v>100</v>
      </c>
      <c r="H30" s="104"/>
      <c r="I30" s="66">
        <v>0</v>
      </c>
      <c r="J30" s="121">
        <f t="shared" si="0"/>
        <v>0</v>
      </c>
      <c r="K30" s="104"/>
      <c r="L30" s="66">
        <v>0</v>
      </c>
      <c r="M30" s="121">
        <f t="shared" si="1"/>
        <v>0</v>
      </c>
      <c r="N30" s="104"/>
      <c r="O30" s="66">
        <v>0</v>
      </c>
      <c r="P30" s="121">
        <f t="shared" si="2"/>
        <v>0</v>
      </c>
      <c r="Q30" s="104"/>
      <c r="R30" s="66">
        <v>0</v>
      </c>
      <c r="S30" s="121">
        <f t="shared" si="3"/>
        <v>0</v>
      </c>
      <c r="T30" s="104"/>
      <c r="U30" s="66">
        <v>0</v>
      </c>
      <c r="V30" s="121">
        <f t="shared" si="4"/>
        <v>0</v>
      </c>
      <c r="W30" s="104"/>
      <c r="X30" s="66">
        <v>0</v>
      </c>
      <c r="Y30" s="121">
        <f t="shared" si="5"/>
        <v>0</v>
      </c>
      <c r="Z30" s="104"/>
      <c r="AA30" s="66">
        <v>0</v>
      </c>
      <c r="AB30" s="121">
        <f t="shared" si="6"/>
        <v>0</v>
      </c>
      <c r="AC30" s="104"/>
      <c r="AD30" s="66">
        <v>0</v>
      </c>
      <c r="AE30" s="121">
        <f t="shared" si="7"/>
        <v>0</v>
      </c>
      <c r="AF30" s="104"/>
      <c r="AG30" s="66">
        <v>0</v>
      </c>
      <c r="AH30" s="121">
        <f t="shared" si="8"/>
        <v>0</v>
      </c>
      <c r="AI30" s="104"/>
      <c r="AL30" s="104"/>
      <c r="AM30" s="104"/>
      <c r="AN30" s="104"/>
    </row>
    <row r="31" spans="3:40" x14ac:dyDescent="0.25">
      <c r="C31" s="112" t="str">
        <f t="shared" si="12"/>
        <v>2025-26</v>
      </c>
      <c r="D31" s="121">
        <f>IF(LEFT($C31,4)*1&lt;LEFT('General inputs'!$I$15,4)+'General inputs'!$H$28,SUM(G31,J31,M31,P31,S31,V31,Y31,AB31,AE31,AH31),"")</f>
        <v>100</v>
      </c>
      <c r="E31" s="104"/>
      <c r="F31" s="66">
        <v>100</v>
      </c>
      <c r="G31" s="121">
        <f t="shared" si="9"/>
        <v>100</v>
      </c>
      <c r="H31" s="104"/>
      <c r="I31" s="66">
        <v>0</v>
      </c>
      <c r="J31" s="121">
        <f t="shared" si="0"/>
        <v>0</v>
      </c>
      <c r="K31" s="104"/>
      <c r="L31" s="66">
        <v>0</v>
      </c>
      <c r="M31" s="121">
        <f t="shared" si="1"/>
        <v>0</v>
      </c>
      <c r="N31" s="104"/>
      <c r="O31" s="66">
        <v>0</v>
      </c>
      <c r="P31" s="121">
        <f t="shared" si="2"/>
        <v>0</v>
      </c>
      <c r="Q31" s="104"/>
      <c r="R31" s="66">
        <v>0</v>
      </c>
      <c r="S31" s="121">
        <f t="shared" si="3"/>
        <v>0</v>
      </c>
      <c r="T31" s="104"/>
      <c r="U31" s="66">
        <v>0</v>
      </c>
      <c r="V31" s="121">
        <f t="shared" si="4"/>
        <v>0</v>
      </c>
      <c r="W31" s="104"/>
      <c r="X31" s="66">
        <v>0</v>
      </c>
      <c r="Y31" s="121">
        <f t="shared" si="5"/>
        <v>0</v>
      </c>
      <c r="Z31" s="104"/>
      <c r="AA31" s="66">
        <v>0</v>
      </c>
      <c r="AB31" s="121">
        <f t="shared" si="6"/>
        <v>0</v>
      </c>
      <c r="AC31" s="104"/>
      <c r="AD31" s="66">
        <v>0</v>
      </c>
      <c r="AE31" s="121">
        <f t="shared" si="7"/>
        <v>0</v>
      </c>
      <c r="AF31" s="104"/>
      <c r="AG31" s="66">
        <v>0</v>
      </c>
      <c r="AH31" s="121">
        <f t="shared" si="8"/>
        <v>0</v>
      </c>
      <c r="AI31" s="104"/>
      <c r="AL31" s="104"/>
      <c r="AM31" s="104"/>
      <c r="AN31" s="104"/>
    </row>
    <row r="32" spans="3:40" x14ac:dyDescent="0.25">
      <c r="C32" s="112" t="str">
        <f t="shared" si="12"/>
        <v>2026-27</v>
      </c>
      <c r="D32" s="121">
        <f>IF(LEFT($C32,4)*1&lt;LEFT('General inputs'!$I$15,4)+'General inputs'!$H$28,SUM(G32,J32,M32,P32,S32,V32,Y32,AB32,AE32,AH32),"")</f>
        <v>100</v>
      </c>
      <c r="E32" s="104"/>
      <c r="F32" s="66">
        <v>100</v>
      </c>
      <c r="G32" s="121">
        <f t="shared" si="9"/>
        <v>100</v>
      </c>
      <c r="H32" s="104"/>
      <c r="I32" s="66">
        <v>0</v>
      </c>
      <c r="J32" s="121">
        <f t="shared" si="0"/>
        <v>0</v>
      </c>
      <c r="K32" s="104"/>
      <c r="L32" s="66">
        <v>0</v>
      </c>
      <c r="M32" s="121">
        <f t="shared" si="1"/>
        <v>0</v>
      </c>
      <c r="N32" s="104"/>
      <c r="O32" s="66">
        <v>0</v>
      </c>
      <c r="P32" s="121">
        <f t="shared" si="2"/>
        <v>0</v>
      </c>
      <c r="Q32" s="104"/>
      <c r="R32" s="66">
        <v>0</v>
      </c>
      <c r="S32" s="121">
        <f t="shared" si="3"/>
        <v>0</v>
      </c>
      <c r="T32" s="104"/>
      <c r="U32" s="66">
        <v>0</v>
      </c>
      <c r="V32" s="121">
        <f t="shared" si="4"/>
        <v>0</v>
      </c>
      <c r="W32" s="104"/>
      <c r="X32" s="66">
        <v>0</v>
      </c>
      <c r="Y32" s="121">
        <f t="shared" si="5"/>
        <v>0</v>
      </c>
      <c r="Z32" s="104"/>
      <c r="AA32" s="66">
        <v>0</v>
      </c>
      <c r="AB32" s="121">
        <f t="shared" si="6"/>
        <v>0</v>
      </c>
      <c r="AC32" s="104"/>
      <c r="AD32" s="66">
        <v>0</v>
      </c>
      <c r="AE32" s="121">
        <f t="shared" si="7"/>
        <v>0</v>
      </c>
      <c r="AF32" s="104"/>
      <c r="AG32" s="66">
        <v>0</v>
      </c>
      <c r="AH32" s="121">
        <f t="shared" si="8"/>
        <v>0</v>
      </c>
      <c r="AI32" s="104"/>
      <c r="AL32" s="104"/>
      <c r="AM32" s="104"/>
      <c r="AN32" s="104"/>
    </row>
    <row r="33" spans="3:40" x14ac:dyDescent="0.25">
      <c r="C33" s="112" t="str">
        <f t="shared" si="12"/>
        <v>2027-28</v>
      </c>
      <c r="D33" s="121">
        <f>IF(LEFT($C33,4)*1&lt;LEFT('General inputs'!$I$15,4)+'General inputs'!$H$28,SUM(G33,J33,M33,P33,S33,V33,Y33,AB33,AE33,AH33),"")</f>
        <v>100</v>
      </c>
      <c r="E33" s="104"/>
      <c r="F33" s="66">
        <v>100</v>
      </c>
      <c r="G33" s="121">
        <f t="shared" si="9"/>
        <v>100</v>
      </c>
      <c r="H33" s="104"/>
      <c r="I33" s="66">
        <v>0</v>
      </c>
      <c r="J33" s="121">
        <f t="shared" si="0"/>
        <v>0</v>
      </c>
      <c r="K33" s="104"/>
      <c r="L33" s="66">
        <v>0</v>
      </c>
      <c r="M33" s="121">
        <f t="shared" si="1"/>
        <v>0</v>
      </c>
      <c r="N33" s="104"/>
      <c r="O33" s="66">
        <v>0</v>
      </c>
      <c r="P33" s="121">
        <f t="shared" si="2"/>
        <v>0</v>
      </c>
      <c r="Q33" s="104"/>
      <c r="R33" s="66">
        <v>0</v>
      </c>
      <c r="S33" s="121">
        <f t="shared" si="3"/>
        <v>0</v>
      </c>
      <c r="T33" s="104"/>
      <c r="U33" s="66">
        <v>0</v>
      </c>
      <c r="V33" s="121">
        <f t="shared" si="4"/>
        <v>0</v>
      </c>
      <c r="W33" s="104"/>
      <c r="X33" s="66">
        <v>0</v>
      </c>
      <c r="Y33" s="121">
        <f t="shared" si="5"/>
        <v>0</v>
      </c>
      <c r="Z33" s="104"/>
      <c r="AA33" s="66">
        <v>0</v>
      </c>
      <c r="AB33" s="121">
        <f t="shared" si="6"/>
        <v>0</v>
      </c>
      <c r="AC33" s="104"/>
      <c r="AD33" s="66">
        <v>0</v>
      </c>
      <c r="AE33" s="121">
        <f t="shared" si="7"/>
        <v>0</v>
      </c>
      <c r="AF33" s="104"/>
      <c r="AG33" s="66">
        <v>0</v>
      </c>
      <c r="AH33" s="121">
        <f t="shared" si="8"/>
        <v>0</v>
      </c>
      <c r="AI33" s="104"/>
      <c r="AL33" s="104"/>
      <c r="AM33" s="104"/>
      <c r="AN33" s="104"/>
    </row>
    <row r="34" spans="3:40" x14ac:dyDescent="0.25">
      <c r="C34" s="112" t="str">
        <f t="shared" si="12"/>
        <v>2028-29</v>
      </c>
      <c r="D34" s="121">
        <f>IF(LEFT($C34,4)*1&lt;LEFT('General inputs'!$I$15,4)+'General inputs'!$H$28,SUM(G34,J34,M34,P34,S34,V34,Y34,AB34,AE34,AH34),"")</f>
        <v>100</v>
      </c>
      <c r="E34" s="104"/>
      <c r="F34" s="66">
        <v>100</v>
      </c>
      <c r="G34" s="121">
        <f t="shared" si="9"/>
        <v>100</v>
      </c>
      <c r="H34" s="104"/>
      <c r="I34" s="66">
        <v>0</v>
      </c>
      <c r="J34" s="121">
        <f t="shared" si="0"/>
        <v>0</v>
      </c>
      <c r="K34" s="104"/>
      <c r="L34" s="66">
        <v>0</v>
      </c>
      <c r="M34" s="121">
        <f t="shared" si="1"/>
        <v>0</v>
      </c>
      <c r="N34" s="104"/>
      <c r="O34" s="66">
        <v>0</v>
      </c>
      <c r="P34" s="121">
        <f t="shared" si="2"/>
        <v>0</v>
      </c>
      <c r="Q34" s="104"/>
      <c r="R34" s="66">
        <v>0</v>
      </c>
      <c r="S34" s="121">
        <f t="shared" si="3"/>
        <v>0</v>
      </c>
      <c r="T34" s="104"/>
      <c r="U34" s="66">
        <v>0</v>
      </c>
      <c r="V34" s="121">
        <f t="shared" si="4"/>
        <v>0</v>
      </c>
      <c r="W34" s="104"/>
      <c r="X34" s="66">
        <v>0</v>
      </c>
      <c r="Y34" s="121">
        <f t="shared" si="5"/>
        <v>0</v>
      </c>
      <c r="Z34" s="104"/>
      <c r="AA34" s="66">
        <v>0</v>
      </c>
      <c r="AB34" s="121">
        <f t="shared" si="6"/>
        <v>0</v>
      </c>
      <c r="AC34" s="104"/>
      <c r="AD34" s="66">
        <v>0</v>
      </c>
      <c r="AE34" s="121">
        <f t="shared" si="7"/>
        <v>0</v>
      </c>
      <c r="AF34" s="104"/>
      <c r="AG34" s="66">
        <v>0</v>
      </c>
      <c r="AH34" s="121">
        <f t="shared" si="8"/>
        <v>0</v>
      </c>
      <c r="AI34" s="104"/>
      <c r="AL34" s="104"/>
      <c r="AM34" s="104"/>
      <c r="AN34" s="104"/>
    </row>
    <row r="35" spans="3:40" x14ac:dyDescent="0.25">
      <c r="C35" s="112" t="str">
        <f t="shared" si="12"/>
        <v>2029-30</v>
      </c>
      <c r="D35" s="121">
        <f>IF(LEFT($C35,4)*1&lt;LEFT('General inputs'!$I$15,4)+'General inputs'!$H$28,SUM(G35,J35,M35,P35,S35,V35,Y35,AB35,AE35,AH35),"")</f>
        <v>100</v>
      </c>
      <c r="E35" s="104"/>
      <c r="F35" s="66">
        <v>100</v>
      </c>
      <c r="G35" s="121">
        <f t="shared" si="9"/>
        <v>100</v>
      </c>
      <c r="H35" s="104"/>
      <c r="I35" s="66">
        <v>0</v>
      </c>
      <c r="J35" s="121">
        <f t="shared" si="0"/>
        <v>0</v>
      </c>
      <c r="K35" s="104"/>
      <c r="L35" s="66">
        <v>0</v>
      </c>
      <c r="M35" s="121">
        <f t="shared" si="1"/>
        <v>0</v>
      </c>
      <c r="N35" s="104"/>
      <c r="O35" s="66">
        <v>0</v>
      </c>
      <c r="P35" s="121">
        <f t="shared" si="2"/>
        <v>0</v>
      </c>
      <c r="Q35" s="104"/>
      <c r="R35" s="66">
        <v>0</v>
      </c>
      <c r="S35" s="121">
        <f t="shared" si="3"/>
        <v>0</v>
      </c>
      <c r="T35" s="104"/>
      <c r="U35" s="66">
        <v>0</v>
      </c>
      <c r="V35" s="121">
        <f t="shared" si="4"/>
        <v>0</v>
      </c>
      <c r="W35" s="104"/>
      <c r="X35" s="66">
        <v>0</v>
      </c>
      <c r="Y35" s="121">
        <f t="shared" si="5"/>
        <v>0</v>
      </c>
      <c r="Z35" s="104"/>
      <c r="AA35" s="66">
        <v>0</v>
      </c>
      <c r="AB35" s="121">
        <f t="shared" si="6"/>
        <v>0</v>
      </c>
      <c r="AC35" s="104"/>
      <c r="AD35" s="66">
        <v>0</v>
      </c>
      <c r="AE35" s="121">
        <f t="shared" si="7"/>
        <v>0</v>
      </c>
      <c r="AF35" s="104"/>
      <c r="AG35" s="66">
        <v>0</v>
      </c>
      <c r="AH35" s="121">
        <f t="shared" si="8"/>
        <v>0</v>
      </c>
      <c r="AI35" s="104"/>
      <c r="AL35" s="104"/>
      <c r="AM35" s="104"/>
      <c r="AN35" s="104"/>
    </row>
    <row r="36" spans="3:40" x14ac:dyDescent="0.25">
      <c r="C36" s="112" t="str">
        <f t="shared" si="12"/>
        <v>2030-31</v>
      </c>
      <c r="D36" s="121">
        <f>IF(LEFT($C36,4)*1&lt;LEFT('General inputs'!$I$15,4)+'General inputs'!$H$28,SUM(G36,J36,M36,P36,S36,V36,Y36,AB36,AE36,AH36),"")</f>
        <v>100</v>
      </c>
      <c r="E36" s="104"/>
      <c r="F36" s="66">
        <v>100</v>
      </c>
      <c r="G36" s="121">
        <f t="shared" si="9"/>
        <v>100</v>
      </c>
      <c r="H36" s="104"/>
      <c r="I36" s="66">
        <v>0</v>
      </c>
      <c r="J36" s="121">
        <f t="shared" si="0"/>
        <v>0</v>
      </c>
      <c r="K36" s="104"/>
      <c r="L36" s="66">
        <v>0</v>
      </c>
      <c r="M36" s="121">
        <f t="shared" si="1"/>
        <v>0</v>
      </c>
      <c r="N36" s="104"/>
      <c r="O36" s="66">
        <v>0</v>
      </c>
      <c r="P36" s="121">
        <f t="shared" si="2"/>
        <v>0</v>
      </c>
      <c r="Q36" s="104"/>
      <c r="R36" s="66">
        <v>0</v>
      </c>
      <c r="S36" s="121">
        <f t="shared" si="3"/>
        <v>0</v>
      </c>
      <c r="T36" s="104"/>
      <c r="U36" s="66">
        <v>0</v>
      </c>
      <c r="V36" s="121">
        <f t="shared" si="4"/>
        <v>0</v>
      </c>
      <c r="W36" s="104"/>
      <c r="X36" s="66">
        <v>0</v>
      </c>
      <c r="Y36" s="121">
        <f t="shared" si="5"/>
        <v>0</v>
      </c>
      <c r="Z36" s="104"/>
      <c r="AA36" s="66">
        <v>0</v>
      </c>
      <c r="AB36" s="121">
        <f t="shared" si="6"/>
        <v>0</v>
      </c>
      <c r="AC36" s="104"/>
      <c r="AD36" s="66">
        <v>0</v>
      </c>
      <c r="AE36" s="121">
        <f t="shared" si="7"/>
        <v>0</v>
      </c>
      <c r="AF36" s="104"/>
      <c r="AG36" s="66">
        <v>0</v>
      </c>
      <c r="AH36" s="121">
        <f t="shared" si="8"/>
        <v>0</v>
      </c>
      <c r="AI36" s="104"/>
      <c r="AL36" s="104"/>
      <c r="AM36" s="104"/>
      <c r="AN36" s="104"/>
    </row>
    <row r="37" spans="3:40" x14ac:dyDescent="0.25">
      <c r="C37" s="112" t="str">
        <f t="shared" si="12"/>
        <v>2031-32</v>
      </c>
      <c r="D37" s="121">
        <f>IF(LEFT($C37,4)*1&lt;LEFT('General inputs'!$I$15,4)+'General inputs'!$H$28,SUM(G37,J37,M37,P37,S37,V37,Y37,AB37,AE37,AH37),"")</f>
        <v>100</v>
      </c>
      <c r="E37" s="104"/>
      <c r="F37" s="66">
        <v>100</v>
      </c>
      <c r="G37" s="121">
        <f t="shared" si="9"/>
        <v>100</v>
      </c>
      <c r="H37" s="104"/>
      <c r="I37" s="66">
        <v>0</v>
      </c>
      <c r="J37" s="121">
        <f t="shared" si="0"/>
        <v>0</v>
      </c>
      <c r="K37" s="104"/>
      <c r="L37" s="66">
        <v>0</v>
      </c>
      <c r="M37" s="121">
        <f t="shared" si="1"/>
        <v>0</v>
      </c>
      <c r="N37" s="104"/>
      <c r="O37" s="66">
        <v>0</v>
      </c>
      <c r="P37" s="121">
        <f t="shared" si="2"/>
        <v>0</v>
      </c>
      <c r="Q37" s="104"/>
      <c r="R37" s="66">
        <v>0</v>
      </c>
      <c r="S37" s="121">
        <f t="shared" si="3"/>
        <v>0</v>
      </c>
      <c r="T37" s="104"/>
      <c r="U37" s="66">
        <v>0</v>
      </c>
      <c r="V37" s="121">
        <f t="shared" si="4"/>
        <v>0</v>
      </c>
      <c r="W37" s="104"/>
      <c r="X37" s="66">
        <v>0</v>
      </c>
      <c r="Y37" s="121">
        <f t="shared" si="5"/>
        <v>0</v>
      </c>
      <c r="Z37" s="104"/>
      <c r="AA37" s="66">
        <v>0</v>
      </c>
      <c r="AB37" s="121">
        <f t="shared" si="6"/>
        <v>0</v>
      </c>
      <c r="AC37" s="104"/>
      <c r="AD37" s="66">
        <v>0</v>
      </c>
      <c r="AE37" s="121">
        <f t="shared" si="7"/>
        <v>0</v>
      </c>
      <c r="AF37" s="104"/>
      <c r="AG37" s="66">
        <v>0</v>
      </c>
      <c r="AH37" s="121">
        <f t="shared" si="8"/>
        <v>0</v>
      </c>
      <c r="AI37" s="104"/>
      <c r="AL37" s="104"/>
      <c r="AM37" s="104"/>
      <c r="AN37" s="104"/>
    </row>
    <row r="38" spans="3:40" x14ac:dyDescent="0.25">
      <c r="C38" s="112" t="str">
        <f t="shared" si="12"/>
        <v>2032-33</v>
      </c>
      <c r="D38" s="121">
        <f>IF(LEFT($C38,4)*1&lt;LEFT('General inputs'!$I$15,4)+'General inputs'!$H$28,SUM(G38,J38,M38,P38,S38,V38,Y38,AB38,AE38,AH38),"")</f>
        <v>100</v>
      </c>
      <c r="E38" s="104"/>
      <c r="F38" s="66">
        <v>100</v>
      </c>
      <c r="G38" s="121">
        <f t="shared" si="9"/>
        <v>100</v>
      </c>
      <c r="H38" s="104"/>
      <c r="I38" s="66">
        <v>0</v>
      </c>
      <c r="J38" s="121">
        <f t="shared" si="0"/>
        <v>0</v>
      </c>
      <c r="K38" s="104"/>
      <c r="L38" s="66">
        <v>0</v>
      </c>
      <c r="M38" s="121">
        <f t="shared" si="1"/>
        <v>0</v>
      </c>
      <c r="N38" s="104"/>
      <c r="O38" s="66">
        <v>0</v>
      </c>
      <c r="P38" s="121">
        <f t="shared" si="2"/>
        <v>0</v>
      </c>
      <c r="Q38" s="104"/>
      <c r="R38" s="66">
        <v>0</v>
      </c>
      <c r="S38" s="121">
        <f t="shared" si="3"/>
        <v>0</v>
      </c>
      <c r="T38" s="104"/>
      <c r="U38" s="66">
        <v>0</v>
      </c>
      <c r="V38" s="121">
        <f t="shared" si="4"/>
        <v>0</v>
      </c>
      <c r="W38" s="104"/>
      <c r="X38" s="66">
        <v>0</v>
      </c>
      <c r="Y38" s="121">
        <f t="shared" si="5"/>
        <v>0</v>
      </c>
      <c r="Z38" s="104"/>
      <c r="AA38" s="66">
        <v>0</v>
      </c>
      <c r="AB38" s="121">
        <f t="shared" si="6"/>
        <v>0</v>
      </c>
      <c r="AC38" s="104"/>
      <c r="AD38" s="66">
        <v>0</v>
      </c>
      <c r="AE38" s="121">
        <f t="shared" si="7"/>
        <v>0</v>
      </c>
      <c r="AF38" s="104"/>
      <c r="AG38" s="66">
        <v>0</v>
      </c>
      <c r="AH38" s="121">
        <f t="shared" si="8"/>
        <v>0</v>
      </c>
      <c r="AI38" s="104"/>
      <c r="AL38" s="104"/>
      <c r="AM38" s="104"/>
      <c r="AN38" s="104"/>
    </row>
    <row r="39" spans="3:40" x14ac:dyDescent="0.25">
      <c r="C39" s="112" t="str">
        <f t="shared" si="12"/>
        <v>2033-34</v>
      </c>
      <c r="D39" s="121">
        <f>IF(LEFT($C39,4)*1&lt;LEFT('General inputs'!$I$15,4)+'General inputs'!$H$28,SUM(G39,J39,M39,P39,S39,V39,Y39,AB39,AE39,AH39),"")</f>
        <v>100</v>
      </c>
      <c r="E39" s="104"/>
      <c r="F39" s="66">
        <v>100</v>
      </c>
      <c r="G39" s="121">
        <f t="shared" si="9"/>
        <v>100</v>
      </c>
      <c r="H39" s="104"/>
      <c r="I39" s="66">
        <v>0</v>
      </c>
      <c r="J39" s="121">
        <f t="shared" si="0"/>
        <v>0</v>
      </c>
      <c r="K39" s="104"/>
      <c r="L39" s="66">
        <v>0</v>
      </c>
      <c r="M39" s="121">
        <f t="shared" si="1"/>
        <v>0</v>
      </c>
      <c r="N39" s="104"/>
      <c r="O39" s="66">
        <v>0</v>
      </c>
      <c r="P39" s="121">
        <f t="shared" si="2"/>
        <v>0</v>
      </c>
      <c r="Q39" s="104"/>
      <c r="R39" s="66">
        <v>0</v>
      </c>
      <c r="S39" s="121">
        <f t="shared" si="3"/>
        <v>0</v>
      </c>
      <c r="T39" s="104"/>
      <c r="U39" s="66">
        <v>0</v>
      </c>
      <c r="V39" s="121">
        <f t="shared" si="4"/>
        <v>0</v>
      </c>
      <c r="W39" s="104"/>
      <c r="X39" s="66">
        <v>0</v>
      </c>
      <c r="Y39" s="121">
        <f t="shared" si="5"/>
        <v>0</v>
      </c>
      <c r="Z39" s="104"/>
      <c r="AA39" s="66">
        <v>0</v>
      </c>
      <c r="AB39" s="121">
        <f t="shared" si="6"/>
        <v>0</v>
      </c>
      <c r="AC39" s="104"/>
      <c r="AD39" s="66">
        <v>0</v>
      </c>
      <c r="AE39" s="121">
        <f t="shared" si="7"/>
        <v>0</v>
      </c>
      <c r="AF39" s="104"/>
      <c r="AG39" s="66">
        <v>0</v>
      </c>
      <c r="AH39" s="121">
        <f t="shared" si="8"/>
        <v>0</v>
      </c>
      <c r="AI39" s="104"/>
      <c r="AL39" s="104"/>
      <c r="AM39" s="104"/>
      <c r="AN39" s="104"/>
    </row>
    <row r="40" spans="3:40" x14ac:dyDescent="0.25">
      <c r="C40" s="112" t="str">
        <f t="shared" si="12"/>
        <v>2034-35</v>
      </c>
      <c r="D40" s="121">
        <f>IF(LEFT($C40,4)*1&lt;LEFT('General inputs'!$I$15,4)+'General inputs'!$H$28,SUM(G40,J40,M40,P40,S40,V40,Y40,AB40,AE40,AH40),"")</f>
        <v>100</v>
      </c>
      <c r="E40" s="104"/>
      <c r="F40" s="66">
        <v>100</v>
      </c>
      <c r="G40" s="121">
        <f t="shared" si="9"/>
        <v>100</v>
      </c>
      <c r="H40" s="104"/>
      <c r="I40" s="66">
        <v>0</v>
      </c>
      <c r="J40" s="121">
        <f t="shared" si="0"/>
        <v>0</v>
      </c>
      <c r="K40" s="104"/>
      <c r="L40" s="66">
        <v>0</v>
      </c>
      <c r="M40" s="121">
        <f t="shared" si="1"/>
        <v>0</v>
      </c>
      <c r="N40" s="104"/>
      <c r="O40" s="66">
        <v>0</v>
      </c>
      <c r="P40" s="121">
        <f t="shared" si="2"/>
        <v>0</v>
      </c>
      <c r="Q40" s="104"/>
      <c r="R40" s="66">
        <v>0</v>
      </c>
      <c r="S40" s="121">
        <f t="shared" si="3"/>
        <v>0</v>
      </c>
      <c r="T40" s="104"/>
      <c r="U40" s="66">
        <v>0</v>
      </c>
      <c r="V40" s="121">
        <f t="shared" si="4"/>
        <v>0</v>
      </c>
      <c r="W40" s="104"/>
      <c r="X40" s="66">
        <v>0</v>
      </c>
      <c r="Y40" s="121">
        <f t="shared" si="5"/>
        <v>0</v>
      </c>
      <c r="Z40" s="104"/>
      <c r="AA40" s="66">
        <v>0</v>
      </c>
      <c r="AB40" s="121">
        <f t="shared" si="6"/>
        <v>0</v>
      </c>
      <c r="AC40" s="104"/>
      <c r="AD40" s="66">
        <v>0</v>
      </c>
      <c r="AE40" s="121">
        <f t="shared" si="7"/>
        <v>0</v>
      </c>
      <c r="AF40" s="104"/>
      <c r="AG40" s="66">
        <v>0</v>
      </c>
      <c r="AH40" s="121">
        <f t="shared" si="8"/>
        <v>0</v>
      </c>
      <c r="AI40" s="104"/>
      <c r="AL40" s="104"/>
      <c r="AM40" s="104"/>
      <c r="AN40" s="104"/>
    </row>
    <row r="41" spans="3:40" x14ac:dyDescent="0.25">
      <c r="C41" s="112" t="str">
        <f t="shared" si="12"/>
        <v>2035-36</v>
      </c>
      <c r="D41" s="121">
        <f>IF(LEFT($C41,4)*1&lt;LEFT('General inputs'!$I$15,4)+'General inputs'!$H$28,SUM(G41,J41,M41,P41,S41,V41,Y41,AB41,AE41,AH41),"")</f>
        <v>100</v>
      </c>
      <c r="E41" s="104"/>
      <c r="F41" s="66">
        <v>100</v>
      </c>
      <c r="G41" s="121">
        <f t="shared" si="9"/>
        <v>100</v>
      </c>
      <c r="H41" s="104"/>
      <c r="I41" s="66">
        <v>0</v>
      </c>
      <c r="J41" s="121">
        <f t="shared" si="0"/>
        <v>0</v>
      </c>
      <c r="K41" s="104"/>
      <c r="L41" s="66">
        <v>0</v>
      </c>
      <c r="M41" s="121">
        <f t="shared" si="1"/>
        <v>0</v>
      </c>
      <c r="N41" s="104"/>
      <c r="O41" s="66">
        <v>0</v>
      </c>
      <c r="P41" s="121">
        <f t="shared" si="2"/>
        <v>0</v>
      </c>
      <c r="Q41" s="104"/>
      <c r="R41" s="66">
        <v>0</v>
      </c>
      <c r="S41" s="121">
        <f t="shared" si="3"/>
        <v>0</v>
      </c>
      <c r="T41" s="104"/>
      <c r="U41" s="66">
        <v>0</v>
      </c>
      <c r="V41" s="121">
        <f t="shared" si="4"/>
        <v>0</v>
      </c>
      <c r="W41" s="104"/>
      <c r="X41" s="66">
        <v>0</v>
      </c>
      <c r="Y41" s="121">
        <f t="shared" si="5"/>
        <v>0</v>
      </c>
      <c r="Z41" s="104"/>
      <c r="AA41" s="66">
        <v>0</v>
      </c>
      <c r="AB41" s="121">
        <f t="shared" si="6"/>
        <v>0</v>
      </c>
      <c r="AC41" s="104"/>
      <c r="AD41" s="66">
        <v>0</v>
      </c>
      <c r="AE41" s="121">
        <f t="shared" si="7"/>
        <v>0</v>
      </c>
      <c r="AF41" s="104"/>
      <c r="AG41" s="66">
        <v>0</v>
      </c>
      <c r="AH41" s="121">
        <f t="shared" si="8"/>
        <v>0</v>
      </c>
      <c r="AI41" s="104"/>
      <c r="AL41" s="104"/>
      <c r="AM41" s="104"/>
      <c r="AN41" s="104"/>
    </row>
    <row r="42" spans="3:40" x14ac:dyDescent="0.25">
      <c r="C42" s="112" t="str">
        <f t="shared" si="12"/>
        <v>2036-37</v>
      </c>
      <c r="D42" s="121">
        <f>IF(LEFT($C42,4)*1&lt;LEFT('General inputs'!$I$15,4)+'General inputs'!$H$28,SUM(G42,J42,M42,P42,S42,V42,Y42,AB42,AE42,AH42),"")</f>
        <v>100</v>
      </c>
      <c r="E42" s="104"/>
      <c r="F42" s="66">
        <v>100</v>
      </c>
      <c r="G42" s="121">
        <f t="shared" si="9"/>
        <v>100</v>
      </c>
      <c r="H42" s="104"/>
      <c r="I42" s="66">
        <v>0</v>
      </c>
      <c r="J42" s="121">
        <f t="shared" si="0"/>
        <v>0</v>
      </c>
      <c r="K42" s="104"/>
      <c r="L42" s="66">
        <v>0</v>
      </c>
      <c r="M42" s="121">
        <f t="shared" si="1"/>
        <v>0</v>
      </c>
      <c r="N42" s="104"/>
      <c r="O42" s="66">
        <v>0</v>
      </c>
      <c r="P42" s="121">
        <f t="shared" si="2"/>
        <v>0</v>
      </c>
      <c r="Q42" s="104"/>
      <c r="R42" s="66">
        <v>0</v>
      </c>
      <c r="S42" s="121">
        <f t="shared" si="3"/>
        <v>0</v>
      </c>
      <c r="T42" s="104"/>
      <c r="U42" s="66">
        <v>0</v>
      </c>
      <c r="V42" s="121">
        <f t="shared" si="4"/>
        <v>0</v>
      </c>
      <c r="W42" s="104"/>
      <c r="X42" s="66">
        <v>0</v>
      </c>
      <c r="Y42" s="121">
        <f t="shared" si="5"/>
        <v>0</v>
      </c>
      <c r="Z42" s="104"/>
      <c r="AA42" s="66">
        <v>0</v>
      </c>
      <c r="AB42" s="121">
        <f t="shared" si="6"/>
        <v>0</v>
      </c>
      <c r="AC42" s="104"/>
      <c r="AD42" s="66">
        <v>0</v>
      </c>
      <c r="AE42" s="121">
        <f t="shared" si="7"/>
        <v>0</v>
      </c>
      <c r="AF42" s="104"/>
      <c r="AG42" s="66">
        <v>0</v>
      </c>
      <c r="AH42" s="121">
        <f t="shared" si="8"/>
        <v>0</v>
      </c>
      <c r="AI42" s="104"/>
      <c r="AL42" s="104"/>
      <c r="AM42" s="104"/>
      <c r="AN42" s="104"/>
    </row>
    <row r="43" spans="3:40" x14ac:dyDescent="0.25">
      <c r="C43" s="112" t="str">
        <f t="shared" si="12"/>
        <v>2037-38</v>
      </c>
      <c r="D43" s="121">
        <f>IF(LEFT($C43,4)*1&lt;LEFT('General inputs'!$I$15,4)+'General inputs'!$H$28,SUM(G43,J43,M43,P43,S43,V43,Y43,AB43,AE43,AH43),"")</f>
        <v>100</v>
      </c>
      <c r="E43" s="104"/>
      <c r="F43" s="66">
        <v>100</v>
      </c>
      <c r="G43" s="121">
        <f t="shared" si="9"/>
        <v>100</v>
      </c>
      <c r="H43" s="104"/>
      <c r="I43" s="66">
        <v>0</v>
      </c>
      <c r="J43" s="121">
        <f t="shared" si="0"/>
        <v>0</v>
      </c>
      <c r="K43" s="104"/>
      <c r="L43" s="66">
        <v>0</v>
      </c>
      <c r="M43" s="121">
        <f t="shared" si="1"/>
        <v>0</v>
      </c>
      <c r="N43" s="104"/>
      <c r="O43" s="66">
        <v>0</v>
      </c>
      <c r="P43" s="121">
        <f t="shared" si="2"/>
        <v>0</v>
      </c>
      <c r="Q43" s="104"/>
      <c r="R43" s="66">
        <v>0</v>
      </c>
      <c r="S43" s="121">
        <f t="shared" si="3"/>
        <v>0</v>
      </c>
      <c r="T43" s="104"/>
      <c r="U43" s="66">
        <v>0</v>
      </c>
      <c r="V43" s="121">
        <f t="shared" si="4"/>
        <v>0</v>
      </c>
      <c r="W43" s="104"/>
      <c r="X43" s="66">
        <v>0</v>
      </c>
      <c r="Y43" s="121">
        <f t="shared" si="5"/>
        <v>0</v>
      </c>
      <c r="Z43" s="104"/>
      <c r="AA43" s="66">
        <v>0</v>
      </c>
      <c r="AB43" s="121">
        <f t="shared" si="6"/>
        <v>0</v>
      </c>
      <c r="AC43" s="104"/>
      <c r="AD43" s="66">
        <v>0</v>
      </c>
      <c r="AE43" s="121">
        <f t="shared" si="7"/>
        <v>0</v>
      </c>
      <c r="AF43" s="104"/>
      <c r="AG43" s="66">
        <v>0</v>
      </c>
      <c r="AH43" s="121">
        <f t="shared" si="8"/>
        <v>0</v>
      </c>
      <c r="AI43" s="104"/>
      <c r="AL43" s="104"/>
      <c r="AM43" s="104"/>
      <c r="AN43" s="104"/>
    </row>
    <row r="44" spans="3:40" x14ac:dyDescent="0.25">
      <c r="C44" s="112" t="str">
        <f t="shared" si="12"/>
        <v>2038-39</v>
      </c>
      <c r="D44" s="121">
        <f>IF(LEFT($C44,4)*1&lt;LEFT('General inputs'!$I$15,4)+'General inputs'!$H$28,SUM(G44,J44,M44,P44,S44,V44,Y44,AB44,AE44,AH44),"")</f>
        <v>100</v>
      </c>
      <c r="E44" s="104"/>
      <c r="F44" s="66">
        <v>100</v>
      </c>
      <c r="G44" s="121">
        <f t="shared" ref="G44:G75" si="13">F44*$G$9/$F$6</f>
        <v>100</v>
      </c>
      <c r="H44" s="104"/>
      <c r="I44" s="66">
        <v>0</v>
      </c>
      <c r="J44" s="121">
        <f t="shared" ref="J44:J75" si="14">I44*$J$9/$F$6</f>
        <v>0</v>
      </c>
      <c r="K44" s="104"/>
      <c r="L44" s="66">
        <v>0</v>
      </c>
      <c r="M44" s="121">
        <f t="shared" ref="M44:M75" si="15">L44*$M$9/$F$6</f>
        <v>0</v>
      </c>
      <c r="N44" s="104"/>
      <c r="O44" s="66">
        <v>0</v>
      </c>
      <c r="P44" s="121">
        <f t="shared" ref="P44:P75" si="16">O44*$P$9/$F$6</f>
        <v>0</v>
      </c>
      <c r="Q44" s="104"/>
      <c r="R44" s="66">
        <v>0</v>
      </c>
      <c r="S44" s="121">
        <f t="shared" ref="S44:S75" si="17">R44*$S$9/$F$6</f>
        <v>0</v>
      </c>
      <c r="T44" s="104"/>
      <c r="U44" s="66">
        <v>0</v>
      </c>
      <c r="V44" s="121">
        <f t="shared" ref="V44:V75" si="18">U44*$V$9/$F$6</f>
        <v>0</v>
      </c>
      <c r="W44" s="104"/>
      <c r="X44" s="66">
        <v>0</v>
      </c>
      <c r="Y44" s="121">
        <f t="shared" ref="Y44:Y75" si="19">X44*$Y$9/$F$6</f>
        <v>0</v>
      </c>
      <c r="Z44" s="104"/>
      <c r="AA44" s="66">
        <v>0</v>
      </c>
      <c r="AB44" s="121">
        <f t="shared" ref="AB44:AB75" si="20">AA44*$AB$9/$F$6</f>
        <v>0</v>
      </c>
      <c r="AC44" s="104"/>
      <c r="AD44" s="66">
        <v>0</v>
      </c>
      <c r="AE44" s="121">
        <f t="shared" ref="AE44:AE75" si="21">AD44*$AE$9/$F$6</f>
        <v>0</v>
      </c>
      <c r="AF44" s="104"/>
      <c r="AG44" s="66">
        <v>0</v>
      </c>
      <c r="AH44" s="121">
        <f t="shared" ref="AH44:AH75" si="22">AG44*$AH$9/$F$6</f>
        <v>0</v>
      </c>
      <c r="AI44" s="104"/>
      <c r="AL44" s="104"/>
      <c r="AM44" s="104"/>
      <c r="AN44" s="104"/>
    </row>
    <row r="45" spans="3:40" x14ac:dyDescent="0.25">
      <c r="C45" s="112" t="str">
        <f t="shared" si="12"/>
        <v>2039-40</v>
      </c>
      <c r="D45" s="121">
        <f>IF(LEFT($C45,4)*1&lt;LEFT('General inputs'!$I$15,4)+'General inputs'!$H$28,SUM(G45,J45,M45,P45,S45,V45,Y45,AB45,AE45,AH45),"")</f>
        <v>100</v>
      </c>
      <c r="E45" s="104"/>
      <c r="F45" s="66">
        <v>100</v>
      </c>
      <c r="G45" s="121">
        <f t="shared" si="13"/>
        <v>100</v>
      </c>
      <c r="H45" s="104"/>
      <c r="I45" s="66">
        <v>0</v>
      </c>
      <c r="J45" s="121">
        <f t="shared" si="14"/>
        <v>0</v>
      </c>
      <c r="K45" s="104"/>
      <c r="L45" s="66">
        <v>0</v>
      </c>
      <c r="M45" s="121">
        <f t="shared" si="15"/>
        <v>0</v>
      </c>
      <c r="N45" s="104"/>
      <c r="O45" s="66">
        <v>0</v>
      </c>
      <c r="P45" s="121">
        <f t="shared" si="16"/>
        <v>0</v>
      </c>
      <c r="Q45" s="104"/>
      <c r="R45" s="66">
        <v>0</v>
      </c>
      <c r="S45" s="121">
        <f t="shared" si="17"/>
        <v>0</v>
      </c>
      <c r="T45" s="104"/>
      <c r="U45" s="66">
        <v>0</v>
      </c>
      <c r="V45" s="121">
        <f t="shared" si="18"/>
        <v>0</v>
      </c>
      <c r="W45" s="104"/>
      <c r="X45" s="66">
        <v>0</v>
      </c>
      <c r="Y45" s="121">
        <f t="shared" si="19"/>
        <v>0</v>
      </c>
      <c r="Z45" s="104"/>
      <c r="AA45" s="66">
        <v>0</v>
      </c>
      <c r="AB45" s="121">
        <f t="shared" si="20"/>
        <v>0</v>
      </c>
      <c r="AC45" s="104"/>
      <c r="AD45" s="66">
        <v>0</v>
      </c>
      <c r="AE45" s="121">
        <f t="shared" si="21"/>
        <v>0</v>
      </c>
      <c r="AF45" s="104"/>
      <c r="AG45" s="66">
        <v>0</v>
      </c>
      <c r="AH45" s="121">
        <f t="shared" si="22"/>
        <v>0</v>
      </c>
      <c r="AI45" s="104"/>
      <c r="AL45" s="104"/>
      <c r="AM45" s="104"/>
      <c r="AN45" s="104"/>
    </row>
    <row r="46" spans="3:40" x14ac:dyDescent="0.25">
      <c r="C46" s="112" t="str">
        <f t="shared" si="12"/>
        <v>2040-41</v>
      </c>
      <c r="D46" s="121">
        <f>IF(LEFT($C46,4)*1&lt;LEFT('General inputs'!$I$15,4)+'General inputs'!$H$28,SUM(G46,J46,M46,P46,S46,V46,Y46,AB46,AE46,AH46),"")</f>
        <v>0</v>
      </c>
      <c r="E46" s="104"/>
      <c r="F46" s="66">
        <v>0</v>
      </c>
      <c r="G46" s="121">
        <f t="shared" si="13"/>
        <v>0</v>
      </c>
      <c r="H46" s="104"/>
      <c r="I46" s="66">
        <v>0</v>
      </c>
      <c r="J46" s="121">
        <f t="shared" si="14"/>
        <v>0</v>
      </c>
      <c r="K46" s="104"/>
      <c r="L46" s="66">
        <v>0</v>
      </c>
      <c r="M46" s="121">
        <f t="shared" si="15"/>
        <v>0</v>
      </c>
      <c r="N46" s="104"/>
      <c r="O46" s="66">
        <v>0</v>
      </c>
      <c r="P46" s="121">
        <f t="shared" si="16"/>
        <v>0</v>
      </c>
      <c r="Q46" s="104"/>
      <c r="R46" s="66">
        <v>0</v>
      </c>
      <c r="S46" s="121">
        <f t="shared" si="17"/>
        <v>0</v>
      </c>
      <c r="T46" s="104"/>
      <c r="U46" s="66">
        <v>0</v>
      </c>
      <c r="V46" s="121">
        <f t="shared" si="18"/>
        <v>0</v>
      </c>
      <c r="W46" s="104"/>
      <c r="X46" s="66">
        <v>0</v>
      </c>
      <c r="Y46" s="121">
        <f t="shared" si="19"/>
        <v>0</v>
      </c>
      <c r="Z46" s="104"/>
      <c r="AA46" s="66">
        <v>0</v>
      </c>
      <c r="AB46" s="121">
        <f t="shared" si="20"/>
        <v>0</v>
      </c>
      <c r="AC46" s="104"/>
      <c r="AD46" s="66">
        <v>0</v>
      </c>
      <c r="AE46" s="121">
        <f t="shared" si="21"/>
        <v>0</v>
      </c>
      <c r="AF46" s="104"/>
      <c r="AG46" s="66">
        <v>0</v>
      </c>
      <c r="AH46" s="121">
        <f t="shared" si="22"/>
        <v>0</v>
      </c>
      <c r="AI46" s="104"/>
      <c r="AL46" s="104"/>
      <c r="AM46" s="104"/>
      <c r="AN46" s="104"/>
    </row>
    <row r="47" spans="3:40" x14ac:dyDescent="0.25">
      <c r="C47" s="112" t="str">
        <f t="shared" si="12"/>
        <v>2041-42</v>
      </c>
      <c r="D47" s="121">
        <f>IF(LEFT($C47,4)*1&lt;LEFT('General inputs'!$I$15,4)+'General inputs'!$H$28,SUM(G47,J47,M47,P47,S47,V47,Y47,AB47,AE47,AH47),"")</f>
        <v>0</v>
      </c>
      <c r="E47" s="104"/>
      <c r="F47" s="66">
        <v>0</v>
      </c>
      <c r="G47" s="121">
        <f t="shared" si="13"/>
        <v>0</v>
      </c>
      <c r="H47" s="104"/>
      <c r="I47" s="66">
        <v>0</v>
      </c>
      <c r="J47" s="121">
        <f t="shared" si="14"/>
        <v>0</v>
      </c>
      <c r="K47" s="104"/>
      <c r="L47" s="66">
        <v>0</v>
      </c>
      <c r="M47" s="121">
        <f t="shared" si="15"/>
        <v>0</v>
      </c>
      <c r="N47" s="104"/>
      <c r="O47" s="66">
        <v>0</v>
      </c>
      <c r="P47" s="121">
        <f t="shared" si="16"/>
        <v>0</v>
      </c>
      <c r="Q47" s="104"/>
      <c r="R47" s="66">
        <v>0</v>
      </c>
      <c r="S47" s="121">
        <f t="shared" si="17"/>
        <v>0</v>
      </c>
      <c r="T47" s="104"/>
      <c r="U47" s="66">
        <v>0</v>
      </c>
      <c r="V47" s="121">
        <f t="shared" si="18"/>
        <v>0</v>
      </c>
      <c r="W47" s="104"/>
      <c r="X47" s="66">
        <v>0</v>
      </c>
      <c r="Y47" s="121">
        <f t="shared" si="19"/>
        <v>0</v>
      </c>
      <c r="Z47" s="104"/>
      <c r="AA47" s="66">
        <v>0</v>
      </c>
      <c r="AB47" s="121">
        <f t="shared" si="20"/>
        <v>0</v>
      </c>
      <c r="AC47" s="104"/>
      <c r="AD47" s="66">
        <v>0</v>
      </c>
      <c r="AE47" s="121">
        <f t="shared" si="21"/>
        <v>0</v>
      </c>
      <c r="AF47" s="104"/>
      <c r="AG47" s="66">
        <v>0</v>
      </c>
      <c r="AH47" s="121">
        <f t="shared" si="22"/>
        <v>0</v>
      </c>
      <c r="AI47" s="104"/>
      <c r="AL47" s="104"/>
      <c r="AM47" s="104"/>
      <c r="AN47" s="104"/>
    </row>
    <row r="48" spans="3:40" x14ac:dyDescent="0.25">
      <c r="C48" s="112" t="str">
        <f t="shared" si="12"/>
        <v>2042-43</v>
      </c>
      <c r="D48" s="121">
        <f>IF(LEFT($C48,4)*1&lt;LEFT('General inputs'!$I$15,4)+'General inputs'!$H$28,SUM(G48,J48,M48,P48,S48,V48,Y48,AB48,AE48,AH48),"")</f>
        <v>0</v>
      </c>
      <c r="E48" s="104"/>
      <c r="F48" s="66">
        <v>0</v>
      </c>
      <c r="G48" s="121">
        <f t="shared" si="13"/>
        <v>0</v>
      </c>
      <c r="H48" s="104"/>
      <c r="I48" s="66">
        <v>0</v>
      </c>
      <c r="J48" s="121">
        <f t="shared" si="14"/>
        <v>0</v>
      </c>
      <c r="K48" s="104"/>
      <c r="L48" s="66">
        <v>0</v>
      </c>
      <c r="M48" s="121">
        <f t="shared" si="15"/>
        <v>0</v>
      </c>
      <c r="N48" s="104"/>
      <c r="O48" s="66">
        <v>0</v>
      </c>
      <c r="P48" s="121">
        <f t="shared" si="16"/>
        <v>0</v>
      </c>
      <c r="Q48" s="104"/>
      <c r="R48" s="66">
        <v>0</v>
      </c>
      <c r="S48" s="121">
        <f t="shared" si="17"/>
        <v>0</v>
      </c>
      <c r="T48" s="104"/>
      <c r="U48" s="66">
        <v>0</v>
      </c>
      <c r="V48" s="121">
        <f t="shared" si="18"/>
        <v>0</v>
      </c>
      <c r="W48" s="104"/>
      <c r="X48" s="66">
        <v>0</v>
      </c>
      <c r="Y48" s="121">
        <f t="shared" si="19"/>
        <v>0</v>
      </c>
      <c r="Z48" s="104"/>
      <c r="AA48" s="66">
        <v>0</v>
      </c>
      <c r="AB48" s="121">
        <f t="shared" si="20"/>
        <v>0</v>
      </c>
      <c r="AC48" s="104"/>
      <c r="AD48" s="66">
        <v>0</v>
      </c>
      <c r="AE48" s="121">
        <f t="shared" si="21"/>
        <v>0</v>
      </c>
      <c r="AF48" s="104"/>
      <c r="AG48" s="66">
        <v>0</v>
      </c>
      <c r="AH48" s="121">
        <f t="shared" si="22"/>
        <v>0</v>
      </c>
      <c r="AI48" s="104"/>
      <c r="AL48" s="104"/>
      <c r="AM48" s="104"/>
      <c r="AN48" s="104"/>
    </row>
    <row r="49" spans="3:40" x14ac:dyDescent="0.25">
      <c r="C49" s="112" t="str">
        <f t="shared" si="12"/>
        <v>2043-44</v>
      </c>
      <c r="D49" s="121">
        <f>IF(LEFT($C49,4)*1&lt;LEFT('General inputs'!$I$15,4)+'General inputs'!$H$28,SUM(G49,J49,M49,P49,S49,V49,Y49,AB49,AE49,AH49),"")</f>
        <v>0</v>
      </c>
      <c r="E49" s="104"/>
      <c r="F49" s="66">
        <v>0</v>
      </c>
      <c r="G49" s="121">
        <f t="shared" si="13"/>
        <v>0</v>
      </c>
      <c r="H49" s="104"/>
      <c r="I49" s="66">
        <v>0</v>
      </c>
      <c r="J49" s="121">
        <f t="shared" si="14"/>
        <v>0</v>
      </c>
      <c r="K49" s="104"/>
      <c r="L49" s="66">
        <v>0</v>
      </c>
      <c r="M49" s="121">
        <f t="shared" si="15"/>
        <v>0</v>
      </c>
      <c r="N49" s="104"/>
      <c r="O49" s="66">
        <v>0</v>
      </c>
      <c r="P49" s="121">
        <f t="shared" si="16"/>
        <v>0</v>
      </c>
      <c r="Q49" s="104"/>
      <c r="R49" s="66">
        <v>0</v>
      </c>
      <c r="S49" s="121">
        <f t="shared" si="17"/>
        <v>0</v>
      </c>
      <c r="T49" s="104"/>
      <c r="U49" s="66">
        <v>0</v>
      </c>
      <c r="V49" s="121">
        <f t="shared" si="18"/>
        <v>0</v>
      </c>
      <c r="W49" s="104"/>
      <c r="X49" s="66">
        <v>0</v>
      </c>
      <c r="Y49" s="121">
        <f t="shared" si="19"/>
        <v>0</v>
      </c>
      <c r="Z49" s="104"/>
      <c r="AA49" s="66">
        <v>0</v>
      </c>
      <c r="AB49" s="121">
        <f t="shared" si="20"/>
        <v>0</v>
      </c>
      <c r="AC49" s="104"/>
      <c r="AD49" s="66">
        <v>0</v>
      </c>
      <c r="AE49" s="121">
        <f t="shared" si="21"/>
        <v>0</v>
      </c>
      <c r="AF49" s="104"/>
      <c r="AG49" s="66">
        <v>0</v>
      </c>
      <c r="AH49" s="121">
        <f t="shared" si="22"/>
        <v>0</v>
      </c>
      <c r="AI49" s="104"/>
      <c r="AL49" s="104"/>
      <c r="AM49" s="104"/>
      <c r="AN49" s="104"/>
    </row>
    <row r="50" spans="3:40" x14ac:dyDescent="0.25">
      <c r="C50" s="112" t="str">
        <f t="shared" si="12"/>
        <v>2044-45</v>
      </c>
      <c r="D50" s="121">
        <f>IF(LEFT($C50,4)*1&lt;LEFT('General inputs'!$I$15,4)+'General inputs'!$H$28,SUM(G50,J50,M50,P50,S50,V50,Y50,AB50,AE50,AH50),"")</f>
        <v>0</v>
      </c>
      <c r="E50" s="104"/>
      <c r="F50" s="66">
        <v>0</v>
      </c>
      <c r="G50" s="121">
        <f t="shared" si="13"/>
        <v>0</v>
      </c>
      <c r="H50" s="104"/>
      <c r="I50" s="66">
        <v>0</v>
      </c>
      <c r="J50" s="121">
        <f t="shared" si="14"/>
        <v>0</v>
      </c>
      <c r="K50" s="104"/>
      <c r="L50" s="66">
        <v>0</v>
      </c>
      <c r="M50" s="121">
        <f t="shared" si="15"/>
        <v>0</v>
      </c>
      <c r="N50" s="104"/>
      <c r="O50" s="66">
        <v>0</v>
      </c>
      <c r="P50" s="121">
        <f t="shared" si="16"/>
        <v>0</v>
      </c>
      <c r="Q50" s="104"/>
      <c r="R50" s="66">
        <v>0</v>
      </c>
      <c r="S50" s="121">
        <f t="shared" si="17"/>
        <v>0</v>
      </c>
      <c r="T50" s="104"/>
      <c r="U50" s="66">
        <v>0</v>
      </c>
      <c r="V50" s="121">
        <f t="shared" si="18"/>
        <v>0</v>
      </c>
      <c r="W50" s="104"/>
      <c r="X50" s="66">
        <v>0</v>
      </c>
      <c r="Y50" s="121">
        <f t="shared" si="19"/>
        <v>0</v>
      </c>
      <c r="Z50" s="104"/>
      <c r="AA50" s="66">
        <v>0</v>
      </c>
      <c r="AB50" s="121">
        <f t="shared" si="20"/>
        <v>0</v>
      </c>
      <c r="AC50" s="104"/>
      <c r="AD50" s="66">
        <v>0</v>
      </c>
      <c r="AE50" s="121">
        <f t="shared" si="21"/>
        <v>0</v>
      </c>
      <c r="AF50" s="104"/>
      <c r="AG50" s="66">
        <v>0</v>
      </c>
      <c r="AH50" s="121">
        <f t="shared" si="22"/>
        <v>0</v>
      </c>
      <c r="AI50" s="104"/>
      <c r="AL50" s="104"/>
      <c r="AM50" s="104"/>
      <c r="AN50" s="104"/>
    </row>
    <row r="51" spans="3:40" x14ac:dyDescent="0.25">
      <c r="C51" s="112" t="str">
        <f t="shared" si="12"/>
        <v>2045-46</v>
      </c>
      <c r="D51" s="121">
        <f>IF(LEFT($C51,4)*1&lt;LEFT('General inputs'!$I$15,4)+'General inputs'!$H$28,SUM(G51,J51,M51,P51,S51,V51,Y51,AB51,AE51,AH51),"")</f>
        <v>0</v>
      </c>
      <c r="E51" s="104"/>
      <c r="F51" s="66">
        <v>0</v>
      </c>
      <c r="G51" s="121">
        <f t="shared" si="13"/>
        <v>0</v>
      </c>
      <c r="H51" s="104"/>
      <c r="I51" s="66">
        <v>0</v>
      </c>
      <c r="J51" s="121">
        <f t="shared" si="14"/>
        <v>0</v>
      </c>
      <c r="K51" s="104"/>
      <c r="L51" s="66">
        <v>0</v>
      </c>
      <c r="M51" s="121">
        <f t="shared" si="15"/>
        <v>0</v>
      </c>
      <c r="N51" s="104"/>
      <c r="O51" s="66">
        <v>0</v>
      </c>
      <c r="P51" s="121">
        <f t="shared" si="16"/>
        <v>0</v>
      </c>
      <c r="Q51" s="104"/>
      <c r="R51" s="66">
        <v>0</v>
      </c>
      <c r="S51" s="121">
        <f t="shared" si="17"/>
        <v>0</v>
      </c>
      <c r="T51" s="104"/>
      <c r="U51" s="66">
        <v>0</v>
      </c>
      <c r="V51" s="121">
        <f t="shared" si="18"/>
        <v>0</v>
      </c>
      <c r="W51" s="104"/>
      <c r="X51" s="66">
        <v>0</v>
      </c>
      <c r="Y51" s="121">
        <f t="shared" si="19"/>
        <v>0</v>
      </c>
      <c r="Z51" s="104"/>
      <c r="AA51" s="66">
        <v>0</v>
      </c>
      <c r="AB51" s="121">
        <f t="shared" si="20"/>
        <v>0</v>
      </c>
      <c r="AC51" s="104"/>
      <c r="AD51" s="66">
        <v>0</v>
      </c>
      <c r="AE51" s="121">
        <f t="shared" si="21"/>
        <v>0</v>
      </c>
      <c r="AF51" s="104"/>
      <c r="AG51" s="66">
        <v>0</v>
      </c>
      <c r="AH51" s="121">
        <f t="shared" si="22"/>
        <v>0</v>
      </c>
      <c r="AI51" s="104"/>
      <c r="AL51" s="104"/>
      <c r="AM51" s="104"/>
      <c r="AN51" s="104"/>
    </row>
    <row r="52" spans="3:40" x14ac:dyDescent="0.25">
      <c r="C52" s="112" t="str">
        <f t="shared" si="12"/>
        <v>2046-47</v>
      </c>
      <c r="D52" s="121">
        <f>IF(LEFT($C52,4)*1&lt;LEFT('General inputs'!$I$15,4)+'General inputs'!$H$28,SUM(G52,J52,M52,P52,S52,V52,Y52,AB52,AE52,AH52),"")</f>
        <v>0</v>
      </c>
      <c r="E52" s="104"/>
      <c r="F52" s="66">
        <v>0</v>
      </c>
      <c r="G52" s="121">
        <f t="shared" si="13"/>
        <v>0</v>
      </c>
      <c r="H52" s="104"/>
      <c r="I52" s="66">
        <v>0</v>
      </c>
      <c r="J52" s="121">
        <f t="shared" si="14"/>
        <v>0</v>
      </c>
      <c r="K52" s="104"/>
      <c r="L52" s="66">
        <v>0</v>
      </c>
      <c r="M52" s="121">
        <f t="shared" si="15"/>
        <v>0</v>
      </c>
      <c r="N52" s="104"/>
      <c r="O52" s="66">
        <v>0</v>
      </c>
      <c r="P52" s="121">
        <f t="shared" si="16"/>
        <v>0</v>
      </c>
      <c r="Q52" s="104"/>
      <c r="R52" s="66">
        <v>0</v>
      </c>
      <c r="S52" s="121">
        <f t="shared" si="17"/>
        <v>0</v>
      </c>
      <c r="T52" s="104"/>
      <c r="U52" s="66">
        <v>0</v>
      </c>
      <c r="V52" s="121">
        <f t="shared" si="18"/>
        <v>0</v>
      </c>
      <c r="W52" s="104"/>
      <c r="X52" s="66">
        <v>0</v>
      </c>
      <c r="Y52" s="121">
        <f t="shared" si="19"/>
        <v>0</v>
      </c>
      <c r="Z52" s="104"/>
      <c r="AA52" s="66">
        <v>0</v>
      </c>
      <c r="AB52" s="121">
        <f t="shared" si="20"/>
        <v>0</v>
      </c>
      <c r="AC52" s="104"/>
      <c r="AD52" s="66">
        <v>0</v>
      </c>
      <c r="AE52" s="121">
        <f t="shared" si="21"/>
        <v>0</v>
      </c>
      <c r="AF52" s="104"/>
      <c r="AG52" s="66">
        <v>0</v>
      </c>
      <c r="AH52" s="121">
        <f t="shared" si="22"/>
        <v>0</v>
      </c>
      <c r="AI52" s="104"/>
      <c r="AL52" s="104"/>
      <c r="AM52" s="104"/>
      <c r="AN52" s="104"/>
    </row>
    <row r="53" spans="3:40" x14ac:dyDescent="0.25">
      <c r="C53" s="112" t="str">
        <f t="shared" si="12"/>
        <v>2047-48</v>
      </c>
      <c r="D53" s="121">
        <f>IF(LEFT($C53,4)*1&lt;LEFT('General inputs'!$I$15,4)+'General inputs'!$H$28,SUM(G53,J53,M53,P53,S53,V53,Y53,AB53,AE53,AH53),"")</f>
        <v>0</v>
      </c>
      <c r="E53" s="104"/>
      <c r="F53" s="66">
        <v>0</v>
      </c>
      <c r="G53" s="121">
        <f t="shared" si="13"/>
        <v>0</v>
      </c>
      <c r="H53" s="104"/>
      <c r="I53" s="66">
        <v>0</v>
      </c>
      <c r="J53" s="121">
        <f t="shared" si="14"/>
        <v>0</v>
      </c>
      <c r="K53" s="104"/>
      <c r="L53" s="66">
        <v>0</v>
      </c>
      <c r="M53" s="121">
        <f t="shared" si="15"/>
        <v>0</v>
      </c>
      <c r="N53" s="104"/>
      <c r="O53" s="66">
        <v>0</v>
      </c>
      <c r="P53" s="121">
        <f t="shared" si="16"/>
        <v>0</v>
      </c>
      <c r="Q53" s="104"/>
      <c r="R53" s="66">
        <v>0</v>
      </c>
      <c r="S53" s="121">
        <f t="shared" si="17"/>
        <v>0</v>
      </c>
      <c r="T53" s="104"/>
      <c r="U53" s="66">
        <v>0</v>
      </c>
      <c r="V53" s="121">
        <f t="shared" si="18"/>
        <v>0</v>
      </c>
      <c r="W53" s="104"/>
      <c r="X53" s="66">
        <v>0</v>
      </c>
      <c r="Y53" s="121">
        <f t="shared" si="19"/>
        <v>0</v>
      </c>
      <c r="Z53" s="104"/>
      <c r="AA53" s="66">
        <v>0</v>
      </c>
      <c r="AB53" s="121">
        <f t="shared" si="20"/>
        <v>0</v>
      </c>
      <c r="AC53" s="104"/>
      <c r="AD53" s="66">
        <v>0</v>
      </c>
      <c r="AE53" s="121">
        <f t="shared" si="21"/>
        <v>0</v>
      </c>
      <c r="AF53" s="104"/>
      <c r="AG53" s="66">
        <v>0</v>
      </c>
      <c r="AH53" s="121">
        <f t="shared" si="22"/>
        <v>0</v>
      </c>
      <c r="AI53" s="104"/>
      <c r="AL53" s="104"/>
      <c r="AM53" s="104"/>
      <c r="AN53" s="104"/>
    </row>
    <row r="54" spans="3:40" x14ac:dyDescent="0.25">
      <c r="C54" s="112" t="str">
        <f t="shared" si="12"/>
        <v>2048-49</v>
      </c>
      <c r="D54" s="121">
        <f>IF(LEFT($C54,4)*1&lt;LEFT('General inputs'!$I$15,4)+'General inputs'!$H$28,SUM(G54,J54,M54,P54,S54,V54,Y54,AB54,AE54,AH54),"")</f>
        <v>0</v>
      </c>
      <c r="E54" s="104"/>
      <c r="F54" s="66">
        <v>0</v>
      </c>
      <c r="G54" s="121">
        <f t="shared" si="13"/>
        <v>0</v>
      </c>
      <c r="H54" s="104"/>
      <c r="I54" s="66">
        <v>0</v>
      </c>
      <c r="J54" s="121">
        <f t="shared" si="14"/>
        <v>0</v>
      </c>
      <c r="K54" s="104"/>
      <c r="L54" s="66">
        <v>0</v>
      </c>
      <c r="M54" s="121">
        <f t="shared" si="15"/>
        <v>0</v>
      </c>
      <c r="N54" s="104"/>
      <c r="O54" s="66">
        <v>0</v>
      </c>
      <c r="P54" s="121">
        <f t="shared" si="16"/>
        <v>0</v>
      </c>
      <c r="Q54" s="104"/>
      <c r="R54" s="66">
        <v>0</v>
      </c>
      <c r="S54" s="121">
        <f t="shared" si="17"/>
        <v>0</v>
      </c>
      <c r="T54" s="104"/>
      <c r="U54" s="66">
        <v>0</v>
      </c>
      <c r="V54" s="121">
        <f t="shared" si="18"/>
        <v>0</v>
      </c>
      <c r="W54" s="104"/>
      <c r="X54" s="66">
        <v>0</v>
      </c>
      <c r="Y54" s="121">
        <f t="shared" si="19"/>
        <v>0</v>
      </c>
      <c r="Z54" s="104"/>
      <c r="AA54" s="66">
        <v>0</v>
      </c>
      <c r="AB54" s="121">
        <f t="shared" si="20"/>
        <v>0</v>
      </c>
      <c r="AC54" s="104"/>
      <c r="AD54" s="66">
        <v>0</v>
      </c>
      <c r="AE54" s="121">
        <f t="shared" si="21"/>
        <v>0</v>
      </c>
      <c r="AF54" s="104"/>
      <c r="AG54" s="66">
        <v>0</v>
      </c>
      <c r="AH54" s="121">
        <f t="shared" si="22"/>
        <v>0</v>
      </c>
      <c r="AI54" s="104"/>
      <c r="AL54" s="104"/>
      <c r="AM54" s="104"/>
      <c r="AN54" s="104"/>
    </row>
    <row r="55" spans="3:40" x14ac:dyDescent="0.25">
      <c r="C55" s="112" t="str">
        <f t="shared" si="12"/>
        <v>2049-50</v>
      </c>
      <c r="D55" s="121">
        <f>IF(LEFT($C55,4)*1&lt;LEFT('General inputs'!$I$15,4)+'General inputs'!$H$28,SUM(G55,J55,M55,P55,S55,V55,Y55,AB55,AE55,AH55),"")</f>
        <v>0</v>
      </c>
      <c r="E55" s="104"/>
      <c r="F55" s="66"/>
      <c r="G55" s="121">
        <f t="shared" si="13"/>
        <v>0</v>
      </c>
      <c r="H55" s="104"/>
      <c r="I55" s="66"/>
      <c r="J55" s="121">
        <f t="shared" si="14"/>
        <v>0</v>
      </c>
      <c r="K55" s="104"/>
      <c r="L55" s="66"/>
      <c r="M55" s="121">
        <f t="shared" si="15"/>
        <v>0</v>
      </c>
      <c r="N55" s="104"/>
      <c r="O55" s="66"/>
      <c r="P55" s="121">
        <f t="shared" si="16"/>
        <v>0</v>
      </c>
      <c r="Q55" s="104"/>
      <c r="R55" s="66"/>
      <c r="S55" s="121">
        <f t="shared" si="17"/>
        <v>0</v>
      </c>
      <c r="T55" s="104"/>
      <c r="U55" s="66"/>
      <c r="V55" s="121">
        <f t="shared" si="18"/>
        <v>0</v>
      </c>
      <c r="W55" s="104"/>
      <c r="X55" s="66"/>
      <c r="Y55" s="121">
        <f t="shared" si="19"/>
        <v>0</v>
      </c>
      <c r="Z55" s="104"/>
      <c r="AA55" s="66"/>
      <c r="AB55" s="121">
        <f t="shared" si="20"/>
        <v>0</v>
      </c>
      <c r="AC55" s="104"/>
      <c r="AD55" s="66"/>
      <c r="AE55" s="121">
        <f t="shared" si="21"/>
        <v>0</v>
      </c>
      <c r="AF55" s="104"/>
      <c r="AG55" s="66"/>
      <c r="AH55" s="121">
        <f t="shared" si="22"/>
        <v>0</v>
      </c>
      <c r="AI55" s="104"/>
      <c r="AL55" s="104"/>
      <c r="AM55" s="104"/>
      <c r="AN55" s="104"/>
    </row>
    <row r="56" spans="3:40" x14ac:dyDescent="0.25">
      <c r="C56" s="112" t="str">
        <f t="shared" si="12"/>
        <v>2050-51</v>
      </c>
      <c r="D56" s="121" t="str">
        <f>IF(LEFT($C56,4)*1&lt;LEFT('General inputs'!$I$15,4)+'General inputs'!$H$28,SUM(G56,J56,M56,P56,S56,V56,Y56,AB56,AE56,AH56),"")</f>
        <v/>
      </c>
      <c r="E56" s="104"/>
      <c r="F56" s="66"/>
      <c r="G56" s="121">
        <f t="shared" si="13"/>
        <v>0</v>
      </c>
      <c r="H56" s="104"/>
      <c r="I56" s="66"/>
      <c r="J56" s="121">
        <f t="shared" si="14"/>
        <v>0</v>
      </c>
      <c r="K56" s="104"/>
      <c r="L56" s="66"/>
      <c r="M56" s="121">
        <f t="shared" si="15"/>
        <v>0</v>
      </c>
      <c r="N56" s="104"/>
      <c r="O56" s="66"/>
      <c r="P56" s="121">
        <f t="shared" si="16"/>
        <v>0</v>
      </c>
      <c r="Q56" s="104"/>
      <c r="R56" s="66"/>
      <c r="S56" s="121">
        <f t="shared" si="17"/>
        <v>0</v>
      </c>
      <c r="T56" s="104"/>
      <c r="U56" s="66"/>
      <c r="V56" s="121">
        <f t="shared" si="18"/>
        <v>0</v>
      </c>
      <c r="W56" s="104"/>
      <c r="X56" s="66"/>
      <c r="Y56" s="121">
        <f t="shared" si="19"/>
        <v>0</v>
      </c>
      <c r="Z56" s="104"/>
      <c r="AA56" s="66"/>
      <c r="AB56" s="121">
        <f t="shared" si="20"/>
        <v>0</v>
      </c>
      <c r="AC56" s="104"/>
      <c r="AD56" s="66"/>
      <c r="AE56" s="121">
        <f t="shared" si="21"/>
        <v>0</v>
      </c>
      <c r="AF56" s="104"/>
      <c r="AG56" s="66"/>
      <c r="AH56" s="121">
        <f t="shared" si="22"/>
        <v>0</v>
      </c>
      <c r="AI56" s="104"/>
      <c r="AL56" s="104"/>
      <c r="AM56" s="104"/>
      <c r="AN56" s="104"/>
    </row>
    <row r="57" spans="3:40" x14ac:dyDescent="0.25">
      <c r="C57" s="112" t="str">
        <f t="shared" si="12"/>
        <v>2051-52</v>
      </c>
      <c r="D57" s="121" t="str">
        <f>IF(LEFT($C57,4)*1&lt;LEFT('General inputs'!$I$15,4)+'General inputs'!$H$28,SUM(G57,J57,M57,P57,S57,V57,Y57,AB57,AE57,AH57),"")</f>
        <v/>
      </c>
      <c r="E57" s="104"/>
      <c r="F57" s="66"/>
      <c r="G57" s="121">
        <f t="shared" si="13"/>
        <v>0</v>
      </c>
      <c r="H57" s="104"/>
      <c r="I57" s="66"/>
      <c r="J57" s="121">
        <f t="shared" si="14"/>
        <v>0</v>
      </c>
      <c r="K57" s="104"/>
      <c r="L57" s="66"/>
      <c r="M57" s="121">
        <f t="shared" si="15"/>
        <v>0</v>
      </c>
      <c r="N57" s="104"/>
      <c r="O57" s="66"/>
      <c r="P57" s="121">
        <f t="shared" si="16"/>
        <v>0</v>
      </c>
      <c r="Q57" s="104"/>
      <c r="R57" s="66"/>
      <c r="S57" s="121">
        <f t="shared" si="17"/>
        <v>0</v>
      </c>
      <c r="T57" s="104"/>
      <c r="U57" s="66"/>
      <c r="V57" s="121">
        <f t="shared" si="18"/>
        <v>0</v>
      </c>
      <c r="W57" s="104"/>
      <c r="X57" s="66"/>
      <c r="Y57" s="121">
        <f t="shared" si="19"/>
        <v>0</v>
      </c>
      <c r="Z57" s="104"/>
      <c r="AA57" s="66"/>
      <c r="AB57" s="121">
        <f t="shared" si="20"/>
        <v>0</v>
      </c>
      <c r="AC57" s="104"/>
      <c r="AD57" s="66"/>
      <c r="AE57" s="121">
        <f t="shared" si="21"/>
        <v>0</v>
      </c>
      <c r="AF57" s="104"/>
      <c r="AG57" s="66"/>
      <c r="AH57" s="121">
        <f t="shared" si="22"/>
        <v>0</v>
      </c>
      <c r="AI57" s="104"/>
      <c r="AL57" s="104"/>
      <c r="AM57" s="104"/>
      <c r="AN57" s="104"/>
    </row>
    <row r="58" spans="3:40" x14ac:dyDescent="0.25">
      <c r="C58" s="112" t="str">
        <f t="shared" si="12"/>
        <v>2052-53</v>
      </c>
      <c r="D58" s="121" t="str">
        <f>IF(LEFT($C58,4)*1&lt;LEFT('General inputs'!$I$15,4)+'General inputs'!$H$28,SUM(G58,J58,M58,P58,S58,V58,Y58,AB58,AE58,AH58),"")</f>
        <v/>
      </c>
      <c r="E58" s="104"/>
      <c r="F58" s="66"/>
      <c r="G58" s="121">
        <f t="shared" si="13"/>
        <v>0</v>
      </c>
      <c r="H58" s="104"/>
      <c r="I58" s="66"/>
      <c r="J58" s="121">
        <f t="shared" si="14"/>
        <v>0</v>
      </c>
      <c r="K58" s="104"/>
      <c r="L58" s="66"/>
      <c r="M58" s="121">
        <f t="shared" si="15"/>
        <v>0</v>
      </c>
      <c r="N58" s="104"/>
      <c r="O58" s="66"/>
      <c r="P58" s="121">
        <f t="shared" si="16"/>
        <v>0</v>
      </c>
      <c r="Q58" s="104"/>
      <c r="R58" s="66"/>
      <c r="S58" s="121">
        <f t="shared" si="17"/>
        <v>0</v>
      </c>
      <c r="T58" s="104"/>
      <c r="U58" s="66"/>
      <c r="V58" s="121">
        <f t="shared" si="18"/>
        <v>0</v>
      </c>
      <c r="W58" s="104"/>
      <c r="X58" s="66"/>
      <c r="Y58" s="121">
        <f t="shared" si="19"/>
        <v>0</v>
      </c>
      <c r="Z58" s="104"/>
      <c r="AA58" s="66"/>
      <c r="AB58" s="121">
        <f t="shared" si="20"/>
        <v>0</v>
      </c>
      <c r="AC58" s="104"/>
      <c r="AD58" s="66"/>
      <c r="AE58" s="121">
        <f t="shared" si="21"/>
        <v>0</v>
      </c>
      <c r="AF58" s="104"/>
      <c r="AG58" s="66"/>
      <c r="AH58" s="121">
        <f t="shared" si="22"/>
        <v>0</v>
      </c>
      <c r="AI58" s="104"/>
      <c r="AL58" s="104"/>
      <c r="AM58" s="104"/>
      <c r="AN58" s="104"/>
    </row>
    <row r="59" spans="3:40" x14ac:dyDescent="0.25">
      <c r="C59" s="112" t="str">
        <f t="shared" si="12"/>
        <v>2053-54</v>
      </c>
      <c r="D59" s="121" t="str">
        <f>IF(LEFT($C59,4)*1&lt;LEFT('General inputs'!$I$15,4)+'General inputs'!$H$28,SUM(G59,J59,M59,P59,S59,V59,Y59,AB59,AE59,AH59),"")</f>
        <v/>
      </c>
      <c r="E59" s="104"/>
      <c r="F59" s="66"/>
      <c r="G59" s="121">
        <f t="shared" si="13"/>
        <v>0</v>
      </c>
      <c r="H59" s="104"/>
      <c r="I59" s="66"/>
      <c r="J59" s="121">
        <f t="shared" si="14"/>
        <v>0</v>
      </c>
      <c r="K59" s="104"/>
      <c r="L59" s="66"/>
      <c r="M59" s="121">
        <f t="shared" si="15"/>
        <v>0</v>
      </c>
      <c r="N59" s="104"/>
      <c r="O59" s="66"/>
      <c r="P59" s="121">
        <f t="shared" si="16"/>
        <v>0</v>
      </c>
      <c r="Q59" s="104"/>
      <c r="R59" s="66"/>
      <c r="S59" s="121">
        <f t="shared" si="17"/>
        <v>0</v>
      </c>
      <c r="T59" s="104"/>
      <c r="U59" s="66"/>
      <c r="V59" s="121">
        <f t="shared" si="18"/>
        <v>0</v>
      </c>
      <c r="W59" s="104"/>
      <c r="X59" s="66"/>
      <c r="Y59" s="121">
        <f t="shared" si="19"/>
        <v>0</v>
      </c>
      <c r="Z59" s="104"/>
      <c r="AA59" s="66"/>
      <c r="AB59" s="121">
        <f t="shared" si="20"/>
        <v>0</v>
      </c>
      <c r="AC59" s="104"/>
      <c r="AD59" s="66"/>
      <c r="AE59" s="121">
        <f t="shared" si="21"/>
        <v>0</v>
      </c>
      <c r="AF59" s="104"/>
      <c r="AG59" s="66"/>
      <c r="AH59" s="121">
        <f t="shared" si="22"/>
        <v>0</v>
      </c>
      <c r="AI59" s="104"/>
      <c r="AL59" s="104"/>
      <c r="AM59" s="104"/>
      <c r="AN59" s="104"/>
    </row>
    <row r="60" spans="3:40" x14ac:dyDescent="0.25">
      <c r="C60" s="112" t="str">
        <f t="shared" si="12"/>
        <v>2054-55</v>
      </c>
      <c r="D60" s="121" t="str">
        <f>IF(LEFT($C60,4)*1&lt;LEFT('General inputs'!$I$15,4)+'General inputs'!$H$28,SUM(G60,J60,M60,P60,S60,V60,Y60,AB60,AE60,AH60),"")</f>
        <v/>
      </c>
      <c r="E60" s="104"/>
      <c r="F60" s="66"/>
      <c r="G60" s="121">
        <f t="shared" si="13"/>
        <v>0</v>
      </c>
      <c r="H60" s="104"/>
      <c r="I60" s="66"/>
      <c r="J60" s="121">
        <f t="shared" si="14"/>
        <v>0</v>
      </c>
      <c r="K60" s="104"/>
      <c r="L60" s="66"/>
      <c r="M60" s="121">
        <f t="shared" si="15"/>
        <v>0</v>
      </c>
      <c r="N60" s="104"/>
      <c r="O60" s="66"/>
      <c r="P60" s="121">
        <f t="shared" si="16"/>
        <v>0</v>
      </c>
      <c r="Q60" s="104"/>
      <c r="R60" s="66"/>
      <c r="S60" s="121">
        <f t="shared" si="17"/>
        <v>0</v>
      </c>
      <c r="T60" s="104"/>
      <c r="U60" s="66"/>
      <c r="V60" s="121">
        <f t="shared" si="18"/>
        <v>0</v>
      </c>
      <c r="W60" s="104"/>
      <c r="X60" s="66"/>
      <c r="Y60" s="121">
        <f t="shared" si="19"/>
        <v>0</v>
      </c>
      <c r="Z60" s="104"/>
      <c r="AA60" s="66"/>
      <c r="AB60" s="121">
        <f t="shared" si="20"/>
        <v>0</v>
      </c>
      <c r="AC60" s="104"/>
      <c r="AD60" s="66"/>
      <c r="AE60" s="121">
        <f t="shared" si="21"/>
        <v>0</v>
      </c>
      <c r="AF60" s="104"/>
      <c r="AG60" s="66"/>
      <c r="AH60" s="121">
        <f t="shared" si="22"/>
        <v>0</v>
      </c>
      <c r="AI60" s="104"/>
      <c r="AL60" s="104"/>
      <c r="AM60" s="104"/>
      <c r="AN60" s="104"/>
    </row>
    <row r="61" spans="3:40" x14ac:dyDescent="0.25">
      <c r="C61" s="112" t="str">
        <f t="shared" si="12"/>
        <v>2055-56</v>
      </c>
      <c r="D61" s="121" t="str">
        <f>IF(LEFT($C61,4)*1&lt;LEFT('General inputs'!$I$15,4)+'General inputs'!$H$28,SUM(G61,J61,M61,P61,S61,V61,Y61,AB61,AE61,AH61),"")</f>
        <v/>
      </c>
      <c r="E61" s="104"/>
      <c r="F61" s="66"/>
      <c r="G61" s="121">
        <f t="shared" si="13"/>
        <v>0</v>
      </c>
      <c r="H61" s="104"/>
      <c r="I61" s="66"/>
      <c r="J61" s="121">
        <f t="shared" si="14"/>
        <v>0</v>
      </c>
      <c r="K61" s="104"/>
      <c r="L61" s="66"/>
      <c r="M61" s="121">
        <f t="shared" si="15"/>
        <v>0</v>
      </c>
      <c r="N61" s="104"/>
      <c r="O61" s="66"/>
      <c r="P61" s="121">
        <f t="shared" si="16"/>
        <v>0</v>
      </c>
      <c r="Q61" s="104"/>
      <c r="R61" s="66"/>
      <c r="S61" s="121">
        <f t="shared" si="17"/>
        <v>0</v>
      </c>
      <c r="T61" s="104"/>
      <c r="U61" s="66"/>
      <c r="V61" s="121">
        <f t="shared" si="18"/>
        <v>0</v>
      </c>
      <c r="W61" s="104"/>
      <c r="X61" s="66"/>
      <c r="Y61" s="121">
        <f t="shared" si="19"/>
        <v>0</v>
      </c>
      <c r="Z61" s="104"/>
      <c r="AA61" s="66"/>
      <c r="AB61" s="121">
        <f t="shared" si="20"/>
        <v>0</v>
      </c>
      <c r="AC61" s="104"/>
      <c r="AD61" s="66"/>
      <c r="AE61" s="121">
        <f t="shared" si="21"/>
        <v>0</v>
      </c>
      <c r="AF61" s="104"/>
      <c r="AG61" s="66"/>
      <c r="AH61" s="121">
        <f t="shared" si="22"/>
        <v>0</v>
      </c>
      <c r="AI61" s="104"/>
      <c r="AL61" s="104"/>
      <c r="AM61" s="104"/>
      <c r="AN61" s="104"/>
    </row>
    <row r="62" spans="3:40" x14ac:dyDescent="0.25">
      <c r="C62" s="112" t="str">
        <f t="shared" si="12"/>
        <v>2056-57</v>
      </c>
      <c r="D62" s="121" t="str">
        <f>IF(LEFT($C62,4)*1&lt;LEFT('General inputs'!$I$15,4)+'General inputs'!$H$28,SUM(G62,J62,M62,P62,S62,V62,Y62,AB62,AE62,AH62),"")</f>
        <v/>
      </c>
      <c r="E62" s="104"/>
      <c r="F62" s="66"/>
      <c r="G62" s="121">
        <f t="shared" si="13"/>
        <v>0</v>
      </c>
      <c r="H62" s="104"/>
      <c r="I62" s="66"/>
      <c r="J62" s="121">
        <f t="shared" si="14"/>
        <v>0</v>
      </c>
      <c r="K62" s="104"/>
      <c r="L62" s="66"/>
      <c r="M62" s="121">
        <f t="shared" si="15"/>
        <v>0</v>
      </c>
      <c r="N62" s="104"/>
      <c r="O62" s="66"/>
      <c r="P62" s="121">
        <f t="shared" si="16"/>
        <v>0</v>
      </c>
      <c r="Q62" s="104"/>
      <c r="R62" s="66"/>
      <c r="S62" s="121">
        <f t="shared" si="17"/>
        <v>0</v>
      </c>
      <c r="T62" s="104"/>
      <c r="U62" s="66"/>
      <c r="V62" s="121">
        <f t="shared" si="18"/>
        <v>0</v>
      </c>
      <c r="W62" s="104"/>
      <c r="X62" s="66"/>
      <c r="Y62" s="121">
        <f t="shared" si="19"/>
        <v>0</v>
      </c>
      <c r="Z62" s="104"/>
      <c r="AA62" s="66"/>
      <c r="AB62" s="121">
        <f t="shared" si="20"/>
        <v>0</v>
      </c>
      <c r="AC62" s="104"/>
      <c r="AD62" s="66"/>
      <c r="AE62" s="121">
        <f t="shared" si="21"/>
        <v>0</v>
      </c>
      <c r="AF62" s="104"/>
      <c r="AG62" s="66"/>
      <c r="AH62" s="121">
        <f t="shared" si="22"/>
        <v>0</v>
      </c>
      <c r="AI62" s="104"/>
      <c r="AL62" s="104"/>
      <c r="AM62" s="104"/>
      <c r="AN62" s="104"/>
    </row>
    <row r="63" spans="3:40" x14ac:dyDescent="0.25">
      <c r="C63" s="112" t="str">
        <f t="shared" si="12"/>
        <v>2057-58</v>
      </c>
      <c r="D63" s="121" t="str">
        <f>IF(LEFT($C63,4)*1&lt;LEFT('General inputs'!$I$15,4)+'General inputs'!$H$28,SUM(G63,J63,M63,P63,S63,V63,Y63,AB63,AE63,AH63),"")</f>
        <v/>
      </c>
      <c r="E63" s="104"/>
      <c r="F63" s="66"/>
      <c r="G63" s="121">
        <f t="shared" si="13"/>
        <v>0</v>
      </c>
      <c r="H63" s="104"/>
      <c r="I63" s="66"/>
      <c r="J63" s="121">
        <f t="shared" si="14"/>
        <v>0</v>
      </c>
      <c r="K63" s="104"/>
      <c r="L63" s="66"/>
      <c r="M63" s="121">
        <f t="shared" si="15"/>
        <v>0</v>
      </c>
      <c r="N63" s="104"/>
      <c r="O63" s="66"/>
      <c r="P63" s="121">
        <f t="shared" si="16"/>
        <v>0</v>
      </c>
      <c r="Q63" s="104"/>
      <c r="R63" s="66"/>
      <c r="S63" s="121">
        <f t="shared" si="17"/>
        <v>0</v>
      </c>
      <c r="T63" s="104"/>
      <c r="U63" s="66"/>
      <c r="V63" s="121">
        <f t="shared" si="18"/>
        <v>0</v>
      </c>
      <c r="W63" s="104"/>
      <c r="X63" s="66"/>
      <c r="Y63" s="121">
        <f t="shared" si="19"/>
        <v>0</v>
      </c>
      <c r="Z63" s="104"/>
      <c r="AA63" s="66"/>
      <c r="AB63" s="121">
        <f t="shared" si="20"/>
        <v>0</v>
      </c>
      <c r="AC63" s="104"/>
      <c r="AD63" s="66"/>
      <c r="AE63" s="121">
        <f t="shared" si="21"/>
        <v>0</v>
      </c>
      <c r="AF63" s="104"/>
      <c r="AG63" s="66"/>
      <c r="AH63" s="121">
        <f t="shared" si="22"/>
        <v>0</v>
      </c>
      <c r="AI63" s="104"/>
      <c r="AL63" s="104"/>
      <c r="AM63" s="104"/>
      <c r="AN63" s="104"/>
    </row>
    <row r="64" spans="3:40" x14ac:dyDescent="0.25">
      <c r="C64" s="112" t="str">
        <f t="shared" si="12"/>
        <v>2058-59</v>
      </c>
      <c r="D64" s="121" t="str">
        <f>IF(LEFT($C64,4)*1&lt;LEFT('General inputs'!$I$15,4)+'General inputs'!$H$28,SUM(G64,J64,M64,P64,S64,V64,Y64,AB64,AE64,AH64),"")</f>
        <v/>
      </c>
      <c r="E64" s="104"/>
      <c r="F64" s="66"/>
      <c r="G64" s="121">
        <f t="shared" si="13"/>
        <v>0</v>
      </c>
      <c r="H64" s="104"/>
      <c r="I64" s="66"/>
      <c r="J64" s="121">
        <f t="shared" si="14"/>
        <v>0</v>
      </c>
      <c r="K64" s="104"/>
      <c r="L64" s="66"/>
      <c r="M64" s="121">
        <f t="shared" si="15"/>
        <v>0</v>
      </c>
      <c r="N64" s="104"/>
      <c r="O64" s="66"/>
      <c r="P64" s="121">
        <f t="shared" si="16"/>
        <v>0</v>
      </c>
      <c r="Q64" s="104"/>
      <c r="R64" s="66"/>
      <c r="S64" s="121">
        <f t="shared" si="17"/>
        <v>0</v>
      </c>
      <c r="T64" s="104"/>
      <c r="U64" s="66"/>
      <c r="V64" s="121">
        <f t="shared" si="18"/>
        <v>0</v>
      </c>
      <c r="W64" s="104"/>
      <c r="X64" s="66"/>
      <c r="Y64" s="121">
        <f t="shared" si="19"/>
        <v>0</v>
      </c>
      <c r="Z64" s="104"/>
      <c r="AA64" s="66"/>
      <c r="AB64" s="121">
        <f t="shared" si="20"/>
        <v>0</v>
      </c>
      <c r="AC64" s="104"/>
      <c r="AD64" s="66"/>
      <c r="AE64" s="121">
        <f t="shared" si="21"/>
        <v>0</v>
      </c>
      <c r="AF64" s="104"/>
      <c r="AG64" s="66"/>
      <c r="AH64" s="121">
        <f t="shared" si="22"/>
        <v>0</v>
      </c>
      <c r="AI64" s="104"/>
      <c r="AL64" s="104"/>
      <c r="AM64" s="104"/>
      <c r="AN64" s="104"/>
    </row>
    <row r="65" spans="3:40" x14ac:dyDescent="0.25">
      <c r="C65" s="112" t="str">
        <f t="shared" si="12"/>
        <v>2059-60</v>
      </c>
      <c r="D65" s="121" t="str">
        <f>IF(LEFT($C65,4)*1&lt;LEFT('General inputs'!$I$15,4)+'General inputs'!$H$28,SUM(G65,J65,M65,P65,S65,V65,Y65,AB65,AE65,AH65),"")</f>
        <v/>
      </c>
      <c r="E65" s="104"/>
      <c r="F65" s="66"/>
      <c r="G65" s="121">
        <f t="shared" si="13"/>
        <v>0</v>
      </c>
      <c r="H65" s="104"/>
      <c r="I65" s="66"/>
      <c r="J65" s="121">
        <f t="shared" si="14"/>
        <v>0</v>
      </c>
      <c r="K65" s="104"/>
      <c r="L65" s="66"/>
      <c r="M65" s="121">
        <f t="shared" si="15"/>
        <v>0</v>
      </c>
      <c r="N65" s="104"/>
      <c r="O65" s="66"/>
      <c r="P65" s="121">
        <f t="shared" si="16"/>
        <v>0</v>
      </c>
      <c r="Q65" s="104"/>
      <c r="R65" s="66"/>
      <c r="S65" s="121">
        <f t="shared" si="17"/>
        <v>0</v>
      </c>
      <c r="T65" s="104"/>
      <c r="U65" s="66"/>
      <c r="V65" s="121">
        <f t="shared" si="18"/>
        <v>0</v>
      </c>
      <c r="W65" s="104"/>
      <c r="X65" s="66"/>
      <c r="Y65" s="121">
        <f t="shared" si="19"/>
        <v>0</v>
      </c>
      <c r="Z65" s="104"/>
      <c r="AA65" s="66"/>
      <c r="AB65" s="121">
        <f t="shared" si="20"/>
        <v>0</v>
      </c>
      <c r="AC65" s="104"/>
      <c r="AD65" s="66"/>
      <c r="AE65" s="121">
        <f t="shared" si="21"/>
        <v>0</v>
      </c>
      <c r="AF65" s="104"/>
      <c r="AG65" s="66"/>
      <c r="AH65" s="121">
        <f t="shared" si="22"/>
        <v>0</v>
      </c>
      <c r="AI65" s="104"/>
      <c r="AL65" s="104"/>
      <c r="AM65" s="104"/>
      <c r="AN65" s="104"/>
    </row>
    <row r="66" spans="3:40" x14ac:dyDescent="0.25">
      <c r="C66" s="112" t="str">
        <f t="shared" si="12"/>
        <v>2060-61</v>
      </c>
      <c r="D66" s="121" t="str">
        <f>IF(LEFT($C66,4)*1&lt;LEFT('General inputs'!$I$15,4)+'General inputs'!$H$28,SUM(G66,J66,M66,P66,S66,V66,Y66,AB66,AE66,AH66),"")</f>
        <v/>
      </c>
      <c r="E66" s="104"/>
      <c r="F66" s="66"/>
      <c r="G66" s="121">
        <f t="shared" si="13"/>
        <v>0</v>
      </c>
      <c r="H66" s="104"/>
      <c r="I66" s="66"/>
      <c r="J66" s="121">
        <f t="shared" si="14"/>
        <v>0</v>
      </c>
      <c r="K66" s="104"/>
      <c r="L66" s="66"/>
      <c r="M66" s="121">
        <f t="shared" si="15"/>
        <v>0</v>
      </c>
      <c r="N66" s="104"/>
      <c r="O66" s="66"/>
      <c r="P66" s="121">
        <f t="shared" si="16"/>
        <v>0</v>
      </c>
      <c r="Q66" s="104"/>
      <c r="R66" s="66"/>
      <c r="S66" s="121">
        <f t="shared" si="17"/>
        <v>0</v>
      </c>
      <c r="T66" s="104"/>
      <c r="U66" s="66"/>
      <c r="V66" s="121">
        <f t="shared" si="18"/>
        <v>0</v>
      </c>
      <c r="W66" s="104"/>
      <c r="X66" s="66"/>
      <c r="Y66" s="121">
        <f t="shared" si="19"/>
        <v>0</v>
      </c>
      <c r="Z66" s="104"/>
      <c r="AA66" s="66"/>
      <c r="AB66" s="121">
        <f t="shared" si="20"/>
        <v>0</v>
      </c>
      <c r="AC66" s="104"/>
      <c r="AD66" s="66"/>
      <c r="AE66" s="121">
        <f t="shared" si="21"/>
        <v>0</v>
      </c>
      <c r="AF66" s="104"/>
      <c r="AG66" s="66"/>
      <c r="AH66" s="121">
        <f t="shared" si="22"/>
        <v>0</v>
      </c>
      <c r="AI66" s="104"/>
      <c r="AL66" s="104"/>
      <c r="AM66" s="104"/>
      <c r="AN66" s="104"/>
    </row>
    <row r="67" spans="3:40" x14ac:dyDescent="0.25">
      <c r="C67" s="112" t="str">
        <f t="shared" si="12"/>
        <v>2061-62</v>
      </c>
      <c r="D67" s="121" t="str">
        <f>IF(LEFT($C67,4)*1&lt;LEFT('General inputs'!$I$15,4)+'General inputs'!$H$28,SUM(G67,J67,M67,P67,S67,V67,Y67,AB67,AE67,AH67),"")</f>
        <v/>
      </c>
      <c r="E67" s="104"/>
      <c r="F67" s="66"/>
      <c r="G67" s="121">
        <f t="shared" si="13"/>
        <v>0</v>
      </c>
      <c r="H67" s="104"/>
      <c r="I67" s="66"/>
      <c r="J67" s="121">
        <f t="shared" si="14"/>
        <v>0</v>
      </c>
      <c r="K67" s="104"/>
      <c r="L67" s="66"/>
      <c r="M67" s="121">
        <f t="shared" si="15"/>
        <v>0</v>
      </c>
      <c r="N67" s="104"/>
      <c r="O67" s="66"/>
      <c r="P67" s="121">
        <f t="shared" si="16"/>
        <v>0</v>
      </c>
      <c r="Q67" s="104"/>
      <c r="R67" s="66"/>
      <c r="S67" s="121">
        <f t="shared" si="17"/>
        <v>0</v>
      </c>
      <c r="T67" s="104"/>
      <c r="U67" s="66"/>
      <c r="V67" s="121">
        <f t="shared" si="18"/>
        <v>0</v>
      </c>
      <c r="W67" s="104"/>
      <c r="X67" s="66"/>
      <c r="Y67" s="121">
        <f t="shared" si="19"/>
        <v>0</v>
      </c>
      <c r="Z67" s="104"/>
      <c r="AA67" s="66"/>
      <c r="AB67" s="121">
        <f t="shared" si="20"/>
        <v>0</v>
      </c>
      <c r="AC67" s="104"/>
      <c r="AD67" s="66"/>
      <c r="AE67" s="121">
        <f t="shared" si="21"/>
        <v>0</v>
      </c>
      <c r="AF67" s="104"/>
      <c r="AG67" s="66"/>
      <c r="AH67" s="121">
        <f t="shared" si="22"/>
        <v>0</v>
      </c>
      <c r="AI67" s="104"/>
      <c r="AL67" s="104"/>
      <c r="AM67" s="104"/>
      <c r="AN67" s="104"/>
    </row>
    <row r="68" spans="3:40" x14ac:dyDescent="0.25">
      <c r="C68" s="112" t="str">
        <f t="shared" si="12"/>
        <v>2062-63</v>
      </c>
      <c r="D68" s="121" t="str">
        <f>IF(LEFT($C68,4)*1&lt;LEFT('General inputs'!$I$15,4)+'General inputs'!$H$28,SUM(G68,J68,M68,P68,S68,V68,Y68,AB68,AE68,AH68),"")</f>
        <v/>
      </c>
      <c r="E68" s="104"/>
      <c r="F68" s="66"/>
      <c r="G68" s="121">
        <f t="shared" si="13"/>
        <v>0</v>
      </c>
      <c r="H68" s="104"/>
      <c r="I68" s="66"/>
      <c r="J68" s="121">
        <f t="shared" si="14"/>
        <v>0</v>
      </c>
      <c r="K68" s="104"/>
      <c r="L68" s="66"/>
      <c r="M68" s="121">
        <f t="shared" si="15"/>
        <v>0</v>
      </c>
      <c r="N68" s="104"/>
      <c r="O68" s="66"/>
      <c r="P68" s="121">
        <f t="shared" si="16"/>
        <v>0</v>
      </c>
      <c r="Q68" s="104"/>
      <c r="R68" s="66"/>
      <c r="S68" s="121">
        <f t="shared" si="17"/>
        <v>0</v>
      </c>
      <c r="T68" s="104"/>
      <c r="U68" s="66"/>
      <c r="V68" s="121">
        <f t="shared" si="18"/>
        <v>0</v>
      </c>
      <c r="W68" s="104"/>
      <c r="X68" s="66"/>
      <c r="Y68" s="121">
        <f t="shared" si="19"/>
        <v>0</v>
      </c>
      <c r="Z68" s="104"/>
      <c r="AA68" s="66"/>
      <c r="AB68" s="121">
        <f t="shared" si="20"/>
        <v>0</v>
      </c>
      <c r="AC68" s="104"/>
      <c r="AD68" s="66"/>
      <c r="AE68" s="121">
        <f t="shared" si="21"/>
        <v>0</v>
      </c>
      <c r="AF68" s="104"/>
      <c r="AG68" s="66"/>
      <c r="AH68" s="121">
        <f t="shared" si="22"/>
        <v>0</v>
      </c>
      <c r="AI68" s="104"/>
      <c r="AL68" s="104"/>
      <c r="AM68" s="104"/>
      <c r="AN68" s="104"/>
    </row>
    <row r="69" spans="3:40" x14ac:dyDescent="0.25">
      <c r="C69" s="112" t="str">
        <f t="shared" si="12"/>
        <v>2063-64</v>
      </c>
      <c r="D69" s="121" t="str">
        <f>IF(LEFT($C69,4)*1&lt;LEFT('General inputs'!$I$15,4)+'General inputs'!$H$28,SUM(G69,J69,M69,P69,S69,V69,Y69,AB69,AE69,AH69),"")</f>
        <v/>
      </c>
      <c r="E69" s="104"/>
      <c r="F69" s="66"/>
      <c r="G69" s="121">
        <f t="shared" si="13"/>
        <v>0</v>
      </c>
      <c r="H69" s="104"/>
      <c r="I69" s="66"/>
      <c r="J69" s="121">
        <f t="shared" si="14"/>
        <v>0</v>
      </c>
      <c r="K69" s="104"/>
      <c r="L69" s="66"/>
      <c r="M69" s="121">
        <f t="shared" si="15"/>
        <v>0</v>
      </c>
      <c r="N69" s="104"/>
      <c r="O69" s="66"/>
      <c r="P69" s="121">
        <f t="shared" si="16"/>
        <v>0</v>
      </c>
      <c r="Q69" s="104"/>
      <c r="R69" s="66"/>
      <c r="S69" s="121">
        <f t="shared" si="17"/>
        <v>0</v>
      </c>
      <c r="T69" s="104"/>
      <c r="U69" s="66"/>
      <c r="V69" s="121">
        <f t="shared" si="18"/>
        <v>0</v>
      </c>
      <c r="W69" s="104"/>
      <c r="X69" s="66"/>
      <c r="Y69" s="121">
        <f t="shared" si="19"/>
        <v>0</v>
      </c>
      <c r="Z69" s="104"/>
      <c r="AA69" s="66"/>
      <c r="AB69" s="121">
        <f t="shared" si="20"/>
        <v>0</v>
      </c>
      <c r="AC69" s="104"/>
      <c r="AD69" s="66"/>
      <c r="AE69" s="121">
        <f t="shared" si="21"/>
        <v>0</v>
      </c>
      <c r="AF69" s="104"/>
      <c r="AG69" s="66"/>
      <c r="AH69" s="121">
        <f t="shared" si="22"/>
        <v>0</v>
      </c>
      <c r="AI69" s="104"/>
      <c r="AL69" s="104"/>
      <c r="AM69" s="104"/>
      <c r="AN69" s="104"/>
    </row>
    <row r="70" spans="3:40" x14ac:dyDescent="0.25">
      <c r="C70" s="112" t="str">
        <f t="shared" si="12"/>
        <v>2064-65</v>
      </c>
      <c r="D70" s="121" t="str">
        <f>IF(LEFT($C70,4)*1&lt;LEFT('General inputs'!$I$15,4)+'General inputs'!$H$28,SUM(G70,J70,M70,P70,S70,V70,Y70,AB70,AE70,AH70),"")</f>
        <v/>
      </c>
      <c r="E70" s="104"/>
      <c r="F70" s="66"/>
      <c r="G70" s="121">
        <f t="shared" si="13"/>
        <v>0</v>
      </c>
      <c r="H70" s="104"/>
      <c r="I70" s="66"/>
      <c r="J70" s="121">
        <f t="shared" si="14"/>
        <v>0</v>
      </c>
      <c r="K70" s="104"/>
      <c r="L70" s="66"/>
      <c r="M70" s="121">
        <f t="shared" si="15"/>
        <v>0</v>
      </c>
      <c r="N70" s="104"/>
      <c r="O70" s="66"/>
      <c r="P70" s="121">
        <f t="shared" si="16"/>
        <v>0</v>
      </c>
      <c r="Q70" s="104"/>
      <c r="R70" s="66"/>
      <c r="S70" s="121">
        <f t="shared" si="17"/>
        <v>0</v>
      </c>
      <c r="T70" s="104"/>
      <c r="U70" s="66"/>
      <c r="V70" s="121">
        <f t="shared" si="18"/>
        <v>0</v>
      </c>
      <c r="W70" s="104"/>
      <c r="X70" s="66"/>
      <c r="Y70" s="121">
        <f t="shared" si="19"/>
        <v>0</v>
      </c>
      <c r="Z70" s="104"/>
      <c r="AA70" s="66"/>
      <c r="AB70" s="121">
        <f t="shared" si="20"/>
        <v>0</v>
      </c>
      <c r="AC70" s="104"/>
      <c r="AD70" s="66"/>
      <c r="AE70" s="121">
        <f t="shared" si="21"/>
        <v>0</v>
      </c>
      <c r="AF70" s="104"/>
      <c r="AG70" s="66"/>
      <c r="AH70" s="121">
        <f t="shared" si="22"/>
        <v>0</v>
      </c>
      <c r="AI70" s="104"/>
      <c r="AL70" s="104"/>
      <c r="AM70" s="104"/>
      <c r="AN70" s="104"/>
    </row>
    <row r="71" spans="3:40" x14ac:dyDescent="0.25">
      <c r="C71" s="112" t="str">
        <f t="shared" si="12"/>
        <v>2065-66</v>
      </c>
      <c r="D71" s="121" t="str">
        <f>IF(LEFT($C71,4)*1&lt;LEFT('General inputs'!$I$15,4)+'General inputs'!$H$28,SUM(G71,J71,M71,P71,S71,V71,Y71,AB71,AE71,AH71),"")</f>
        <v/>
      </c>
      <c r="E71" s="104"/>
      <c r="F71" s="66"/>
      <c r="G71" s="121">
        <f t="shared" si="13"/>
        <v>0</v>
      </c>
      <c r="H71" s="104"/>
      <c r="I71" s="66"/>
      <c r="J71" s="121">
        <f t="shared" si="14"/>
        <v>0</v>
      </c>
      <c r="K71" s="104"/>
      <c r="L71" s="66"/>
      <c r="M71" s="121">
        <f t="shared" si="15"/>
        <v>0</v>
      </c>
      <c r="N71" s="104"/>
      <c r="O71" s="66"/>
      <c r="P71" s="121">
        <f t="shared" si="16"/>
        <v>0</v>
      </c>
      <c r="Q71" s="104"/>
      <c r="R71" s="66"/>
      <c r="S71" s="121">
        <f t="shared" si="17"/>
        <v>0</v>
      </c>
      <c r="T71" s="104"/>
      <c r="U71" s="66"/>
      <c r="V71" s="121">
        <f t="shared" si="18"/>
        <v>0</v>
      </c>
      <c r="W71" s="104"/>
      <c r="X71" s="66"/>
      <c r="Y71" s="121">
        <f t="shared" si="19"/>
        <v>0</v>
      </c>
      <c r="Z71" s="104"/>
      <c r="AA71" s="66"/>
      <c r="AB71" s="121">
        <f t="shared" si="20"/>
        <v>0</v>
      </c>
      <c r="AC71" s="104"/>
      <c r="AD71" s="66"/>
      <c r="AE71" s="121">
        <f t="shared" si="21"/>
        <v>0</v>
      </c>
      <c r="AF71" s="104"/>
      <c r="AG71" s="66"/>
      <c r="AH71" s="121">
        <f t="shared" si="22"/>
        <v>0</v>
      </c>
      <c r="AI71" s="104"/>
      <c r="AL71" s="104"/>
      <c r="AM71" s="104"/>
      <c r="AN71" s="104"/>
    </row>
    <row r="72" spans="3:40" x14ac:dyDescent="0.25">
      <c r="C72" s="112" t="str">
        <f t="shared" si="12"/>
        <v>2066-67</v>
      </c>
      <c r="D72" s="121" t="str">
        <f>IF(LEFT($C72,4)*1&lt;LEFT('General inputs'!$I$15,4)+'General inputs'!$H$28,SUM(G72,J72,M72,P72,S72,V72,Y72,AB72,AE72,AH72),"")</f>
        <v/>
      </c>
      <c r="E72" s="104"/>
      <c r="F72" s="66"/>
      <c r="G72" s="121">
        <f t="shared" si="13"/>
        <v>0</v>
      </c>
      <c r="H72" s="104"/>
      <c r="I72" s="66"/>
      <c r="J72" s="121">
        <f t="shared" si="14"/>
        <v>0</v>
      </c>
      <c r="K72" s="104"/>
      <c r="L72" s="66"/>
      <c r="M72" s="121">
        <f t="shared" si="15"/>
        <v>0</v>
      </c>
      <c r="N72" s="104"/>
      <c r="O72" s="66"/>
      <c r="P72" s="121">
        <f t="shared" si="16"/>
        <v>0</v>
      </c>
      <c r="Q72" s="104"/>
      <c r="R72" s="66"/>
      <c r="S72" s="121">
        <f t="shared" si="17"/>
        <v>0</v>
      </c>
      <c r="T72" s="104"/>
      <c r="U72" s="66"/>
      <c r="V72" s="121">
        <f t="shared" si="18"/>
        <v>0</v>
      </c>
      <c r="W72" s="104"/>
      <c r="X72" s="66"/>
      <c r="Y72" s="121">
        <f t="shared" si="19"/>
        <v>0</v>
      </c>
      <c r="Z72" s="104"/>
      <c r="AA72" s="66"/>
      <c r="AB72" s="121">
        <f t="shared" si="20"/>
        <v>0</v>
      </c>
      <c r="AC72" s="104"/>
      <c r="AD72" s="66"/>
      <c r="AE72" s="121">
        <f t="shared" si="21"/>
        <v>0</v>
      </c>
      <c r="AF72" s="104"/>
      <c r="AG72" s="66"/>
      <c r="AH72" s="121">
        <f t="shared" si="22"/>
        <v>0</v>
      </c>
      <c r="AI72" s="104"/>
      <c r="AL72" s="104"/>
      <c r="AM72" s="104"/>
      <c r="AN72" s="104"/>
    </row>
    <row r="73" spans="3:40" x14ac:dyDescent="0.25">
      <c r="C73" s="112" t="str">
        <f t="shared" si="12"/>
        <v>2067-68</v>
      </c>
      <c r="D73" s="121" t="str">
        <f>IF(LEFT($C73,4)*1&lt;LEFT('General inputs'!$I$15,4)+'General inputs'!$H$28,SUM(G73,J73,M73,P73,S73,V73,Y73,AB73,AE73,AH73),"")</f>
        <v/>
      </c>
      <c r="E73" s="104"/>
      <c r="F73" s="66"/>
      <c r="G73" s="121">
        <f t="shared" si="13"/>
        <v>0</v>
      </c>
      <c r="H73" s="104"/>
      <c r="I73" s="66"/>
      <c r="J73" s="121">
        <f t="shared" si="14"/>
        <v>0</v>
      </c>
      <c r="K73" s="104"/>
      <c r="L73" s="66"/>
      <c r="M73" s="121">
        <f t="shared" si="15"/>
        <v>0</v>
      </c>
      <c r="N73" s="104"/>
      <c r="O73" s="66"/>
      <c r="P73" s="121">
        <f t="shared" si="16"/>
        <v>0</v>
      </c>
      <c r="Q73" s="104"/>
      <c r="R73" s="66"/>
      <c r="S73" s="121">
        <f t="shared" si="17"/>
        <v>0</v>
      </c>
      <c r="T73" s="104"/>
      <c r="U73" s="66"/>
      <c r="V73" s="121">
        <f t="shared" si="18"/>
        <v>0</v>
      </c>
      <c r="W73" s="104"/>
      <c r="X73" s="66"/>
      <c r="Y73" s="121">
        <f t="shared" si="19"/>
        <v>0</v>
      </c>
      <c r="Z73" s="104"/>
      <c r="AA73" s="66"/>
      <c r="AB73" s="121">
        <f t="shared" si="20"/>
        <v>0</v>
      </c>
      <c r="AC73" s="104"/>
      <c r="AD73" s="66"/>
      <c r="AE73" s="121">
        <f t="shared" si="21"/>
        <v>0</v>
      </c>
      <c r="AF73" s="104"/>
      <c r="AG73" s="66"/>
      <c r="AH73" s="121">
        <f t="shared" si="22"/>
        <v>0</v>
      </c>
      <c r="AI73" s="104"/>
      <c r="AL73" s="104"/>
      <c r="AM73" s="104"/>
      <c r="AN73" s="104"/>
    </row>
    <row r="74" spans="3:40" x14ac:dyDescent="0.25">
      <c r="C74" s="112" t="str">
        <f t="shared" si="12"/>
        <v>2068-69</v>
      </c>
      <c r="D74" s="121" t="str">
        <f>IF(LEFT($C74,4)*1&lt;LEFT('General inputs'!$I$15,4)+'General inputs'!$H$28,SUM(G74,J74,M74,P74,S74,V74,Y74,AB74,AE74,AH74),"")</f>
        <v/>
      </c>
      <c r="E74" s="104"/>
      <c r="F74" s="66"/>
      <c r="G74" s="121">
        <f t="shared" si="13"/>
        <v>0</v>
      </c>
      <c r="H74" s="104"/>
      <c r="I74" s="66"/>
      <c r="J74" s="121">
        <f t="shared" si="14"/>
        <v>0</v>
      </c>
      <c r="K74" s="104"/>
      <c r="L74" s="66"/>
      <c r="M74" s="121">
        <f t="shared" si="15"/>
        <v>0</v>
      </c>
      <c r="N74" s="104"/>
      <c r="O74" s="66"/>
      <c r="P74" s="121">
        <f t="shared" si="16"/>
        <v>0</v>
      </c>
      <c r="Q74" s="104"/>
      <c r="R74" s="66"/>
      <c r="S74" s="121">
        <f t="shared" si="17"/>
        <v>0</v>
      </c>
      <c r="T74" s="104"/>
      <c r="U74" s="66"/>
      <c r="V74" s="121">
        <f t="shared" si="18"/>
        <v>0</v>
      </c>
      <c r="W74" s="104"/>
      <c r="X74" s="66"/>
      <c r="Y74" s="121">
        <f t="shared" si="19"/>
        <v>0</v>
      </c>
      <c r="Z74" s="104"/>
      <c r="AA74" s="66"/>
      <c r="AB74" s="121">
        <f t="shared" si="20"/>
        <v>0</v>
      </c>
      <c r="AC74" s="104"/>
      <c r="AD74" s="66"/>
      <c r="AE74" s="121">
        <f t="shared" si="21"/>
        <v>0</v>
      </c>
      <c r="AF74" s="104"/>
      <c r="AG74" s="66"/>
      <c r="AH74" s="121">
        <f t="shared" si="22"/>
        <v>0</v>
      </c>
      <c r="AI74" s="104"/>
      <c r="AL74" s="104"/>
      <c r="AM74" s="104"/>
      <c r="AN74" s="104"/>
    </row>
    <row r="75" spans="3:40" x14ac:dyDescent="0.25">
      <c r="C75" s="112" t="str">
        <f t="shared" si="12"/>
        <v>2069-70</v>
      </c>
      <c r="D75" s="121" t="str">
        <f>IF(LEFT($C75,4)*1&lt;LEFT('General inputs'!$I$15,4)+'General inputs'!$H$28,SUM(G75,J75,M75,P75,S75,V75,Y75,AB75,AE75,AH75),"")</f>
        <v/>
      </c>
      <c r="E75" s="104"/>
      <c r="F75" s="66"/>
      <c r="G75" s="121">
        <f t="shared" si="13"/>
        <v>0</v>
      </c>
      <c r="H75" s="104"/>
      <c r="I75" s="66"/>
      <c r="J75" s="121">
        <f t="shared" si="14"/>
        <v>0</v>
      </c>
      <c r="K75" s="104"/>
      <c r="L75" s="66"/>
      <c r="M75" s="121">
        <f t="shared" si="15"/>
        <v>0</v>
      </c>
      <c r="N75" s="104"/>
      <c r="O75" s="66"/>
      <c r="P75" s="121">
        <f t="shared" si="16"/>
        <v>0</v>
      </c>
      <c r="Q75" s="104"/>
      <c r="R75" s="66"/>
      <c r="S75" s="121">
        <f t="shared" si="17"/>
        <v>0</v>
      </c>
      <c r="T75" s="104"/>
      <c r="U75" s="66"/>
      <c r="V75" s="121">
        <f t="shared" si="18"/>
        <v>0</v>
      </c>
      <c r="W75" s="104"/>
      <c r="X75" s="66"/>
      <c r="Y75" s="121">
        <f t="shared" si="19"/>
        <v>0</v>
      </c>
      <c r="Z75" s="104"/>
      <c r="AA75" s="66"/>
      <c r="AB75" s="121">
        <f t="shared" si="20"/>
        <v>0</v>
      </c>
      <c r="AC75" s="104"/>
      <c r="AD75" s="66"/>
      <c r="AE75" s="121">
        <f t="shared" si="21"/>
        <v>0</v>
      </c>
      <c r="AF75" s="104"/>
      <c r="AG75" s="66"/>
      <c r="AH75" s="121">
        <f t="shared" si="22"/>
        <v>0</v>
      </c>
      <c r="AI75" s="104"/>
      <c r="AL75" s="104"/>
      <c r="AM75" s="104"/>
      <c r="AN75" s="104"/>
    </row>
    <row r="76" spans="3:40" x14ac:dyDescent="0.25">
      <c r="C76" s="112" t="str">
        <f t="shared" si="12"/>
        <v>2070-71</v>
      </c>
      <c r="D76" s="121" t="str">
        <f>IF(LEFT($C76,4)*1&lt;LEFT('General inputs'!$I$15,4)+'General inputs'!$H$28,SUM(G76,J76,M76,P76,S76,V76,Y76,AB76,AE76,AH76),"")</f>
        <v/>
      </c>
      <c r="E76" s="104"/>
      <c r="F76" s="66"/>
      <c r="G76" s="121">
        <f t="shared" ref="G76:G102" si="23">F76*$G$9/$F$6</f>
        <v>0</v>
      </c>
      <c r="H76" s="104"/>
      <c r="I76" s="66"/>
      <c r="J76" s="121">
        <f t="shared" ref="J76:J102" si="24">I76*$J$9/$F$6</f>
        <v>0</v>
      </c>
      <c r="K76" s="104"/>
      <c r="L76" s="66"/>
      <c r="M76" s="121">
        <f t="shared" ref="M76:M102" si="25">L76*$M$9/$F$6</f>
        <v>0</v>
      </c>
      <c r="N76" s="104"/>
      <c r="O76" s="66"/>
      <c r="P76" s="121">
        <f t="shared" ref="P76:P102" si="26">O76*$P$9/$F$6</f>
        <v>0</v>
      </c>
      <c r="Q76" s="104"/>
      <c r="R76" s="66"/>
      <c r="S76" s="121">
        <f t="shared" ref="S76:S102" si="27">R76*$S$9/$F$6</f>
        <v>0</v>
      </c>
      <c r="T76" s="104"/>
      <c r="U76" s="66"/>
      <c r="V76" s="121">
        <f t="shared" ref="V76:V102" si="28">U76*$V$9/$F$6</f>
        <v>0</v>
      </c>
      <c r="W76" s="104"/>
      <c r="X76" s="66"/>
      <c r="Y76" s="121">
        <f t="shared" ref="Y76:Y102" si="29">X76*$Y$9/$F$6</f>
        <v>0</v>
      </c>
      <c r="Z76" s="104"/>
      <c r="AA76" s="66"/>
      <c r="AB76" s="121">
        <f t="shared" ref="AB76:AB102" si="30">AA76*$AB$9/$F$6</f>
        <v>0</v>
      </c>
      <c r="AC76" s="104"/>
      <c r="AD76" s="66"/>
      <c r="AE76" s="121">
        <f t="shared" ref="AE76:AE102" si="31">AD76*$AE$9/$F$6</f>
        <v>0</v>
      </c>
      <c r="AF76" s="104"/>
      <c r="AG76" s="66"/>
      <c r="AH76" s="121">
        <f t="shared" ref="AH76:AH102" si="32">AG76*$AH$9/$F$6</f>
        <v>0</v>
      </c>
      <c r="AI76" s="104"/>
      <c r="AL76" s="104"/>
      <c r="AM76" s="104"/>
      <c r="AN76" s="104"/>
    </row>
    <row r="77" spans="3:40" x14ac:dyDescent="0.25">
      <c r="C77" s="112" t="str">
        <f t="shared" si="12"/>
        <v>2071-72</v>
      </c>
      <c r="D77" s="121" t="str">
        <f>IF(LEFT($C77,4)*1&lt;LEFT('General inputs'!$I$15,4)+'General inputs'!$H$28,SUM(G77,J77,M77,P77,S77,V77,Y77,AB77,AE77,AH77),"")</f>
        <v/>
      </c>
      <c r="E77" s="104"/>
      <c r="F77" s="66"/>
      <c r="G77" s="121">
        <f t="shared" si="23"/>
        <v>0</v>
      </c>
      <c r="H77" s="104"/>
      <c r="I77" s="66"/>
      <c r="J77" s="121">
        <f t="shared" si="24"/>
        <v>0</v>
      </c>
      <c r="K77" s="104"/>
      <c r="L77" s="66"/>
      <c r="M77" s="121">
        <f t="shared" si="25"/>
        <v>0</v>
      </c>
      <c r="N77" s="104"/>
      <c r="O77" s="66"/>
      <c r="P77" s="121">
        <f t="shared" si="26"/>
        <v>0</v>
      </c>
      <c r="Q77" s="104"/>
      <c r="R77" s="66"/>
      <c r="S77" s="121">
        <f t="shared" si="27"/>
        <v>0</v>
      </c>
      <c r="T77" s="104"/>
      <c r="U77" s="66"/>
      <c r="V77" s="121">
        <f t="shared" si="28"/>
        <v>0</v>
      </c>
      <c r="W77" s="104"/>
      <c r="X77" s="66"/>
      <c r="Y77" s="121">
        <f t="shared" si="29"/>
        <v>0</v>
      </c>
      <c r="Z77" s="104"/>
      <c r="AA77" s="66"/>
      <c r="AB77" s="121">
        <f t="shared" si="30"/>
        <v>0</v>
      </c>
      <c r="AC77" s="104"/>
      <c r="AD77" s="66"/>
      <c r="AE77" s="121">
        <f t="shared" si="31"/>
        <v>0</v>
      </c>
      <c r="AF77" s="104"/>
      <c r="AG77" s="66"/>
      <c r="AH77" s="121">
        <f t="shared" si="32"/>
        <v>0</v>
      </c>
      <c r="AI77" s="104"/>
      <c r="AL77" s="104"/>
      <c r="AM77" s="104"/>
      <c r="AN77" s="104"/>
    </row>
    <row r="78" spans="3:40" x14ac:dyDescent="0.25">
      <c r="C78" s="112" t="str">
        <f t="shared" si="12"/>
        <v>2072-73</v>
      </c>
      <c r="D78" s="121" t="str">
        <f>IF(LEFT($C78,4)*1&lt;LEFT('General inputs'!$I$15,4)+'General inputs'!$H$28,SUM(G78,J78,M78,P78,S78,V78,Y78,AB78,AE78,AH78),"")</f>
        <v/>
      </c>
      <c r="E78" s="104"/>
      <c r="F78" s="66"/>
      <c r="G78" s="121">
        <f t="shared" si="23"/>
        <v>0</v>
      </c>
      <c r="H78" s="104"/>
      <c r="I78" s="66"/>
      <c r="J78" s="121">
        <f t="shared" si="24"/>
        <v>0</v>
      </c>
      <c r="K78" s="104"/>
      <c r="L78" s="66"/>
      <c r="M78" s="121">
        <f t="shared" si="25"/>
        <v>0</v>
      </c>
      <c r="N78" s="104"/>
      <c r="O78" s="66"/>
      <c r="P78" s="121">
        <f t="shared" si="26"/>
        <v>0</v>
      </c>
      <c r="Q78" s="104"/>
      <c r="R78" s="66"/>
      <c r="S78" s="121">
        <f t="shared" si="27"/>
        <v>0</v>
      </c>
      <c r="T78" s="104"/>
      <c r="U78" s="66"/>
      <c r="V78" s="121">
        <f t="shared" si="28"/>
        <v>0</v>
      </c>
      <c r="W78" s="104"/>
      <c r="X78" s="66"/>
      <c r="Y78" s="121">
        <f t="shared" si="29"/>
        <v>0</v>
      </c>
      <c r="Z78" s="104"/>
      <c r="AA78" s="66"/>
      <c r="AB78" s="121">
        <f t="shared" si="30"/>
        <v>0</v>
      </c>
      <c r="AC78" s="104"/>
      <c r="AD78" s="66"/>
      <c r="AE78" s="121">
        <f t="shared" si="31"/>
        <v>0</v>
      </c>
      <c r="AF78" s="104"/>
      <c r="AG78" s="66"/>
      <c r="AH78" s="121">
        <f t="shared" si="32"/>
        <v>0</v>
      </c>
      <c r="AI78" s="104"/>
      <c r="AL78" s="104"/>
      <c r="AM78" s="104"/>
      <c r="AN78" s="104"/>
    </row>
    <row r="79" spans="3:40" x14ac:dyDescent="0.25">
      <c r="C79" s="112" t="str">
        <f t="shared" si="12"/>
        <v>2073-74</v>
      </c>
      <c r="D79" s="121" t="str">
        <f>IF(LEFT($C79,4)*1&lt;LEFT('General inputs'!$I$15,4)+'General inputs'!$H$28,SUM(G79,J79,M79,P79,S79,V79,Y79,AB79,AE79,AH79),"")</f>
        <v/>
      </c>
      <c r="E79" s="104"/>
      <c r="F79" s="66"/>
      <c r="G79" s="121">
        <f t="shared" si="23"/>
        <v>0</v>
      </c>
      <c r="H79" s="104"/>
      <c r="I79" s="66"/>
      <c r="J79" s="121">
        <f t="shared" si="24"/>
        <v>0</v>
      </c>
      <c r="K79" s="104"/>
      <c r="L79" s="66"/>
      <c r="M79" s="121">
        <f t="shared" si="25"/>
        <v>0</v>
      </c>
      <c r="N79" s="104"/>
      <c r="O79" s="66"/>
      <c r="P79" s="121">
        <f t="shared" si="26"/>
        <v>0</v>
      </c>
      <c r="Q79" s="104"/>
      <c r="R79" s="66"/>
      <c r="S79" s="121">
        <f t="shared" si="27"/>
        <v>0</v>
      </c>
      <c r="T79" s="104"/>
      <c r="U79" s="66"/>
      <c r="V79" s="121">
        <f t="shared" si="28"/>
        <v>0</v>
      </c>
      <c r="W79" s="104"/>
      <c r="X79" s="66"/>
      <c r="Y79" s="121">
        <f t="shared" si="29"/>
        <v>0</v>
      </c>
      <c r="Z79" s="104"/>
      <c r="AA79" s="66"/>
      <c r="AB79" s="121">
        <f t="shared" si="30"/>
        <v>0</v>
      </c>
      <c r="AC79" s="104"/>
      <c r="AD79" s="66"/>
      <c r="AE79" s="121">
        <f t="shared" si="31"/>
        <v>0</v>
      </c>
      <c r="AF79" s="104"/>
      <c r="AG79" s="66"/>
      <c r="AH79" s="121">
        <f t="shared" si="32"/>
        <v>0</v>
      </c>
      <c r="AI79" s="104"/>
      <c r="AL79" s="104"/>
      <c r="AM79" s="104"/>
      <c r="AN79" s="104"/>
    </row>
    <row r="80" spans="3:40" x14ac:dyDescent="0.25">
      <c r="C80" s="112" t="str">
        <f t="shared" ref="C80:C102" si="33">LEFT(C79,4)+1&amp;"-"&amp;RIGHT(C79,2)+1</f>
        <v>2074-75</v>
      </c>
      <c r="D80" s="121" t="str">
        <f>IF(LEFT($C80,4)*1&lt;LEFT('General inputs'!$I$15,4)+'General inputs'!$H$28,SUM(G80,J80,M80,P80,S80,V80,Y80,AB80,AE80,AH80),"")</f>
        <v/>
      </c>
      <c r="E80" s="104"/>
      <c r="F80" s="66"/>
      <c r="G80" s="121">
        <f t="shared" si="23"/>
        <v>0</v>
      </c>
      <c r="H80" s="104"/>
      <c r="I80" s="66"/>
      <c r="J80" s="121">
        <f t="shared" si="24"/>
        <v>0</v>
      </c>
      <c r="K80" s="104"/>
      <c r="L80" s="66"/>
      <c r="M80" s="121">
        <f t="shared" si="25"/>
        <v>0</v>
      </c>
      <c r="N80" s="104"/>
      <c r="O80" s="66"/>
      <c r="P80" s="121">
        <f t="shared" si="26"/>
        <v>0</v>
      </c>
      <c r="Q80" s="104"/>
      <c r="R80" s="66"/>
      <c r="S80" s="121">
        <f t="shared" si="27"/>
        <v>0</v>
      </c>
      <c r="T80" s="104"/>
      <c r="U80" s="66"/>
      <c r="V80" s="121">
        <f t="shared" si="28"/>
        <v>0</v>
      </c>
      <c r="W80" s="104"/>
      <c r="X80" s="66"/>
      <c r="Y80" s="121">
        <f t="shared" si="29"/>
        <v>0</v>
      </c>
      <c r="Z80" s="104"/>
      <c r="AA80" s="66"/>
      <c r="AB80" s="121">
        <f t="shared" si="30"/>
        <v>0</v>
      </c>
      <c r="AC80" s="104"/>
      <c r="AD80" s="66"/>
      <c r="AE80" s="121">
        <f t="shared" si="31"/>
        <v>0</v>
      </c>
      <c r="AF80" s="104"/>
      <c r="AG80" s="66"/>
      <c r="AH80" s="121">
        <f t="shared" si="32"/>
        <v>0</v>
      </c>
      <c r="AI80" s="104"/>
      <c r="AL80" s="104"/>
      <c r="AM80" s="104"/>
      <c r="AN80" s="104"/>
    </row>
    <row r="81" spans="3:40" x14ac:dyDescent="0.25">
      <c r="C81" s="112" t="str">
        <f t="shared" si="33"/>
        <v>2075-76</v>
      </c>
      <c r="D81" s="121" t="str">
        <f>IF(LEFT($C81,4)*1&lt;LEFT('General inputs'!$I$15,4)+'General inputs'!$H$28,SUM(G81,J81,M81,P81,S81,V81,Y81,AB81,AE81,AH81),"")</f>
        <v/>
      </c>
      <c r="E81" s="104"/>
      <c r="F81" s="66"/>
      <c r="G81" s="121">
        <f t="shared" si="23"/>
        <v>0</v>
      </c>
      <c r="H81" s="104"/>
      <c r="I81" s="66"/>
      <c r="J81" s="121">
        <f t="shared" si="24"/>
        <v>0</v>
      </c>
      <c r="K81" s="104"/>
      <c r="L81" s="66"/>
      <c r="M81" s="121">
        <f t="shared" si="25"/>
        <v>0</v>
      </c>
      <c r="N81" s="104"/>
      <c r="O81" s="66"/>
      <c r="P81" s="121">
        <f t="shared" si="26"/>
        <v>0</v>
      </c>
      <c r="Q81" s="104"/>
      <c r="R81" s="66"/>
      <c r="S81" s="121">
        <f t="shared" si="27"/>
        <v>0</v>
      </c>
      <c r="T81" s="104"/>
      <c r="U81" s="66"/>
      <c r="V81" s="121">
        <f t="shared" si="28"/>
        <v>0</v>
      </c>
      <c r="W81" s="104"/>
      <c r="X81" s="66"/>
      <c r="Y81" s="121">
        <f t="shared" si="29"/>
        <v>0</v>
      </c>
      <c r="Z81" s="104"/>
      <c r="AA81" s="66"/>
      <c r="AB81" s="121">
        <f t="shared" si="30"/>
        <v>0</v>
      </c>
      <c r="AC81" s="104"/>
      <c r="AD81" s="66"/>
      <c r="AE81" s="121">
        <f t="shared" si="31"/>
        <v>0</v>
      </c>
      <c r="AF81" s="104"/>
      <c r="AG81" s="66"/>
      <c r="AH81" s="121">
        <f t="shared" si="32"/>
        <v>0</v>
      </c>
      <c r="AI81" s="104"/>
      <c r="AL81" s="104"/>
      <c r="AM81" s="104"/>
      <c r="AN81" s="104"/>
    </row>
    <row r="82" spans="3:40" x14ac:dyDescent="0.25">
      <c r="C82" s="112" t="str">
        <f t="shared" si="33"/>
        <v>2076-77</v>
      </c>
      <c r="D82" s="121" t="str">
        <f>IF(LEFT($C82,4)*1&lt;LEFT('General inputs'!$I$15,4)+'General inputs'!$H$28,SUM(G82,J82,M82,P82,S82,V82,Y82,AB82,AE82,AH82),"")</f>
        <v/>
      </c>
      <c r="E82" s="104"/>
      <c r="F82" s="66"/>
      <c r="G82" s="121">
        <f t="shared" si="23"/>
        <v>0</v>
      </c>
      <c r="H82" s="104"/>
      <c r="I82" s="66"/>
      <c r="J82" s="121">
        <f t="shared" si="24"/>
        <v>0</v>
      </c>
      <c r="K82" s="104"/>
      <c r="L82" s="66"/>
      <c r="M82" s="121">
        <f t="shared" si="25"/>
        <v>0</v>
      </c>
      <c r="N82" s="104"/>
      <c r="O82" s="66"/>
      <c r="P82" s="121">
        <f t="shared" si="26"/>
        <v>0</v>
      </c>
      <c r="Q82" s="104"/>
      <c r="R82" s="66"/>
      <c r="S82" s="121">
        <f t="shared" si="27"/>
        <v>0</v>
      </c>
      <c r="T82" s="104"/>
      <c r="U82" s="66"/>
      <c r="V82" s="121">
        <f t="shared" si="28"/>
        <v>0</v>
      </c>
      <c r="W82" s="104"/>
      <c r="X82" s="66"/>
      <c r="Y82" s="121">
        <f t="shared" si="29"/>
        <v>0</v>
      </c>
      <c r="Z82" s="104"/>
      <c r="AA82" s="66"/>
      <c r="AB82" s="121">
        <f t="shared" si="30"/>
        <v>0</v>
      </c>
      <c r="AC82" s="104"/>
      <c r="AD82" s="66"/>
      <c r="AE82" s="121">
        <f t="shared" si="31"/>
        <v>0</v>
      </c>
      <c r="AF82" s="104"/>
      <c r="AG82" s="66"/>
      <c r="AH82" s="121">
        <f t="shared" si="32"/>
        <v>0</v>
      </c>
      <c r="AI82" s="104"/>
      <c r="AL82" s="104"/>
      <c r="AM82" s="104"/>
      <c r="AN82" s="104"/>
    </row>
    <row r="83" spans="3:40" x14ac:dyDescent="0.25">
      <c r="C83" s="112" t="str">
        <f t="shared" si="33"/>
        <v>2077-78</v>
      </c>
      <c r="D83" s="121" t="str">
        <f>IF(LEFT($C83,4)*1&lt;LEFT('General inputs'!$I$15,4)+'General inputs'!$H$28,SUM(G83,J83,M83,P83,S83,V83,Y83,AB83,AE83,AH83),"")</f>
        <v/>
      </c>
      <c r="E83" s="104"/>
      <c r="F83" s="66"/>
      <c r="G83" s="121">
        <f t="shared" si="23"/>
        <v>0</v>
      </c>
      <c r="H83" s="104"/>
      <c r="I83" s="66"/>
      <c r="J83" s="121">
        <f t="shared" si="24"/>
        <v>0</v>
      </c>
      <c r="K83" s="104"/>
      <c r="L83" s="66"/>
      <c r="M83" s="121">
        <f t="shared" si="25"/>
        <v>0</v>
      </c>
      <c r="N83" s="104"/>
      <c r="O83" s="66"/>
      <c r="P83" s="121">
        <f t="shared" si="26"/>
        <v>0</v>
      </c>
      <c r="Q83" s="104"/>
      <c r="R83" s="66"/>
      <c r="S83" s="121">
        <f t="shared" si="27"/>
        <v>0</v>
      </c>
      <c r="T83" s="104"/>
      <c r="U83" s="66"/>
      <c r="V83" s="121">
        <f t="shared" si="28"/>
        <v>0</v>
      </c>
      <c r="W83" s="104"/>
      <c r="X83" s="66"/>
      <c r="Y83" s="121">
        <f t="shared" si="29"/>
        <v>0</v>
      </c>
      <c r="Z83" s="104"/>
      <c r="AA83" s="66"/>
      <c r="AB83" s="121">
        <f t="shared" si="30"/>
        <v>0</v>
      </c>
      <c r="AC83" s="104"/>
      <c r="AD83" s="66"/>
      <c r="AE83" s="121">
        <f t="shared" si="31"/>
        <v>0</v>
      </c>
      <c r="AF83" s="104"/>
      <c r="AG83" s="66"/>
      <c r="AH83" s="121">
        <f t="shared" si="32"/>
        <v>0</v>
      </c>
      <c r="AI83" s="104"/>
      <c r="AL83" s="104"/>
      <c r="AM83" s="104"/>
      <c r="AN83" s="104"/>
    </row>
    <row r="84" spans="3:40" x14ac:dyDescent="0.25">
      <c r="C84" s="112" t="str">
        <f t="shared" si="33"/>
        <v>2078-79</v>
      </c>
      <c r="D84" s="121" t="str">
        <f>IF(LEFT($C84,4)*1&lt;LEFT('General inputs'!$I$15,4)+'General inputs'!$H$28,SUM(G84,J84,M84,P84,S84,V84,Y84,AB84,AE84,AH84),"")</f>
        <v/>
      </c>
      <c r="E84" s="104"/>
      <c r="F84" s="66"/>
      <c r="G84" s="121">
        <f t="shared" si="23"/>
        <v>0</v>
      </c>
      <c r="H84" s="104"/>
      <c r="I84" s="66"/>
      <c r="J84" s="121">
        <f t="shared" si="24"/>
        <v>0</v>
      </c>
      <c r="K84" s="104"/>
      <c r="L84" s="66"/>
      <c r="M84" s="121">
        <f t="shared" si="25"/>
        <v>0</v>
      </c>
      <c r="N84" s="104"/>
      <c r="O84" s="66"/>
      <c r="P84" s="121">
        <f t="shared" si="26"/>
        <v>0</v>
      </c>
      <c r="Q84" s="104"/>
      <c r="R84" s="66"/>
      <c r="S84" s="121">
        <f t="shared" si="27"/>
        <v>0</v>
      </c>
      <c r="T84" s="104"/>
      <c r="U84" s="66"/>
      <c r="V84" s="121">
        <f t="shared" si="28"/>
        <v>0</v>
      </c>
      <c r="W84" s="104"/>
      <c r="X84" s="66"/>
      <c r="Y84" s="121">
        <f t="shared" si="29"/>
        <v>0</v>
      </c>
      <c r="Z84" s="104"/>
      <c r="AA84" s="66"/>
      <c r="AB84" s="121">
        <f t="shared" si="30"/>
        <v>0</v>
      </c>
      <c r="AC84" s="104"/>
      <c r="AD84" s="66"/>
      <c r="AE84" s="121">
        <f t="shared" si="31"/>
        <v>0</v>
      </c>
      <c r="AF84" s="104"/>
      <c r="AG84" s="66"/>
      <c r="AH84" s="121">
        <f t="shared" si="32"/>
        <v>0</v>
      </c>
      <c r="AI84" s="104"/>
      <c r="AL84" s="104"/>
      <c r="AM84" s="104"/>
      <c r="AN84" s="104"/>
    </row>
    <row r="85" spans="3:40" x14ac:dyDescent="0.25">
      <c r="C85" s="112" t="str">
        <f t="shared" si="33"/>
        <v>2079-80</v>
      </c>
      <c r="D85" s="121" t="str">
        <f>IF(LEFT($C85,4)*1&lt;LEFT('General inputs'!$I$15,4)+'General inputs'!$H$28,SUM(G85,J85,M85,P85,S85,V85,Y85,AB85,AE85,AH85),"")</f>
        <v/>
      </c>
      <c r="E85" s="104"/>
      <c r="F85" s="66"/>
      <c r="G85" s="121">
        <f t="shared" si="23"/>
        <v>0</v>
      </c>
      <c r="H85" s="104"/>
      <c r="I85" s="66"/>
      <c r="J85" s="121">
        <f t="shared" si="24"/>
        <v>0</v>
      </c>
      <c r="K85" s="104"/>
      <c r="L85" s="66"/>
      <c r="M85" s="121">
        <f t="shared" si="25"/>
        <v>0</v>
      </c>
      <c r="N85" s="104"/>
      <c r="O85" s="66"/>
      <c r="P85" s="121">
        <f t="shared" si="26"/>
        <v>0</v>
      </c>
      <c r="Q85" s="104"/>
      <c r="R85" s="66"/>
      <c r="S85" s="121">
        <f t="shared" si="27"/>
        <v>0</v>
      </c>
      <c r="T85" s="104"/>
      <c r="U85" s="66"/>
      <c r="V85" s="121">
        <f t="shared" si="28"/>
        <v>0</v>
      </c>
      <c r="W85" s="104"/>
      <c r="X85" s="66"/>
      <c r="Y85" s="121">
        <f t="shared" si="29"/>
        <v>0</v>
      </c>
      <c r="Z85" s="104"/>
      <c r="AA85" s="66"/>
      <c r="AB85" s="121">
        <f t="shared" si="30"/>
        <v>0</v>
      </c>
      <c r="AC85" s="104"/>
      <c r="AD85" s="66"/>
      <c r="AE85" s="121">
        <f t="shared" si="31"/>
        <v>0</v>
      </c>
      <c r="AF85" s="104"/>
      <c r="AG85" s="66"/>
      <c r="AH85" s="121">
        <f t="shared" si="32"/>
        <v>0</v>
      </c>
      <c r="AI85" s="104"/>
      <c r="AL85" s="104"/>
      <c r="AM85" s="104"/>
      <c r="AN85" s="104"/>
    </row>
    <row r="86" spans="3:40" x14ac:dyDescent="0.25">
      <c r="C86" s="112" t="str">
        <f t="shared" si="33"/>
        <v>2080-81</v>
      </c>
      <c r="D86" s="121" t="str">
        <f>IF(LEFT($C86,4)*1&lt;LEFT('General inputs'!$I$15,4)+'General inputs'!$H$28,SUM(G86,J86,M86,P86,S86,V86,Y86,AB86,AE86,AH86),"")</f>
        <v/>
      </c>
      <c r="E86" s="104"/>
      <c r="F86" s="66"/>
      <c r="G86" s="121">
        <f t="shared" si="23"/>
        <v>0</v>
      </c>
      <c r="H86" s="104"/>
      <c r="I86" s="66"/>
      <c r="J86" s="121">
        <f t="shared" si="24"/>
        <v>0</v>
      </c>
      <c r="K86" s="104"/>
      <c r="L86" s="66"/>
      <c r="M86" s="121">
        <f t="shared" si="25"/>
        <v>0</v>
      </c>
      <c r="N86" s="104"/>
      <c r="O86" s="66"/>
      <c r="P86" s="121">
        <f t="shared" si="26"/>
        <v>0</v>
      </c>
      <c r="Q86" s="104"/>
      <c r="R86" s="66"/>
      <c r="S86" s="121">
        <f t="shared" si="27"/>
        <v>0</v>
      </c>
      <c r="T86" s="104"/>
      <c r="U86" s="66"/>
      <c r="V86" s="121">
        <f t="shared" si="28"/>
        <v>0</v>
      </c>
      <c r="W86" s="104"/>
      <c r="X86" s="66"/>
      <c r="Y86" s="121">
        <f t="shared" si="29"/>
        <v>0</v>
      </c>
      <c r="Z86" s="104"/>
      <c r="AA86" s="66"/>
      <c r="AB86" s="121">
        <f t="shared" si="30"/>
        <v>0</v>
      </c>
      <c r="AC86" s="104"/>
      <c r="AD86" s="66"/>
      <c r="AE86" s="121">
        <f t="shared" si="31"/>
        <v>0</v>
      </c>
      <c r="AF86" s="104"/>
      <c r="AG86" s="66"/>
      <c r="AH86" s="121">
        <f t="shared" si="32"/>
        <v>0</v>
      </c>
      <c r="AI86" s="104"/>
      <c r="AL86" s="104"/>
      <c r="AM86" s="104"/>
      <c r="AN86" s="104"/>
    </row>
    <row r="87" spans="3:40" x14ac:dyDescent="0.25">
      <c r="C87" s="112" t="str">
        <f t="shared" si="33"/>
        <v>2081-82</v>
      </c>
      <c r="D87" s="121" t="str">
        <f>IF(LEFT($C87,4)*1&lt;LEFT('General inputs'!$I$15,4)+'General inputs'!$H$28,SUM(G87,J87,M87,P87,S87,V87,Y87,AB87,AE87,AH87),"")</f>
        <v/>
      </c>
      <c r="E87" s="104"/>
      <c r="F87" s="66"/>
      <c r="G87" s="121">
        <f t="shared" si="23"/>
        <v>0</v>
      </c>
      <c r="H87" s="104"/>
      <c r="I87" s="66"/>
      <c r="J87" s="121">
        <f t="shared" si="24"/>
        <v>0</v>
      </c>
      <c r="K87" s="104"/>
      <c r="L87" s="66"/>
      <c r="M87" s="121">
        <f t="shared" si="25"/>
        <v>0</v>
      </c>
      <c r="N87" s="104"/>
      <c r="O87" s="66"/>
      <c r="P87" s="121">
        <f t="shared" si="26"/>
        <v>0</v>
      </c>
      <c r="Q87" s="104"/>
      <c r="R87" s="66"/>
      <c r="S87" s="121">
        <f t="shared" si="27"/>
        <v>0</v>
      </c>
      <c r="T87" s="104"/>
      <c r="U87" s="66"/>
      <c r="V87" s="121">
        <f t="shared" si="28"/>
        <v>0</v>
      </c>
      <c r="W87" s="104"/>
      <c r="X87" s="66"/>
      <c r="Y87" s="121">
        <f t="shared" si="29"/>
        <v>0</v>
      </c>
      <c r="Z87" s="104"/>
      <c r="AA87" s="66"/>
      <c r="AB87" s="121">
        <f t="shared" si="30"/>
        <v>0</v>
      </c>
      <c r="AC87" s="104"/>
      <c r="AD87" s="66"/>
      <c r="AE87" s="121">
        <f t="shared" si="31"/>
        <v>0</v>
      </c>
      <c r="AF87" s="104"/>
      <c r="AG87" s="66"/>
      <c r="AH87" s="121">
        <f t="shared" si="32"/>
        <v>0</v>
      </c>
      <c r="AI87" s="104"/>
      <c r="AL87" s="104"/>
      <c r="AM87" s="104"/>
      <c r="AN87" s="104"/>
    </row>
    <row r="88" spans="3:40" x14ac:dyDescent="0.25">
      <c r="C88" s="112" t="str">
        <f t="shared" si="33"/>
        <v>2082-83</v>
      </c>
      <c r="D88" s="121" t="str">
        <f>IF(LEFT($C88,4)*1&lt;LEFT('General inputs'!$I$15,4)+'General inputs'!$H$28,SUM(G88,J88,M88,P88,S88,V88,Y88,AB88,AE88,AH88),"")</f>
        <v/>
      </c>
      <c r="E88" s="104"/>
      <c r="F88" s="66"/>
      <c r="G88" s="121">
        <f t="shared" si="23"/>
        <v>0</v>
      </c>
      <c r="H88" s="104"/>
      <c r="I88" s="66"/>
      <c r="J88" s="121">
        <f t="shared" si="24"/>
        <v>0</v>
      </c>
      <c r="K88" s="104"/>
      <c r="L88" s="66"/>
      <c r="M88" s="121">
        <f t="shared" si="25"/>
        <v>0</v>
      </c>
      <c r="N88" s="104"/>
      <c r="O88" s="66"/>
      <c r="P88" s="121">
        <f t="shared" si="26"/>
        <v>0</v>
      </c>
      <c r="Q88" s="104"/>
      <c r="R88" s="66"/>
      <c r="S88" s="121">
        <f t="shared" si="27"/>
        <v>0</v>
      </c>
      <c r="T88" s="104"/>
      <c r="U88" s="66"/>
      <c r="V88" s="121">
        <f t="shared" si="28"/>
        <v>0</v>
      </c>
      <c r="W88" s="104"/>
      <c r="X88" s="66"/>
      <c r="Y88" s="121">
        <f t="shared" si="29"/>
        <v>0</v>
      </c>
      <c r="Z88" s="104"/>
      <c r="AA88" s="66"/>
      <c r="AB88" s="121">
        <f t="shared" si="30"/>
        <v>0</v>
      </c>
      <c r="AC88" s="104"/>
      <c r="AD88" s="66"/>
      <c r="AE88" s="121">
        <f t="shared" si="31"/>
        <v>0</v>
      </c>
      <c r="AF88" s="104"/>
      <c r="AG88" s="66"/>
      <c r="AH88" s="121">
        <f t="shared" si="32"/>
        <v>0</v>
      </c>
      <c r="AI88" s="104"/>
      <c r="AL88" s="104"/>
      <c r="AM88" s="104"/>
      <c r="AN88" s="104"/>
    </row>
    <row r="89" spans="3:40" x14ac:dyDescent="0.25">
      <c r="C89" s="112" t="str">
        <f t="shared" si="33"/>
        <v>2083-84</v>
      </c>
      <c r="D89" s="121" t="str">
        <f>IF(LEFT($C89,4)*1&lt;LEFT('General inputs'!$I$15,4)+'General inputs'!$H$28,SUM(G89,J89,M89,P89,S89,V89,Y89,AB89,AE89,AH89),"")</f>
        <v/>
      </c>
      <c r="E89" s="104"/>
      <c r="F89" s="66"/>
      <c r="G89" s="121">
        <f t="shared" si="23"/>
        <v>0</v>
      </c>
      <c r="H89" s="104"/>
      <c r="I89" s="66"/>
      <c r="J89" s="121">
        <f t="shared" si="24"/>
        <v>0</v>
      </c>
      <c r="K89" s="104"/>
      <c r="L89" s="66"/>
      <c r="M89" s="121">
        <f t="shared" si="25"/>
        <v>0</v>
      </c>
      <c r="N89" s="104"/>
      <c r="O89" s="66"/>
      <c r="P89" s="121">
        <f t="shared" si="26"/>
        <v>0</v>
      </c>
      <c r="Q89" s="104"/>
      <c r="R89" s="66"/>
      <c r="S89" s="121">
        <f t="shared" si="27"/>
        <v>0</v>
      </c>
      <c r="T89" s="104"/>
      <c r="U89" s="66"/>
      <c r="V89" s="121">
        <f t="shared" si="28"/>
        <v>0</v>
      </c>
      <c r="W89" s="104"/>
      <c r="X89" s="66"/>
      <c r="Y89" s="121">
        <f t="shared" si="29"/>
        <v>0</v>
      </c>
      <c r="Z89" s="104"/>
      <c r="AA89" s="66"/>
      <c r="AB89" s="121">
        <f t="shared" si="30"/>
        <v>0</v>
      </c>
      <c r="AC89" s="104"/>
      <c r="AD89" s="66"/>
      <c r="AE89" s="121">
        <f t="shared" si="31"/>
        <v>0</v>
      </c>
      <c r="AF89" s="104"/>
      <c r="AG89" s="66"/>
      <c r="AH89" s="121">
        <f t="shared" si="32"/>
        <v>0</v>
      </c>
      <c r="AI89" s="104"/>
      <c r="AL89" s="104"/>
      <c r="AM89" s="104"/>
      <c r="AN89" s="104"/>
    </row>
    <row r="90" spans="3:40" x14ac:dyDescent="0.25">
      <c r="C90" s="112" t="str">
        <f t="shared" si="33"/>
        <v>2084-85</v>
      </c>
      <c r="D90" s="121" t="str">
        <f>IF(LEFT($C90,4)*1&lt;LEFT('General inputs'!$I$15,4)+'General inputs'!$H$28,SUM(G90,J90,M90,P90,S90,V90,Y90,AB90,AE90,AH90),"")</f>
        <v/>
      </c>
      <c r="E90" s="104"/>
      <c r="F90" s="66"/>
      <c r="G90" s="121">
        <f t="shared" si="23"/>
        <v>0</v>
      </c>
      <c r="H90" s="104"/>
      <c r="I90" s="66"/>
      <c r="J90" s="121">
        <f t="shared" si="24"/>
        <v>0</v>
      </c>
      <c r="K90" s="104"/>
      <c r="L90" s="66"/>
      <c r="M90" s="121">
        <f t="shared" si="25"/>
        <v>0</v>
      </c>
      <c r="N90" s="104"/>
      <c r="O90" s="66"/>
      <c r="P90" s="121">
        <f t="shared" si="26"/>
        <v>0</v>
      </c>
      <c r="Q90" s="104"/>
      <c r="R90" s="66"/>
      <c r="S90" s="121">
        <f t="shared" si="27"/>
        <v>0</v>
      </c>
      <c r="T90" s="104"/>
      <c r="U90" s="66"/>
      <c r="V90" s="121">
        <f t="shared" si="28"/>
        <v>0</v>
      </c>
      <c r="W90" s="104"/>
      <c r="X90" s="66"/>
      <c r="Y90" s="121">
        <f t="shared" si="29"/>
        <v>0</v>
      </c>
      <c r="Z90" s="104"/>
      <c r="AA90" s="66"/>
      <c r="AB90" s="121">
        <f t="shared" si="30"/>
        <v>0</v>
      </c>
      <c r="AC90" s="104"/>
      <c r="AD90" s="66"/>
      <c r="AE90" s="121">
        <f t="shared" si="31"/>
        <v>0</v>
      </c>
      <c r="AF90" s="104"/>
      <c r="AG90" s="66"/>
      <c r="AH90" s="121">
        <f t="shared" si="32"/>
        <v>0</v>
      </c>
      <c r="AI90" s="104"/>
      <c r="AL90" s="104"/>
      <c r="AM90" s="104"/>
      <c r="AN90" s="104"/>
    </row>
    <row r="91" spans="3:40" x14ac:dyDescent="0.25">
      <c r="C91" s="112" t="str">
        <f t="shared" si="33"/>
        <v>2085-86</v>
      </c>
      <c r="D91" s="121" t="str">
        <f>IF(LEFT($C91,4)*1&lt;LEFT('General inputs'!$I$15,4)+'General inputs'!$H$28,SUM(G91,J91,M91,P91,S91,V91,Y91,AB91,AE91,AH91),"")</f>
        <v/>
      </c>
      <c r="E91" s="104"/>
      <c r="F91" s="66"/>
      <c r="G91" s="121">
        <f t="shared" si="23"/>
        <v>0</v>
      </c>
      <c r="H91" s="104"/>
      <c r="I91" s="66"/>
      <c r="J91" s="121">
        <f t="shared" si="24"/>
        <v>0</v>
      </c>
      <c r="K91" s="104"/>
      <c r="L91" s="66"/>
      <c r="M91" s="121">
        <f t="shared" si="25"/>
        <v>0</v>
      </c>
      <c r="N91" s="104"/>
      <c r="O91" s="66"/>
      <c r="P91" s="121">
        <f t="shared" si="26"/>
        <v>0</v>
      </c>
      <c r="Q91" s="104"/>
      <c r="R91" s="66"/>
      <c r="S91" s="121">
        <f t="shared" si="27"/>
        <v>0</v>
      </c>
      <c r="T91" s="104"/>
      <c r="U91" s="66"/>
      <c r="V91" s="121">
        <f t="shared" si="28"/>
        <v>0</v>
      </c>
      <c r="W91" s="104"/>
      <c r="X91" s="66"/>
      <c r="Y91" s="121">
        <f t="shared" si="29"/>
        <v>0</v>
      </c>
      <c r="Z91" s="104"/>
      <c r="AA91" s="66"/>
      <c r="AB91" s="121">
        <f t="shared" si="30"/>
        <v>0</v>
      </c>
      <c r="AC91" s="104"/>
      <c r="AD91" s="66"/>
      <c r="AE91" s="121">
        <f t="shared" si="31"/>
        <v>0</v>
      </c>
      <c r="AF91" s="104"/>
      <c r="AG91" s="66"/>
      <c r="AH91" s="121">
        <f t="shared" si="32"/>
        <v>0</v>
      </c>
      <c r="AI91" s="104"/>
      <c r="AL91" s="104"/>
      <c r="AM91" s="104"/>
      <c r="AN91" s="104"/>
    </row>
    <row r="92" spans="3:40" x14ac:dyDescent="0.25">
      <c r="C92" s="112" t="str">
        <f t="shared" si="33"/>
        <v>2086-87</v>
      </c>
      <c r="D92" s="121" t="str">
        <f>IF(LEFT($C92,4)*1&lt;LEFT('General inputs'!$I$15,4)+'General inputs'!$H$28,SUM(G92,J92,M92,P92,S92,V92,Y92,AB92,AE92,AH92),"")</f>
        <v/>
      </c>
      <c r="E92" s="104"/>
      <c r="F92" s="66"/>
      <c r="G92" s="121">
        <f t="shared" si="23"/>
        <v>0</v>
      </c>
      <c r="H92" s="104"/>
      <c r="I92" s="66"/>
      <c r="J92" s="121">
        <f t="shared" si="24"/>
        <v>0</v>
      </c>
      <c r="K92" s="104"/>
      <c r="L92" s="66"/>
      <c r="M92" s="121">
        <f t="shared" si="25"/>
        <v>0</v>
      </c>
      <c r="N92" s="104"/>
      <c r="O92" s="66"/>
      <c r="P92" s="121">
        <f t="shared" si="26"/>
        <v>0</v>
      </c>
      <c r="Q92" s="104"/>
      <c r="R92" s="66"/>
      <c r="S92" s="121">
        <f t="shared" si="27"/>
        <v>0</v>
      </c>
      <c r="T92" s="104"/>
      <c r="U92" s="66"/>
      <c r="V92" s="121">
        <f t="shared" si="28"/>
        <v>0</v>
      </c>
      <c r="W92" s="104"/>
      <c r="X92" s="66"/>
      <c r="Y92" s="121">
        <f t="shared" si="29"/>
        <v>0</v>
      </c>
      <c r="Z92" s="104"/>
      <c r="AA92" s="66"/>
      <c r="AB92" s="121">
        <f t="shared" si="30"/>
        <v>0</v>
      </c>
      <c r="AC92" s="104"/>
      <c r="AD92" s="66"/>
      <c r="AE92" s="121">
        <f t="shared" si="31"/>
        <v>0</v>
      </c>
      <c r="AF92" s="104"/>
      <c r="AG92" s="66"/>
      <c r="AH92" s="121">
        <f t="shared" si="32"/>
        <v>0</v>
      </c>
      <c r="AI92" s="104"/>
      <c r="AL92" s="104"/>
      <c r="AM92" s="104"/>
      <c r="AN92" s="104"/>
    </row>
    <row r="93" spans="3:40" x14ac:dyDescent="0.25">
      <c r="C93" s="112" t="str">
        <f t="shared" si="33"/>
        <v>2087-88</v>
      </c>
      <c r="D93" s="121" t="str">
        <f>IF(LEFT($C93,4)*1&lt;LEFT('General inputs'!$I$15,4)+'General inputs'!$H$28,SUM(G93,J93,M93,P93,S93,V93,Y93,AB93,AE93,AH93),"")</f>
        <v/>
      </c>
      <c r="E93" s="104"/>
      <c r="F93" s="66"/>
      <c r="G93" s="121">
        <f t="shared" si="23"/>
        <v>0</v>
      </c>
      <c r="H93" s="104"/>
      <c r="I93" s="66"/>
      <c r="J93" s="121">
        <f t="shared" si="24"/>
        <v>0</v>
      </c>
      <c r="K93" s="104"/>
      <c r="L93" s="66"/>
      <c r="M93" s="121">
        <f t="shared" si="25"/>
        <v>0</v>
      </c>
      <c r="N93" s="104"/>
      <c r="O93" s="66"/>
      <c r="P93" s="121">
        <f t="shared" si="26"/>
        <v>0</v>
      </c>
      <c r="Q93" s="104"/>
      <c r="R93" s="66"/>
      <c r="S93" s="121">
        <f t="shared" si="27"/>
        <v>0</v>
      </c>
      <c r="T93" s="104"/>
      <c r="U93" s="66"/>
      <c r="V93" s="121">
        <f t="shared" si="28"/>
        <v>0</v>
      </c>
      <c r="W93" s="104"/>
      <c r="X93" s="66"/>
      <c r="Y93" s="121">
        <f t="shared" si="29"/>
        <v>0</v>
      </c>
      <c r="Z93" s="104"/>
      <c r="AA93" s="66"/>
      <c r="AB93" s="121">
        <f t="shared" si="30"/>
        <v>0</v>
      </c>
      <c r="AC93" s="104"/>
      <c r="AD93" s="66"/>
      <c r="AE93" s="121">
        <f t="shared" si="31"/>
        <v>0</v>
      </c>
      <c r="AF93" s="104"/>
      <c r="AG93" s="66"/>
      <c r="AH93" s="121">
        <f t="shared" si="32"/>
        <v>0</v>
      </c>
      <c r="AI93" s="104"/>
      <c r="AL93" s="104"/>
      <c r="AM93" s="104"/>
      <c r="AN93" s="104"/>
    </row>
    <row r="94" spans="3:40" x14ac:dyDescent="0.25">
      <c r="C94" s="112" t="str">
        <f t="shared" si="33"/>
        <v>2088-89</v>
      </c>
      <c r="D94" s="121" t="str">
        <f>IF(LEFT($C94,4)*1&lt;LEFT('General inputs'!$I$15,4)+'General inputs'!$H$28,SUM(G94,J94,M94,P94,S94,V94,Y94,AB94,AE94,AH94),"")</f>
        <v/>
      </c>
      <c r="E94" s="104"/>
      <c r="F94" s="66"/>
      <c r="G94" s="121">
        <f t="shared" si="23"/>
        <v>0</v>
      </c>
      <c r="H94" s="104"/>
      <c r="I94" s="66"/>
      <c r="J94" s="121">
        <f t="shared" si="24"/>
        <v>0</v>
      </c>
      <c r="K94" s="104"/>
      <c r="L94" s="66"/>
      <c r="M94" s="121">
        <f t="shared" si="25"/>
        <v>0</v>
      </c>
      <c r="N94" s="104"/>
      <c r="O94" s="66"/>
      <c r="P94" s="121">
        <f t="shared" si="26"/>
        <v>0</v>
      </c>
      <c r="Q94" s="104"/>
      <c r="R94" s="66"/>
      <c r="S94" s="121">
        <f t="shared" si="27"/>
        <v>0</v>
      </c>
      <c r="T94" s="104"/>
      <c r="U94" s="66"/>
      <c r="V94" s="121">
        <f t="shared" si="28"/>
        <v>0</v>
      </c>
      <c r="W94" s="104"/>
      <c r="X94" s="66"/>
      <c r="Y94" s="121">
        <f t="shared" si="29"/>
        <v>0</v>
      </c>
      <c r="Z94" s="104"/>
      <c r="AA94" s="66"/>
      <c r="AB94" s="121">
        <f t="shared" si="30"/>
        <v>0</v>
      </c>
      <c r="AC94" s="104"/>
      <c r="AD94" s="66"/>
      <c r="AE94" s="121">
        <f t="shared" si="31"/>
        <v>0</v>
      </c>
      <c r="AF94" s="104"/>
      <c r="AG94" s="66"/>
      <c r="AH94" s="121">
        <f t="shared" si="32"/>
        <v>0</v>
      </c>
      <c r="AI94" s="104"/>
      <c r="AL94" s="104"/>
      <c r="AM94" s="104"/>
      <c r="AN94" s="104"/>
    </row>
    <row r="95" spans="3:40" x14ac:dyDescent="0.25">
      <c r="C95" s="112" t="str">
        <f t="shared" si="33"/>
        <v>2089-90</v>
      </c>
      <c r="D95" s="121" t="str">
        <f>IF(LEFT($C95,4)*1&lt;LEFT('General inputs'!$I$15,4)+'General inputs'!$H$28,SUM(G95,J95,M95,P95,S95,V95,Y95,AB95,AE95,AH95),"")</f>
        <v/>
      </c>
      <c r="E95" s="104"/>
      <c r="F95" s="66"/>
      <c r="G95" s="121">
        <f t="shared" si="23"/>
        <v>0</v>
      </c>
      <c r="H95" s="104"/>
      <c r="I95" s="66"/>
      <c r="J95" s="121">
        <f t="shared" si="24"/>
        <v>0</v>
      </c>
      <c r="K95" s="104"/>
      <c r="L95" s="66"/>
      <c r="M95" s="121">
        <f t="shared" si="25"/>
        <v>0</v>
      </c>
      <c r="N95" s="104"/>
      <c r="O95" s="66"/>
      <c r="P95" s="121">
        <f t="shared" si="26"/>
        <v>0</v>
      </c>
      <c r="Q95" s="104"/>
      <c r="R95" s="66"/>
      <c r="S95" s="121">
        <f t="shared" si="27"/>
        <v>0</v>
      </c>
      <c r="T95" s="104"/>
      <c r="U95" s="66"/>
      <c r="V95" s="121">
        <f t="shared" si="28"/>
        <v>0</v>
      </c>
      <c r="W95" s="104"/>
      <c r="X95" s="66"/>
      <c r="Y95" s="121">
        <f t="shared" si="29"/>
        <v>0</v>
      </c>
      <c r="Z95" s="104"/>
      <c r="AA95" s="66"/>
      <c r="AB95" s="121">
        <f t="shared" si="30"/>
        <v>0</v>
      </c>
      <c r="AC95" s="104"/>
      <c r="AD95" s="66"/>
      <c r="AE95" s="121">
        <f t="shared" si="31"/>
        <v>0</v>
      </c>
      <c r="AF95" s="104"/>
      <c r="AG95" s="66"/>
      <c r="AH95" s="121">
        <f t="shared" si="32"/>
        <v>0</v>
      </c>
      <c r="AI95" s="104"/>
      <c r="AL95" s="104"/>
      <c r="AM95" s="104"/>
      <c r="AN95" s="104"/>
    </row>
    <row r="96" spans="3:40" x14ac:dyDescent="0.25">
      <c r="C96" s="112" t="str">
        <f t="shared" si="33"/>
        <v>2090-91</v>
      </c>
      <c r="D96" s="121" t="str">
        <f>IF(LEFT($C96,4)*1&lt;LEFT('General inputs'!$I$15,4)+'General inputs'!$H$28,SUM(G96,J96,M96,P96,S96,V96,Y96,AB96,AE96,AH96),"")</f>
        <v/>
      </c>
      <c r="E96" s="104"/>
      <c r="F96" s="66"/>
      <c r="G96" s="121">
        <f t="shared" si="23"/>
        <v>0</v>
      </c>
      <c r="H96" s="104"/>
      <c r="I96" s="66"/>
      <c r="J96" s="121">
        <f t="shared" si="24"/>
        <v>0</v>
      </c>
      <c r="K96" s="104"/>
      <c r="L96" s="66"/>
      <c r="M96" s="121">
        <f t="shared" si="25"/>
        <v>0</v>
      </c>
      <c r="N96" s="104"/>
      <c r="O96" s="66"/>
      <c r="P96" s="121">
        <f t="shared" si="26"/>
        <v>0</v>
      </c>
      <c r="Q96" s="104"/>
      <c r="R96" s="66"/>
      <c r="S96" s="121">
        <f t="shared" si="27"/>
        <v>0</v>
      </c>
      <c r="T96" s="104"/>
      <c r="U96" s="66"/>
      <c r="V96" s="121">
        <f t="shared" si="28"/>
        <v>0</v>
      </c>
      <c r="W96" s="104"/>
      <c r="X96" s="66"/>
      <c r="Y96" s="121">
        <f t="shared" si="29"/>
        <v>0</v>
      </c>
      <c r="Z96" s="104"/>
      <c r="AA96" s="66"/>
      <c r="AB96" s="121">
        <f t="shared" si="30"/>
        <v>0</v>
      </c>
      <c r="AC96" s="104"/>
      <c r="AD96" s="66"/>
      <c r="AE96" s="121">
        <f t="shared" si="31"/>
        <v>0</v>
      </c>
      <c r="AF96" s="104"/>
      <c r="AG96" s="66"/>
      <c r="AH96" s="121">
        <f t="shared" si="32"/>
        <v>0</v>
      </c>
      <c r="AI96" s="104"/>
      <c r="AL96" s="104"/>
      <c r="AM96" s="104"/>
      <c r="AN96" s="104"/>
    </row>
    <row r="97" spans="3:40" x14ac:dyDescent="0.25">
      <c r="C97" s="112" t="str">
        <f t="shared" si="33"/>
        <v>2091-92</v>
      </c>
      <c r="D97" s="121" t="str">
        <f>IF(LEFT($C97,4)*1&lt;LEFT('General inputs'!$I$15,4)+'General inputs'!$H$28,SUM(G97,J97,M97,P97,S97,V97,Y97,AB97,AE97,AH97),"")</f>
        <v/>
      </c>
      <c r="E97" s="104"/>
      <c r="F97" s="66"/>
      <c r="G97" s="121">
        <f t="shared" si="23"/>
        <v>0</v>
      </c>
      <c r="H97" s="104"/>
      <c r="I97" s="66"/>
      <c r="J97" s="121">
        <f t="shared" si="24"/>
        <v>0</v>
      </c>
      <c r="K97" s="104"/>
      <c r="L97" s="66"/>
      <c r="M97" s="121">
        <f t="shared" si="25"/>
        <v>0</v>
      </c>
      <c r="N97" s="104"/>
      <c r="O97" s="66"/>
      <c r="P97" s="121">
        <f t="shared" si="26"/>
        <v>0</v>
      </c>
      <c r="Q97" s="104"/>
      <c r="R97" s="66"/>
      <c r="S97" s="121">
        <f t="shared" si="27"/>
        <v>0</v>
      </c>
      <c r="T97" s="104"/>
      <c r="U97" s="66"/>
      <c r="V97" s="121">
        <f t="shared" si="28"/>
        <v>0</v>
      </c>
      <c r="W97" s="104"/>
      <c r="X97" s="66"/>
      <c r="Y97" s="121">
        <f t="shared" si="29"/>
        <v>0</v>
      </c>
      <c r="Z97" s="104"/>
      <c r="AA97" s="66"/>
      <c r="AB97" s="121">
        <f t="shared" si="30"/>
        <v>0</v>
      </c>
      <c r="AC97" s="104"/>
      <c r="AD97" s="66"/>
      <c r="AE97" s="121">
        <f t="shared" si="31"/>
        <v>0</v>
      </c>
      <c r="AF97" s="104"/>
      <c r="AG97" s="66"/>
      <c r="AH97" s="121">
        <f t="shared" si="32"/>
        <v>0</v>
      </c>
      <c r="AI97" s="104"/>
      <c r="AL97" s="104"/>
      <c r="AM97" s="104"/>
      <c r="AN97" s="104"/>
    </row>
    <row r="98" spans="3:40" x14ac:dyDescent="0.25">
      <c r="C98" s="112" t="str">
        <f t="shared" si="33"/>
        <v>2092-93</v>
      </c>
      <c r="D98" s="121" t="str">
        <f>IF(LEFT($C98,4)*1&lt;LEFT('General inputs'!$I$15,4)+'General inputs'!$H$28,SUM(G98,J98,M98,P98,S98,V98,Y98,AB98,AE98,AH98),"")</f>
        <v/>
      </c>
      <c r="E98" s="104"/>
      <c r="F98" s="66"/>
      <c r="G98" s="121">
        <f t="shared" si="23"/>
        <v>0</v>
      </c>
      <c r="H98" s="104"/>
      <c r="I98" s="66"/>
      <c r="J98" s="121">
        <f t="shared" si="24"/>
        <v>0</v>
      </c>
      <c r="K98" s="104"/>
      <c r="L98" s="66"/>
      <c r="M98" s="121">
        <f t="shared" si="25"/>
        <v>0</v>
      </c>
      <c r="N98" s="104"/>
      <c r="O98" s="66"/>
      <c r="P98" s="121">
        <f t="shared" si="26"/>
        <v>0</v>
      </c>
      <c r="Q98" s="104"/>
      <c r="R98" s="66"/>
      <c r="S98" s="121">
        <f t="shared" si="27"/>
        <v>0</v>
      </c>
      <c r="T98" s="104"/>
      <c r="U98" s="66"/>
      <c r="V98" s="121">
        <f t="shared" si="28"/>
        <v>0</v>
      </c>
      <c r="W98" s="104"/>
      <c r="X98" s="66"/>
      <c r="Y98" s="121">
        <f t="shared" si="29"/>
        <v>0</v>
      </c>
      <c r="Z98" s="104"/>
      <c r="AA98" s="66"/>
      <c r="AB98" s="121">
        <f t="shared" si="30"/>
        <v>0</v>
      </c>
      <c r="AC98" s="104"/>
      <c r="AD98" s="66"/>
      <c r="AE98" s="121">
        <f t="shared" si="31"/>
        <v>0</v>
      </c>
      <c r="AF98" s="104"/>
      <c r="AG98" s="66"/>
      <c r="AH98" s="121">
        <f t="shared" si="32"/>
        <v>0</v>
      </c>
      <c r="AI98" s="104"/>
      <c r="AL98" s="104"/>
      <c r="AM98" s="104"/>
      <c r="AN98" s="104"/>
    </row>
    <row r="99" spans="3:40" x14ac:dyDescent="0.25">
      <c r="C99" s="112" t="str">
        <f t="shared" si="33"/>
        <v>2093-94</v>
      </c>
      <c r="D99" s="121" t="str">
        <f>IF(LEFT($C99,4)*1&lt;LEFT('General inputs'!$I$15,4)+'General inputs'!$H$28,SUM(G99,J99,M99,P99,S99,V99,Y99,AB99,AE99,AH99),"")</f>
        <v/>
      </c>
      <c r="E99" s="104"/>
      <c r="F99" s="66"/>
      <c r="G99" s="121">
        <f t="shared" si="23"/>
        <v>0</v>
      </c>
      <c r="H99" s="104"/>
      <c r="I99" s="66"/>
      <c r="J99" s="121">
        <f t="shared" si="24"/>
        <v>0</v>
      </c>
      <c r="K99" s="104"/>
      <c r="L99" s="66"/>
      <c r="M99" s="121">
        <f t="shared" si="25"/>
        <v>0</v>
      </c>
      <c r="N99" s="104"/>
      <c r="O99" s="66"/>
      <c r="P99" s="121">
        <f t="shared" si="26"/>
        <v>0</v>
      </c>
      <c r="Q99" s="104"/>
      <c r="R99" s="66"/>
      <c r="S99" s="121">
        <f t="shared" si="27"/>
        <v>0</v>
      </c>
      <c r="T99" s="104"/>
      <c r="U99" s="66"/>
      <c r="V99" s="121">
        <f t="shared" si="28"/>
        <v>0</v>
      </c>
      <c r="W99" s="104"/>
      <c r="X99" s="66"/>
      <c r="Y99" s="121">
        <f t="shared" si="29"/>
        <v>0</v>
      </c>
      <c r="Z99" s="104"/>
      <c r="AA99" s="66"/>
      <c r="AB99" s="121">
        <f t="shared" si="30"/>
        <v>0</v>
      </c>
      <c r="AC99" s="104"/>
      <c r="AD99" s="66"/>
      <c r="AE99" s="121">
        <f t="shared" si="31"/>
        <v>0</v>
      </c>
      <c r="AF99" s="104"/>
      <c r="AG99" s="66"/>
      <c r="AH99" s="121">
        <f t="shared" si="32"/>
        <v>0</v>
      </c>
      <c r="AI99" s="104"/>
      <c r="AL99" s="104"/>
      <c r="AM99" s="104"/>
      <c r="AN99" s="104"/>
    </row>
    <row r="100" spans="3:40" x14ac:dyDescent="0.25">
      <c r="C100" s="112" t="str">
        <f t="shared" si="33"/>
        <v>2094-95</v>
      </c>
      <c r="D100" s="121" t="str">
        <f>IF(LEFT($C100,4)*1&lt;LEFT('General inputs'!$I$15,4)+'General inputs'!$H$28,SUM(G100,J100,M100,P100,S100,V100,Y100,AB100,AE100,AH100),"")</f>
        <v/>
      </c>
      <c r="E100" s="104"/>
      <c r="F100" s="66"/>
      <c r="G100" s="121">
        <f t="shared" si="23"/>
        <v>0</v>
      </c>
      <c r="H100" s="104"/>
      <c r="I100" s="66"/>
      <c r="J100" s="121">
        <f t="shared" si="24"/>
        <v>0</v>
      </c>
      <c r="K100" s="104"/>
      <c r="L100" s="66"/>
      <c r="M100" s="121">
        <f t="shared" si="25"/>
        <v>0</v>
      </c>
      <c r="N100" s="104"/>
      <c r="O100" s="66"/>
      <c r="P100" s="121">
        <f t="shared" si="26"/>
        <v>0</v>
      </c>
      <c r="Q100" s="104"/>
      <c r="R100" s="66"/>
      <c r="S100" s="121">
        <f t="shared" si="27"/>
        <v>0</v>
      </c>
      <c r="T100" s="104"/>
      <c r="U100" s="66"/>
      <c r="V100" s="121">
        <f t="shared" si="28"/>
        <v>0</v>
      </c>
      <c r="W100" s="104"/>
      <c r="X100" s="66"/>
      <c r="Y100" s="121">
        <f t="shared" si="29"/>
        <v>0</v>
      </c>
      <c r="Z100" s="104"/>
      <c r="AA100" s="66"/>
      <c r="AB100" s="121">
        <f t="shared" si="30"/>
        <v>0</v>
      </c>
      <c r="AC100" s="104"/>
      <c r="AD100" s="66"/>
      <c r="AE100" s="121">
        <f t="shared" si="31"/>
        <v>0</v>
      </c>
      <c r="AF100" s="104"/>
      <c r="AG100" s="66"/>
      <c r="AH100" s="121">
        <f t="shared" si="32"/>
        <v>0</v>
      </c>
      <c r="AI100" s="104"/>
      <c r="AL100" s="104"/>
      <c r="AM100" s="104"/>
      <c r="AN100" s="104"/>
    </row>
    <row r="101" spans="3:40" x14ac:dyDescent="0.25">
      <c r="C101" s="112" t="str">
        <f t="shared" si="33"/>
        <v>2095-96</v>
      </c>
      <c r="D101" s="121" t="str">
        <f>IF(LEFT($C101,4)*1&lt;LEFT('General inputs'!$I$15,4)+'General inputs'!$H$28,SUM(G101,J101,M101,P101,S101,V101,Y101,AB101,AE101,AH101),"")</f>
        <v/>
      </c>
      <c r="E101" s="104"/>
      <c r="F101" s="66"/>
      <c r="G101" s="121">
        <f t="shared" si="23"/>
        <v>0</v>
      </c>
      <c r="H101" s="104"/>
      <c r="I101" s="66"/>
      <c r="J101" s="121">
        <f t="shared" si="24"/>
        <v>0</v>
      </c>
      <c r="K101" s="104"/>
      <c r="L101" s="66"/>
      <c r="M101" s="121">
        <f t="shared" si="25"/>
        <v>0</v>
      </c>
      <c r="N101" s="104"/>
      <c r="O101" s="66"/>
      <c r="P101" s="121">
        <f t="shared" si="26"/>
        <v>0</v>
      </c>
      <c r="Q101" s="104"/>
      <c r="R101" s="66"/>
      <c r="S101" s="121">
        <f t="shared" si="27"/>
        <v>0</v>
      </c>
      <c r="T101" s="104"/>
      <c r="U101" s="66"/>
      <c r="V101" s="121">
        <f t="shared" si="28"/>
        <v>0</v>
      </c>
      <c r="W101" s="104"/>
      <c r="X101" s="66"/>
      <c r="Y101" s="121">
        <f t="shared" si="29"/>
        <v>0</v>
      </c>
      <c r="Z101" s="104"/>
      <c r="AA101" s="66"/>
      <c r="AB101" s="121">
        <f t="shared" si="30"/>
        <v>0</v>
      </c>
      <c r="AC101" s="104"/>
      <c r="AD101" s="66"/>
      <c r="AE101" s="121">
        <f t="shared" si="31"/>
        <v>0</v>
      </c>
      <c r="AF101" s="104"/>
      <c r="AG101" s="66"/>
      <c r="AH101" s="121">
        <f t="shared" si="32"/>
        <v>0</v>
      </c>
      <c r="AI101" s="104"/>
      <c r="AL101" s="104"/>
      <c r="AM101" s="104"/>
      <c r="AN101" s="104"/>
    </row>
    <row r="102" spans="3:40" x14ac:dyDescent="0.25">
      <c r="C102" s="112" t="str">
        <f t="shared" si="33"/>
        <v>2096-97</v>
      </c>
      <c r="D102" s="121" t="str">
        <f>IF(LEFT($C102,4)*1&lt;LEFT('General inputs'!$I$15,4)+'General inputs'!$H$28,SUM(G102,J102,M102,P102,S102,V102,Y102,AB102,AE102,AH102),"")</f>
        <v/>
      </c>
      <c r="E102" s="104"/>
      <c r="F102" s="66"/>
      <c r="G102" s="121">
        <f t="shared" si="23"/>
        <v>0</v>
      </c>
      <c r="H102" s="104"/>
      <c r="I102" s="66"/>
      <c r="J102" s="121">
        <f t="shared" si="24"/>
        <v>0</v>
      </c>
      <c r="K102" s="104"/>
      <c r="L102" s="66"/>
      <c r="M102" s="121">
        <f t="shared" si="25"/>
        <v>0</v>
      </c>
      <c r="N102" s="104"/>
      <c r="O102" s="66"/>
      <c r="P102" s="121">
        <f t="shared" si="26"/>
        <v>0</v>
      </c>
      <c r="Q102" s="104"/>
      <c r="R102" s="66"/>
      <c r="S102" s="121">
        <f t="shared" si="27"/>
        <v>0</v>
      </c>
      <c r="T102" s="104"/>
      <c r="U102" s="66"/>
      <c r="V102" s="121">
        <f t="shared" si="28"/>
        <v>0</v>
      </c>
      <c r="W102" s="104"/>
      <c r="X102" s="66"/>
      <c r="Y102" s="121">
        <f t="shared" si="29"/>
        <v>0</v>
      </c>
      <c r="Z102" s="104"/>
      <c r="AA102" s="66"/>
      <c r="AB102" s="121">
        <f t="shared" si="30"/>
        <v>0</v>
      </c>
      <c r="AC102" s="104"/>
      <c r="AD102" s="66"/>
      <c r="AE102" s="121">
        <f t="shared" si="31"/>
        <v>0</v>
      </c>
      <c r="AF102" s="104"/>
      <c r="AG102" s="66"/>
      <c r="AH102" s="121">
        <f t="shared" si="32"/>
        <v>0</v>
      </c>
      <c r="AI102" s="104"/>
      <c r="AL102" s="104"/>
      <c r="AM102" s="104"/>
      <c r="AN102" s="104"/>
    </row>
    <row r="103" spans="3:40" x14ac:dyDescent="0.25">
      <c r="D103" s="72"/>
      <c r="E103" s="1"/>
      <c r="F103" s="72"/>
      <c r="G103" s="72"/>
      <c r="I103" s="72"/>
      <c r="J103" s="72"/>
      <c r="L103" s="72"/>
      <c r="M103" s="72"/>
      <c r="O103" s="72"/>
      <c r="P103" s="72"/>
      <c r="R103" s="72"/>
      <c r="S103" s="72"/>
      <c r="U103" s="72"/>
      <c r="V103" s="72"/>
      <c r="X103" s="72"/>
      <c r="Y103" s="72"/>
      <c r="AA103" s="72"/>
      <c r="AB103" s="72"/>
      <c r="AD103" s="72"/>
      <c r="AE103" s="72"/>
      <c r="AG103" s="72"/>
      <c r="AH103" s="72"/>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0" id="{95E9D61C-41DD-450B-B9C3-0D029F26CA69}">
            <xm:f>LEFT($C12,4)*1&gt;LEFT('General inputs'!$I$15,4)*1+'General inputs'!$H$28-1</xm:f>
            <x14:dxf>
              <fill>
                <patternFill>
                  <bgColor rgb="FFDDDDDD"/>
                </patternFill>
              </fill>
            </x14:dxf>
          </x14:cfRule>
          <xm:sqref>O12:O102 R12:R102 U12:U102 X12:X102 AA12:AA102 AD12:AD102 AG12:AG102 I12:I102 L12:L102 F12:F102</xm:sqref>
        </x14:conditionalFormatting>
        <x14:conditionalFormatting xmlns:xm="http://schemas.microsoft.com/office/excel/2006/main">
          <x14:cfRule type="expression" priority="90" id="{9AED8FE6-1E3F-40FA-BC8D-6814ADDD04B9}">
            <xm:f>LEFT($C12,4)*1&gt;LEFT('General inputs'!$I$15,4)+'General inputs'!$H$28-1</xm:f>
            <x14:dxf>
              <fill>
                <patternFill>
                  <bgColor rgb="FFDDDDDD"/>
                </patternFill>
              </fill>
            </x14:dxf>
          </x14:cfRule>
          <xm:sqref>D12:D102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79998168889431442"/>
  </sheetPr>
  <dimension ref="A3:AE26"/>
  <sheetViews>
    <sheetView showGridLines="0" zoomScaleNormal="100" workbookViewId="0"/>
  </sheetViews>
  <sheetFormatPr defaultRowHeight="11.5" x14ac:dyDescent="0.25"/>
  <cols>
    <col min="1" max="2" width="2.69921875" customWidth="1"/>
    <col min="3" max="3" width="5.69921875" customWidth="1"/>
    <col min="7" max="7" width="9.09765625" customWidth="1"/>
  </cols>
  <sheetData>
    <row r="3" spans="3:17" ht="20" x14ac:dyDescent="0.4">
      <c r="C3" s="160" t="s">
        <v>117</v>
      </c>
    </row>
    <row r="6" spans="3:17" x14ac:dyDescent="0.25">
      <c r="C6" t="s">
        <v>161</v>
      </c>
      <c r="G6" s="213" t="s">
        <v>338</v>
      </c>
      <c r="O6" t="s">
        <v>332</v>
      </c>
    </row>
    <row r="8" spans="3:17" ht="13.5" x14ac:dyDescent="0.35">
      <c r="C8" t="s">
        <v>75</v>
      </c>
    </row>
    <row r="10" spans="3:17" x14ac:dyDescent="0.25">
      <c r="C10" t="s">
        <v>68</v>
      </c>
    </row>
    <row r="12" spans="3:17" ht="13.5" x14ac:dyDescent="0.35">
      <c r="C12" s="57" t="s">
        <v>70</v>
      </c>
      <c r="D12" s="196" t="s">
        <v>299</v>
      </c>
    </row>
    <row r="13" spans="3:17" ht="13.5" x14ac:dyDescent="0.35">
      <c r="C13" s="57" t="s">
        <v>71</v>
      </c>
      <c r="D13" s="196" t="s">
        <v>300</v>
      </c>
      <c r="F13" s="2"/>
    </row>
    <row r="15" spans="3:17" x14ac:dyDescent="0.25">
      <c r="C15" s="104" t="str">
        <f ca="1">"The corresponding time series should be manually entered or linked to the following ranges in the "&amp;MID(CELL("filename",'DC Calculations'!$A$1),FIND("]",CELL("filename",'DC Calculations'!$A$1))+1,255)&amp;" worksheet. "</f>
        <v xml:space="preserve">The corresponding time series should be manually entered or linked to the following ranges in the DC Calculations worksheet. </v>
      </c>
      <c r="D15" s="104"/>
      <c r="E15" s="104"/>
      <c r="F15" s="104"/>
      <c r="G15" s="104"/>
      <c r="H15" s="104"/>
      <c r="I15" s="104"/>
      <c r="J15" s="104"/>
      <c r="K15" s="104"/>
      <c r="L15" s="104"/>
      <c r="M15" s="104"/>
      <c r="N15" s="104"/>
      <c r="O15" s="104"/>
      <c r="P15" s="104"/>
      <c r="Q15" s="104"/>
    </row>
    <row r="16" spans="3:17" x14ac:dyDescent="0.25">
      <c r="C16" s="104"/>
      <c r="D16" s="104"/>
      <c r="E16" s="104"/>
      <c r="F16" s="104"/>
      <c r="G16" s="104"/>
      <c r="H16" s="104"/>
      <c r="I16" s="104"/>
      <c r="J16" s="104"/>
      <c r="K16" s="104"/>
      <c r="L16" s="104"/>
      <c r="M16" s="104"/>
      <c r="N16" s="104"/>
      <c r="O16" s="104"/>
      <c r="P16" s="104"/>
      <c r="Q16" s="104"/>
    </row>
    <row r="17" spans="1:31" ht="13.5" x14ac:dyDescent="0.35">
      <c r="C17" s="77" t="s">
        <v>72</v>
      </c>
      <c r="D17" s="256" t="str">
        <f ca="1">ADDRESS(ROW(INDEX('DC Calculations'!$O$38:$O$128,MATCH('General inputs'!$I$15,'DC Calculations'!$E$38:$E$128))),COLUMN(INDEX('DC Calculations'!$O$38:$O$128,MATCH('General inputs'!$I$15,'DC Calculations'!$E$38:$E$128))))&amp;":"&amp;ADDRESS(ROW(INDEX('DC Calculations'!$O$38:$O$128,MATCH(LEFT('General inputs'!$I$15,4)+'General inputs'!$H$28-1&amp;"-"&amp;RIGHT('General inputs'!$I$15,2)+'General inputs'!$H$28-1,'DC Calculations'!$E$38:$E$128))),COLUMN(INDEX('DC Calculations'!$O$38:$O$128,MATCH('General inputs'!$I$15,'DC Calculations'!$E$38:$E$128))))</f>
        <v>$O$43:$O$72</v>
      </c>
      <c r="E17" s="184"/>
    </row>
    <row r="18" spans="1:31" ht="13.5" x14ac:dyDescent="0.35">
      <c r="C18" s="77" t="s">
        <v>73</v>
      </c>
      <c r="D18" s="256" t="str">
        <f ca="1">ADDRESS(ROW(INDEX('DC Calculations'!$R$38:$R$128,MATCH('General inputs'!$I$15,'DC Calculations'!$E$38:$E$128))),COLUMN(INDEX('DC Calculations'!$R$38:$R$128,MATCH('General inputs'!$I$15,'DC Calculations'!$E$38:$E$128))))&amp;":"&amp;ADDRESS(ROW(INDEX('DC Calculations'!$R$38:$R$128,MATCH(LEFT('General inputs'!$I$15,4)+'General inputs'!$H$28-1&amp;"-"&amp;RIGHT('General inputs'!$I$15,2)+'General inputs'!$H$28-1,'DC Calculations'!$E$38:$E$128))),COLUMN(INDEX('DC Calculations'!$R$38:$R$128,MATCH('General inputs'!$I$15,'DC Calculations'!$E$38:$E$128))))</f>
        <v>$R$43:$R$72</v>
      </c>
      <c r="E18" s="184"/>
    </row>
    <row r="19" spans="1:31" x14ac:dyDescent="0.25">
      <c r="C19" s="57"/>
    </row>
    <row r="20" spans="1:31" ht="13.5" x14ac:dyDescent="0.35">
      <c r="C20" t="s">
        <v>88</v>
      </c>
      <c r="G20" t="s">
        <v>89</v>
      </c>
      <c r="H20" s="257" t="str">
        <f>'General inputs'!I15</f>
        <v>2020-21</v>
      </c>
      <c r="J20" t="s">
        <v>90</v>
      </c>
      <c r="K20" s="258" t="str">
        <f>LEFT(H20,4)+'General inputs'!$H$28-1&amp;"-"&amp;RIGHT(H20,2)+'General inputs'!$H$28-1</f>
        <v>2049-50</v>
      </c>
    </row>
    <row r="21" spans="1:31" x14ac:dyDescent="0.25">
      <c r="C21" s="57"/>
    </row>
    <row r="22" spans="1:31" x14ac:dyDescent="0.25">
      <c r="C22" s="97" t="s">
        <v>133</v>
      </c>
    </row>
    <row r="23" spans="1:31" x14ac:dyDescent="0.25">
      <c r="C23" s="97"/>
      <c r="D23" s="97" t="s">
        <v>297</v>
      </c>
    </row>
    <row r="24" spans="1:31" x14ac:dyDescent="0.25">
      <c r="C24" s="97"/>
      <c r="D24" s="259" t="str">
        <f ca="1">"All calculations on this worksheet need to be converted into "&amp;'General inputs'!$H$32&amp;", $"&amp;'General inputs'!$I$30&amp;" before being linked into the "&amp;MID(CELL("filename",'DC Calculations'!$A$1),FIND("]",CELL("filename",'DC Calculations'!$A$1))+1,255)&amp;"."</f>
        <v>All calculations on this worksheet need to be converted into $'000, $2019-20 before being linked into the DC Calculations.</v>
      </c>
      <c r="E24" s="104"/>
      <c r="F24" s="104"/>
      <c r="G24" s="104"/>
      <c r="H24" s="104"/>
      <c r="I24" s="104"/>
      <c r="J24" s="104"/>
      <c r="K24" s="104"/>
      <c r="L24" s="104"/>
      <c r="M24" s="104"/>
      <c r="N24" s="104"/>
      <c r="O24" s="104"/>
      <c r="P24" s="104"/>
      <c r="Q24" s="104"/>
    </row>
    <row r="25" spans="1:31" x14ac:dyDescent="0.25">
      <c r="D25" s="104"/>
      <c r="E25" s="104"/>
      <c r="F25" s="104"/>
      <c r="G25" s="104"/>
      <c r="H25" s="104"/>
      <c r="I25" s="104"/>
      <c r="J25" s="104"/>
      <c r="K25" s="104"/>
      <c r="L25" s="104"/>
      <c r="M25" s="104"/>
      <c r="N25" s="104"/>
      <c r="O25" s="104"/>
      <c r="P25" s="104"/>
      <c r="Q25" s="104"/>
    </row>
    <row r="26" spans="1:31" x14ac:dyDescent="0.25">
      <c r="A26" s="95"/>
      <c r="B26" s="95"/>
      <c r="C26" s="95" t="s">
        <v>77</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row>
  </sheetData>
  <hyperlinks>
    <hyperlink ref="G6" r:id="rId1" display="IPART - Maximum prices for connecting to a recycled water system - July 201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2686B-109C-4C2E-9EB9-58A7DA8EFFF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Journal</vt:lpstr>
      <vt:lpstr>Cover</vt:lpstr>
      <vt:lpstr>Summary of result</vt:lpstr>
      <vt:lpstr>DC Calculations</vt:lpstr>
      <vt:lpstr>General inputs</vt:lpstr>
      <vt:lpstr>Commissioned assets</vt:lpstr>
      <vt:lpstr>Uncommissioned assets</vt:lpstr>
      <vt:lpstr>ET inputs</vt:lpstr>
      <vt:lpstr>Reduction amount</vt:lpstr>
      <vt:lpstr>Headwork assets</vt:lpstr>
      <vt:lpstr>Cost Offsets</vt:lpstr>
      <vt:lpstr>Asset exclusions</vt:lpstr>
      <vt:lpstr>Cover!Print_Area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2019-11-19T00:19:12Z</cp:lastPrinted>
  <dcterms:created xsi:type="dcterms:W3CDTF">2014-05-19T07:21:06Z</dcterms:created>
  <dcterms:modified xsi:type="dcterms:W3CDTF">2019-12-11T04:26:20Z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